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ell\Desktop\Melinda\Szövetség\Ranglista\"/>
    </mc:Choice>
  </mc:AlternateContent>
  <xr:revisionPtr revIDLastSave="0" documentId="8_{B2984E01-7046-4BFD-A67C-F433FC42BC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lap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54" i="1" l="1"/>
  <c r="A4354" i="1"/>
  <c r="F4353" i="1"/>
  <c r="A4353" i="1"/>
  <c r="F4352" i="1"/>
  <c r="A4352" i="1"/>
  <c r="F4351" i="1"/>
  <c r="A4351" i="1"/>
  <c r="F4350" i="1"/>
  <c r="A4350" i="1"/>
  <c r="F4349" i="1"/>
  <c r="A4349" i="1"/>
  <c r="F4348" i="1"/>
  <c r="A4348" i="1"/>
  <c r="F4347" i="1"/>
  <c r="A4347" i="1"/>
  <c r="F4346" i="1"/>
  <c r="A4346" i="1"/>
  <c r="F4345" i="1"/>
  <c r="A4345" i="1"/>
  <c r="J4344" i="1"/>
  <c r="I4344" i="1"/>
  <c r="H4344" i="1"/>
  <c r="G4344" i="1"/>
  <c r="F4344" i="1"/>
  <c r="D4344" i="1"/>
  <c r="B4344" i="1"/>
  <c r="A4344" i="1"/>
  <c r="J4343" i="1"/>
  <c r="I4343" i="1"/>
  <c r="H4343" i="1"/>
  <c r="G4343" i="1"/>
  <c r="F4343" i="1"/>
  <c r="D4343" i="1"/>
  <c r="B4343" i="1"/>
  <c r="A4343" i="1"/>
  <c r="J4342" i="1"/>
  <c r="I4342" i="1"/>
  <c r="H4342" i="1"/>
  <c r="G4342" i="1"/>
  <c r="F4342" i="1"/>
  <c r="D4342" i="1"/>
  <c r="B4342" i="1"/>
  <c r="A4342" i="1"/>
  <c r="J4341" i="1"/>
  <c r="I4341" i="1"/>
  <c r="H4341" i="1"/>
  <c r="G4341" i="1"/>
  <c r="F4341" i="1"/>
  <c r="D4341" i="1"/>
  <c r="B4341" i="1"/>
  <c r="A4341" i="1"/>
  <c r="J4340" i="1"/>
  <c r="I4340" i="1"/>
  <c r="H4340" i="1"/>
  <c r="G4340" i="1"/>
  <c r="F4340" i="1"/>
  <c r="D4340" i="1"/>
  <c r="B4340" i="1"/>
  <c r="A4340" i="1"/>
  <c r="J4339" i="1"/>
  <c r="I4339" i="1"/>
  <c r="H4339" i="1"/>
  <c r="G4339" i="1"/>
  <c r="F4339" i="1"/>
  <c r="D4339" i="1"/>
  <c r="B4339" i="1"/>
  <c r="A4339" i="1"/>
  <c r="J4338" i="1"/>
  <c r="I4338" i="1"/>
  <c r="H4338" i="1"/>
  <c r="G4338" i="1"/>
  <c r="F4338" i="1"/>
  <c r="D4338" i="1"/>
  <c r="B4338" i="1"/>
  <c r="A4338" i="1"/>
  <c r="J4337" i="1"/>
  <c r="I4337" i="1"/>
  <c r="H4337" i="1"/>
  <c r="G4337" i="1"/>
  <c r="F4337" i="1"/>
  <c r="D4337" i="1"/>
  <c r="B4337" i="1"/>
  <c r="A4337" i="1"/>
  <c r="J4336" i="1"/>
  <c r="I4336" i="1"/>
  <c r="H4336" i="1"/>
  <c r="G4336" i="1"/>
  <c r="F4336" i="1"/>
  <c r="D4336" i="1"/>
  <c r="B4336" i="1"/>
  <c r="A4336" i="1"/>
  <c r="J4335" i="1"/>
  <c r="I4335" i="1"/>
  <c r="H4335" i="1"/>
  <c r="G4335" i="1"/>
  <c r="F4335" i="1"/>
  <c r="D4335" i="1"/>
  <c r="B4335" i="1"/>
  <c r="A4335" i="1"/>
  <c r="J4334" i="1"/>
  <c r="I4334" i="1"/>
  <c r="H4334" i="1"/>
  <c r="G4334" i="1"/>
  <c r="F4334" i="1"/>
  <c r="D4334" i="1"/>
  <c r="B4334" i="1"/>
  <c r="A4334" i="1"/>
  <c r="J4333" i="1"/>
  <c r="I4333" i="1"/>
  <c r="H4333" i="1"/>
  <c r="G4333" i="1"/>
  <c r="F4333" i="1"/>
  <c r="D4333" i="1"/>
  <c r="B4333" i="1"/>
  <c r="A4333" i="1"/>
  <c r="J4332" i="1"/>
  <c r="I4332" i="1"/>
  <c r="H4332" i="1"/>
  <c r="G4332" i="1"/>
  <c r="F4332" i="1"/>
  <c r="D4332" i="1"/>
  <c r="B4332" i="1"/>
  <c r="A4332" i="1"/>
  <c r="J4331" i="1"/>
  <c r="I4331" i="1"/>
  <c r="H4331" i="1"/>
  <c r="G4331" i="1"/>
  <c r="F4331" i="1"/>
  <c r="D4331" i="1"/>
  <c r="B4331" i="1"/>
  <c r="A4331" i="1"/>
  <c r="J4330" i="1"/>
  <c r="I4330" i="1"/>
  <c r="H4330" i="1"/>
  <c r="G4330" i="1"/>
  <c r="F4330" i="1"/>
  <c r="D4330" i="1"/>
  <c r="B4330" i="1"/>
  <c r="A4330" i="1"/>
  <c r="J4329" i="1"/>
  <c r="I4329" i="1"/>
  <c r="H4329" i="1"/>
  <c r="G4329" i="1"/>
  <c r="F4329" i="1"/>
  <c r="D4329" i="1"/>
  <c r="B4329" i="1"/>
  <c r="A4329" i="1"/>
  <c r="J4328" i="1"/>
  <c r="I4328" i="1"/>
  <c r="H4328" i="1"/>
  <c r="G4328" i="1"/>
  <c r="F4328" i="1"/>
  <c r="D4328" i="1"/>
  <c r="B4328" i="1"/>
  <c r="A4328" i="1"/>
  <c r="J4327" i="1"/>
  <c r="I4327" i="1"/>
  <c r="H4327" i="1"/>
  <c r="G4327" i="1"/>
  <c r="F4327" i="1"/>
  <c r="D4327" i="1"/>
  <c r="B4327" i="1"/>
  <c r="A4327" i="1"/>
  <c r="J4326" i="1"/>
  <c r="I4326" i="1"/>
  <c r="H4326" i="1"/>
  <c r="G4326" i="1"/>
  <c r="F4326" i="1"/>
  <c r="D4326" i="1"/>
  <c r="B4326" i="1"/>
  <c r="A4326" i="1"/>
  <c r="J4325" i="1"/>
  <c r="I4325" i="1"/>
  <c r="H4325" i="1"/>
  <c r="G4325" i="1"/>
  <c r="F4325" i="1"/>
  <c r="D4325" i="1"/>
  <c r="B4325" i="1"/>
  <c r="A4325" i="1"/>
  <c r="J4324" i="1"/>
  <c r="I4324" i="1"/>
  <c r="H4324" i="1"/>
  <c r="G4324" i="1"/>
  <c r="F4324" i="1"/>
  <c r="D4324" i="1"/>
  <c r="B4324" i="1"/>
  <c r="A4324" i="1"/>
  <c r="J4323" i="1"/>
  <c r="I4323" i="1"/>
  <c r="H4323" i="1"/>
  <c r="G4323" i="1"/>
  <c r="F4323" i="1"/>
  <c r="D4323" i="1"/>
  <c r="B4323" i="1"/>
  <c r="A4323" i="1"/>
  <c r="J4322" i="1"/>
  <c r="I4322" i="1"/>
  <c r="H4322" i="1"/>
  <c r="G4322" i="1"/>
  <c r="F4322" i="1"/>
  <c r="D4322" i="1"/>
  <c r="B4322" i="1"/>
  <c r="A4322" i="1"/>
  <c r="J4321" i="1"/>
  <c r="I4321" i="1"/>
  <c r="H4321" i="1"/>
  <c r="G4321" i="1"/>
  <c r="F4321" i="1"/>
  <c r="D4321" i="1"/>
  <c r="B4321" i="1"/>
  <c r="A4321" i="1"/>
  <c r="J4320" i="1"/>
  <c r="I4320" i="1"/>
  <c r="H4320" i="1"/>
  <c r="G4320" i="1"/>
  <c r="F4320" i="1"/>
  <c r="D4320" i="1"/>
  <c r="B4320" i="1"/>
  <c r="A4320" i="1"/>
  <c r="J4319" i="1"/>
  <c r="I4319" i="1"/>
  <c r="H4319" i="1"/>
  <c r="G4319" i="1"/>
  <c r="F4319" i="1"/>
  <c r="D4319" i="1"/>
  <c r="B4319" i="1"/>
  <c r="A4319" i="1"/>
  <c r="J4318" i="1"/>
  <c r="I4318" i="1"/>
  <c r="H4318" i="1"/>
  <c r="G4318" i="1"/>
  <c r="F4318" i="1"/>
  <c r="D4318" i="1"/>
  <c r="B4318" i="1"/>
  <c r="A4318" i="1"/>
  <c r="J4317" i="1"/>
  <c r="I4317" i="1"/>
  <c r="H4317" i="1"/>
  <c r="G4317" i="1"/>
  <c r="F4317" i="1"/>
  <c r="D4317" i="1"/>
  <c r="B4317" i="1"/>
  <c r="A4317" i="1"/>
  <c r="J4316" i="1"/>
  <c r="I4316" i="1"/>
  <c r="H4316" i="1"/>
  <c r="G4316" i="1"/>
  <c r="F4316" i="1"/>
  <c r="D4316" i="1"/>
  <c r="B4316" i="1"/>
  <c r="A4316" i="1"/>
  <c r="J4315" i="1"/>
  <c r="I4315" i="1"/>
  <c r="H4315" i="1"/>
  <c r="G4315" i="1"/>
  <c r="F4315" i="1"/>
  <c r="D4315" i="1"/>
  <c r="B4315" i="1"/>
  <c r="A4315" i="1"/>
  <c r="J4314" i="1"/>
  <c r="I4314" i="1"/>
  <c r="H4314" i="1"/>
  <c r="G4314" i="1"/>
  <c r="F4314" i="1"/>
  <c r="D4314" i="1"/>
  <c r="B4314" i="1"/>
  <c r="A4314" i="1"/>
  <c r="J4313" i="1"/>
  <c r="I4313" i="1"/>
  <c r="H4313" i="1"/>
  <c r="G4313" i="1"/>
  <c r="F4313" i="1"/>
  <c r="D4313" i="1"/>
  <c r="B4313" i="1"/>
  <c r="A4313" i="1"/>
  <c r="J4312" i="1"/>
  <c r="I4312" i="1"/>
  <c r="H4312" i="1"/>
  <c r="G4312" i="1"/>
  <c r="F4312" i="1"/>
  <c r="D4312" i="1"/>
  <c r="B4312" i="1"/>
  <c r="A4312" i="1"/>
  <c r="J4311" i="1"/>
  <c r="I4311" i="1"/>
  <c r="H4311" i="1"/>
  <c r="G4311" i="1"/>
  <c r="F4311" i="1"/>
  <c r="D4311" i="1"/>
  <c r="B4311" i="1"/>
  <c r="A4311" i="1"/>
  <c r="J4310" i="1"/>
  <c r="I4310" i="1"/>
  <c r="H4310" i="1"/>
  <c r="G4310" i="1"/>
  <c r="F4310" i="1"/>
  <c r="D4310" i="1"/>
  <c r="B4310" i="1"/>
  <c r="A4310" i="1"/>
  <c r="J4309" i="1"/>
  <c r="I4309" i="1"/>
  <c r="H4309" i="1"/>
  <c r="G4309" i="1"/>
  <c r="F4309" i="1"/>
  <c r="D4309" i="1"/>
  <c r="B4309" i="1"/>
  <c r="A4309" i="1"/>
  <c r="J4308" i="1"/>
  <c r="I4308" i="1"/>
  <c r="H4308" i="1"/>
  <c r="G4308" i="1"/>
  <c r="F4308" i="1"/>
  <c r="D4308" i="1"/>
  <c r="B4308" i="1"/>
  <c r="A4308" i="1"/>
  <c r="J4307" i="1"/>
  <c r="I4307" i="1"/>
  <c r="H4307" i="1"/>
  <c r="G4307" i="1"/>
  <c r="F4307" i="1"/>
  <c r="D4307" i="1"/>
  <c r="B4307" i="1"/>
  <c r="A4307" i="1"/>
  <c r="J4306" i="1"/>
  <c r="I4306" i="1"/>
  <c r="H4306" i="1"/>
  <c r="G4306" i="1"/>
  <c r="F4306" i="1"/>
  <c r="D4306" i="1"/>
  <c r="B4306" i="1"/>
  <c r="A4306" i="1"/>
  <c r="J4305" i="1"/>
  <c r="I4305" i="1"/>
  <c r="H4305" i="1"/>
  <c r="G4305" i="1"/>
  <c r="F4305" i="1"/>
  <c r="D4305" i="1"/>
  <c r="B4305" i="1"/>
  <c r="A4305" i="1"/>
  <c r="J4304" i="1"/>
  <c r="I4304" i="1"/>
  <c r="H4304" i="1"/>
  <c r="G4304" i="1"/>
  <c r="F4304" i="1"/>
  <c r="D4304" i="1"/>
  <c r="B4304" i="1"/>
  <c r="A4304" i="1"/>
  <c r="J4303" i="1"/>
  <c r="I4303" i="1"/>
  <c r="H4303" i="1"/>
  <c r="G4303" i="1"/>
  <c r="F4303" i="1"/>
  <c r="D4303" i="1"/>
  <c r="B4303" i="1"/>
  <c r="A4303" i="1"/>
  <c r="J4302" i="1"/>
  <c r="I4302" i="1"/>
  <c r="H4302" i="1"/>
  <c r="G4302" i="1"/>
  <c r="F4302" i="1"/>
  <c r="D4302" i="1"/>
  <c r="B4302" i="1"/>
  <c r="A4302" i="1"/>
  <c r="J4301" i="1"/>
  <c r="I4301" i="1"/>
  <c r="H4301" i="1"/>
  <c r="G4301" i="1"/>
  <c r="F4301" i="1"/>
  <c r="D4301" i="1"/>
  <c r="B4301" i="1"/>
  <c r="A4301" i="1"/>
  <c r="J4300" i="1"/>
  <c r="I4300" i="1"/>
  <c r="H4300" i="1"/>
  <c r="G4300" i="1"/>
  <c r="F4300" i="1"/>
  <c r="D4300" i="1"/>
  <c r="B4300" i="1"/>
  <c r="A4300" i="1"/>
  <c r="J4299" i="1"/>
  <c r="I4299" i="1"/>
  <c r="H4299" i="1"/>
  <c r="G4299" i="1"/>
  <c r="F4299" i="1"/>
  <c r="D4299" i="1"/>
  <c r="B4299" i="1"/>
  <c r="A4299" i="1"/>
  <c r="J4298" i="1"/>
  <c r="I4298" i="1"/>
  <c r="H4298" i="1"/>
  <c r="G4298" i="1"/>
  <c r="F4298" i="1"/>
  <c r="D4298" i="1"/>
  <c r="B4298" i="1"/>
  <c r="A4298" i="1"/>
  <c r="J4297" i="1"/>
  <c r="I4297" i="1"/>
  <c r="H4297" i="1"/>
  <c r="G4297" i="1"/>
  <c r="F4297" i="1"/>
  <c r="D4297" i="1"/>
  <c r="B4297" i="1"/>
  <c r="A4297" i="1"/>
  <c r="J4296" i="1"/>
  <c r="I4296" i="1"/>
  <c r="H4296" i="1"/>
  <c r="G4296" i="1"/>
  <c r="F4296" i="1"/>
  <c r="D4296" i="1"/>
  <c r="B4296" i="1"/>
  <c r="A4296" i="1"/>
  <c r="J4295" i="1"/>
  <c r="I4295" i="1"/>
  <c r="H4295" i="1"/>
  <c r="G4295" i="1"/>
  <c r="F4295" i="1"/>
  <c r="D4295" i="1"/>
  <c r="B4295" i="1"/>
  <c r="A4295" i="1"/>
  <c r="J4294" i="1"/>
  <c r="I4294" i="1"/>
  <c r="H4294" i="1"/>
  <c r="G4294" i="1"/>
  <c r="F4294" i="1"/>
  <c r="D4294" i="1"/>
  <c r="B4294" i="1"/>
  <c r="A4294" i="1"/>
  <c r="J4293" i="1"/>
  <c r="I4293" i="1"/>
  <c r="H4293" i="1"/>
  <c r="G4293" i="1"/>
  <c r="F4293" i="1"/>
  <c r="D4293" i="1"/>
  <c r="B4293" i="1"/>
  <c r="A4293" i="1"/>
  <c r="J4292" i="1"/>
  <c r="I4292" i="1"/>
  <c r="H4292" i="1"/>
  <c r="G4292" i="1"/>
  <c r="F4292" i="1"/>
  <c r="D4292" i="1"/>
  <c r="B4292" i="1"/>
  <c r="A4292" i="1"/>
  <c r="J4291" i="1"/>
  <c r="I4291" i="1"/>
  <c r="H4291" i="1"/>
  <c r="G4291" i="1"/>
  <c r="F4291" i="1"/>
  <c r="D4291" i="1"/>
  <c r="B4291" i="1"/>
  <c r="A4291" i="1"/>
  <c r="J4290" i="1"/>
  <c r="I4290" i="1"/>
  <c r="H4290" i="1"/>
  <c r="G4290" i="1"/>
  <c r="F4290" i="1"/>
  <c r="D4290" i="1"/>
  <c r="B4290" i="1"/>
  <c r="A4290" i="1"/>
  <c r="J4289" i="1"/>
  <c r="I4289" i="1"/>
  <c r="H4289" i="1"/>
  <c r="G4289" i="1"/>
  <c r="F4289" i="1"/>
  <c r="D4289" i="1"/>
  <c r="B4289" i="1"/>
  <c r="A4289" i="1"/>
  <c r="J4288" i="1"/>
  <c r="I4288" i="1"/>
  <c r="H4288" i="1"/>
  <c r="G4288" i="1"/>
  <c r="F4288" i="1"/>
  <c r="D4288" i="1"/>
  <c r="B4288" i="1"/>
  <c r="A4288" i="1"/>
  <c r="J4287" i="1"/>
  <c r="I4287" i="1"/>
  <c r="H4287" i="1"/>
  <c r="G4287" i="1"/>
  <c r="F4287" i="1"/>
  <c r="D4287" i="1"/>
  <c r="B4287" i="1"/>
  <c r="A4287" i="1"/>
  <c r="J4286" i="1"/>
  <c r="I4286" i="1"/>
  <c r="H4286" i="1"/>
  <c r="G4286" i="1"/>
  <c r="F4286" i="1"/>
  <c r="D4286" i="1"/>
  <c r="B4286" i="1"/>
  <c r="A4286" i="1"/>
  <c r="J4285" i="1"/>
  <c r="I4285" i="1"/>
  <c r="H4285" i="1"/>
  <c r="G4285" i="1"/>
  <c r="F4285" i="1"/>
  <c r="D4285" i="1"/>
  <c r="B4285" i="1"/>
  <c r="A4285" i="1"/>
  <c r="J4284" i="1"/>
  <c r="I4284" i="1"/>
  <c r="H4284" i="1"/>
  <c r="G4284" i="1"/>
  <c r="F4284" i="1"/>
  <c r="D4284" i="1"/>
  <c r="B4284" i="1"/>
  <c r="A4284" i="1"/>
  <c r="J4283" i="1"/>
  <c r="I4283" i="1"/>
  <c r="H4283" i="1"/>
  <c r="G4283" i="1"/>
  <c r="F4283" i="1"/>
  <c r="D4283" i="1"/>
  <c r="B4283" i="1"/>
  <c r="A4283" i="1"/>
  <c r="J4282" i="1"/>
  <c r="I4282" i="1"/>
  <c r="H4282" i="1"/>
  <c r="G4282" i="1"/>
  <c r="F4282" i="1"/>
  <c r="D4282" i="1"/>
  <c r="B4282" i="1"/>
  <c r="A4282" i="1"/>
  <c r="J4281" i="1"/>
  <c r="I4281" i="1"/>
  <c r="H4281" i="1"/>
  <c r="G4281" i="1"/>
  <c r="F4281" i="1"/>
  <c r="D4281" i="1"/>
  <c r="B4281" i="1"/>
  <c r="A4281" i="1"/>
  <c r="J4280" i="1"/>
  <c r="I4280" i="1"/>
  <c r="H4280" i="1"/>
  <c r="G4280" i="1"/>
  <c r="F4280" i="1"/>
  <c r="D4280" i="1"/>
  <c r="B4280" i="1"/>
  <c r="A4280" i="1"/>
  <c r="J4279" i="1"/>
  <c r="I4279" i="1"/>
  <c r="H4279" i="1"/>
  <c r="G4279" i="1"/>
  <c r="F4279" i="1"/>
  <c r="D4279" i="1"/>
  <c r="B4279" i="1"/>
  <c r="A4279" i="1"/>
  <c r="J4278" i="1"/>
  <c r="I4278" i="1"/>
  <c r="H4278" i="1"/>
  <c r="G4278" i="1"/>
  <c r="F4278" i="1"/>
  <c r="D4278" i="1"/>
  <c r="B4278" i="1"/>
  <c r="A4278" i="1"/>
  <c r="J4277" i="1"/>
  <c r="I4277" i="1"/>
  <c r="H4277" i="1"/>
  <c r="G4277" i="1"/>
  <c r="F4277" i="1"/>
  <c r="D4277" i="1"/>
  <c r="B4277" i="1"/>
  <c r="A4277" i="1"/>
  <c r="J4276" i="1"/>
  <c r="I4276" i="1"/>
  <c r="H4276" i="1"/>
  <c r="G4276" i="1"/>
  <c r="F4276" i="1"/>
  <c r="D4276" i="1"/>
  <c r="B4276" i="1"/>
  <c r="A4276" i="1"/>
  <c r="J4275" i="1"/>
  <c r="I4275" i="1"/>
  <c r="H4275" i="1"/>
  <c r="G4275" i="1"/>
  <c r="F4275" i="1"/>
  <c r="D4275" i="1"/>
  <c r="B4275" i="1"/>
  <c r="A4275" i="1"/>
  <c r="J4274" i="1"/>
  <c r="I4274" i="1"/>
  <c r="H4274" i="1"/>
  <c r="G4274" i="1"/>
  <c r="F4274" i="1"/>
  <c r="D4274" i="1"/>
  <c r="B4274" i="1"/>
  <c r="A4274" i="1"/>
  <c r="J4273" i="1"/>
  <c r="I4273" i="1"/>
  <c r="H4273" i="1"/>
  <c r="G4273" i="1"/>
  <c r="F4273" i="1"/>
  <c r="D4273" i="1"/>
  <c r="B4273" i="1"/>
  <c r="A4273" i="1"/>
  <c r="J4272" i="1"/>
  <c r="I4272" i="1"/>
  <c r="H4272" i="1"/>
  <c r="G4272" i="1"/>
  <c r="F4272" i="1"/>
  <c r="D4272" i="1"/>
  <c r="B4272" i="1"/>
  <c r="A4272" i="1"/>
  <c r="J4271" i="1"/>
  <c r="I4271" i="1"/>
  <c r="H4271" i="1"/>
  <c r="G4271" i="1"/>
  <c r="F4271" i="1"/>
  <c r="D4271" i="1"/>
  <c r="B4271" i="1"/>
  <c r="A4271" i="1"/>
  <c r="J4270" i="1"/>
  <c r="I4270" i="1"/>
  <c r="H4270" i="1"/>
  <c r="G4270" i="1"/>
  <c r="F4270" i="1"/>
  <c r="D4270" i="1"/>
  <c r="B4270" i="1"/>
  <c r="A4270" i="1"/>
  <c r="J4269" i="1"/>
  <c r="I4269" i="1"/>
  <c r="H4269" i="1"/>
  <c r="G4269" i="1"/>
  <c r="F4269" i="1"/>
  <c r="D4269" i="1"/>
  <c r="B4269" i="1"/>
  <c r="A4269" i="1"/>
  <c r="J4268" i="1"/>
  <c r="I4268" i="1"/>
  <c r="H4268" i="1"/>
  <c r="G4268" i="1"/>
  <c r="F4268" i="1"/>
  <c r="D4268" i="1"/>
  <c r="B4268" i="1"/>
  <c r="A4268" i="1"/>
  <c r="J4267" i="1"/>
  <c r="I4267" i="1"/>
  <c r="H4267" i="1"/>
  <c r="G4267" i="1"/>
  <c r="F4267" i="1"/>
  <c r="D4267" i="1"/>
  <c r="B4267" i="1"/>
  <c r="A4267" i="1"/>
  <c r="J4266" i="1"/>
  <c r="I4266" i="1"/>
  <c r="H4266" i="1"/>
  <c r="G4266" i="1"/>
  <c r="F4266" i="1"/>
  <c r="D4266" i="1"/>
  <c r="B4266" i="1"/>
  <c r="A4266" i="1"/>
  <c r="J4265" i="1"/>
  <c r="I4265" i="1"/>
  <c r="H4265" i="1"/>
  <c r="G4265" i="1"/>
  <c r="F4265" i="1"/>
  <c r="D4265" i="1"/>
  <c r="B4265" i="1"/>
  <c r="A4265" i="1"/>
  <c r="J4264" i="1"/>
  <c r="I4264" i="1"/>
  <c r="H4264" i="1"/>
  <c r="G4264" i="1"/>
  <c r="F4264" i="1"/>
  <c r="D4264" i="1"/>
  <c r="B4264" i="1"/>
  <c r="A4264" i="1"/>
  <c r="J4263" i="1"/>
  <c r="I4263" i="1"/>
  <c r="H4263" i="1"/>
  <c r="G4263" i="1"/>
  <c r="F4263" i="1"/>
  <c r="D4263" i="1"/>
  <c r="B4263" i="1"/>
  <c r="A4263" i="1"/>
  <c r="J4262" i="1"/>
  <c r="I4262" i="1"/>
  <c r="H4262" i="1"/>
  <c r="G4262" i="1"/>
  <c r="F4262" i="1"/>
  <c r="D4262" i="1"/>
  <c r="B4262" i="1"/>
  <c r="A4262" i="1"/>
  <c r="J4261" i="1"/>
  <c r="I4261" i="1"/>
  <c r="H4261" i="1"/>
  <c r="G4261" i="1"/>
  <c r="F4261" i="1"/>
  <c r="D4261" i="1"/>
  <c r="B4261" i="1"/>
  <c r="A4261" i="1"/>
  <c r="J4260" i="1"/>
  <c r="I4260" i="1"/>
  <c r="H4260" i="1"/>
  <c r="G4260" i="1"/>
  <c r="F4260" i="1"/>
  <c r="D4260" i="1"/>
  <c r="B4260" i="1"/>
  <c r="A4260" i="1"/>
  <c r="J4259" i="1"/>
  <c r="I4259" i="1"/>
  <c r="H4259" i="1"/>
  <c r="G4259" i="1"/>
  <c r="F4259" i="1"/>
  <c r="D4259" i="1"/>
  <c r="B4259" i="1"/>
  <c r="A4259" i="1"/>
  <c r="J4258" i="1"/>
  <c r="I4258" i="1"/>
  <c r="H4258" i="1"/>
  <c r="G4258" i="1"/>
  <c r="F4258" i="1"/>
  <c r="D4258" i="1"/>
  <c r="B4258" i="1"/>
  <c r="A4258" i="1"/>
  <c r="J4257" i="1"/>
  <c r="I4257" i="1"/>
  <c r="H4257" i="1"/>
  <c r="G4257" i="1"/>
  <c r="F4257" i="1"/>
  <c r="D4257" i="1"/>
  <c r="B4257" i="1"/>
  <c r="A4257" i="1"/>
  <c r="J4256" i="1"/>
  <c r="I4256" i="1"/>
  <c r="H4256" i="1"/>
  <c r="G4256" i="1"/>
  <c r="F4256" i="1"/>
  <c r="D4256" i="1"/>
  <c r="B4256" i="1"/>
  <c r="A4256" i="1"/>
  <c r="J4255" i="1"/>
  <c r="I4255" i="1"/>
  <c r="H4255" i="1"/>
  <c r="G4255" i="1"/>
  <c r="F4255" i="1"/>
  <c r="D4255" i="1"/>
  <c r="B4255" i="1"/>
  <c r="A4255" i="1"/>
  <c r="J4254" i="1"/>
  <c r="I4254" i="1"/>
  <c r="H4254" i="1"/>
  <c r="G4254" i="1"/>
  <c r="F4254" i="1"/>
  <c r="D4254" i="1"/>
  <c r="B4254" i="1"/>
  <c r="A4254" i="1"/>
  <c r="J4253" i="1"/>
  <c r="I4253" i="1"/>
  <c r="H4253" i="1"/>
  <c r="G4253" i="1"/>
  <c r="F4253" i="1"/>
  <c r="D4253" i="1"/>
  <c r="B4253" i="1"/>
  <c r="A4253" i="1"/>
  <c r="J4252" i="1"/>
  <c r="I4252" i="1"/>
  <c r="H4252" i="1"/>
  <c r="G4252" i="1"/>
  <c r="F4252" i="1"/>
  <c r="D4252" i="1"/>
  <c r="B4252" i="1"/>
  <c r="A4252" i="1"/>
  <c r="J4251" i="1"/>
  <c r="I4251" i="1"/>
  <c r="H4251" i="1"/>
  <c r="G4251" i="1"/>
  <c r="F4251" i="1"/>
  <c r="D4251" i="1"/>
  <c r="B4251" i="1"/>
  <c r="A4251" i="1"/>
  <c r="J4250" i="1"/>
  <c r="I4250" i="1"/>
  <c r="H4250" i="1"/>
  <c r="G4250" i="1"/>
  <c r="F4250" i="1"/>
  <c r="D4250" i="1"/>
  <c r="B4250" i="1"/>
  <c r="A4250" i="1"/>
  <c r="J4249" i="1"/>
  <c r="I4249" i="1"/>
  <c r="H4249" i="1"/>
  <c r="G4249" i="1"/>
  <c r="F4249" i="1"/>
  <c r="D4249" i="1"/>
  <c r="B4249" i="1"/>
  <c r="A4249" i="1"/>
  <c r="J4248" i="1"/>
  <c r="I4248" i="1"/>
  <c r="H4248" i="1"/>
  <c r="G4248" i="1"/>
  <c r="F4248" i="1"/>
  <c r="D4248" i="1"/>
  <c r="B4248" i="1"/>
  <c r="A4248" i="1"/>
  <c r="J4247" i="1"/>
  <c r="I4247" i="1"/>
  <c r="H4247" i="1"/>
  <c r="G4247" i="1"/>
  <c r="F4247" i="1"/>
  <c r="D4247" i="1"/>
  <c r="B4247" i="1"/>
  <c r="A4247" i="1"/>
  <c r="J4246" i="1"/>
  <c r="I4246" i="1"/>
  <c r="H4246" i="1"/>
  <c r="G4246" i="1"/>
  <c r="F4246" i="1"/>
  <c r="D4246" i="1"/>
  <c r="B4246" i="1"/>
  <c r="A4246" i="1"/>
  <c r="J4245" i="1"/>
  <c r="I4245" i="1"/>
  <c r="H4245" i="1"/>
  <c r="G4245" i="1"/>
  <c r="F4245" i="1"/>
  <c r="D4245" i="1"/>
  <c r="B4245" i="1"/>
  <c r="A4245" i="1"/>
  <c r="J4244" i="1"/>
  <c r="I4244" i="1"/>
  <c r="H4244" i="1"/>
  <c r="G4244" i="1"/>
  <c r="F4244" i="1"/>
  <c r="D4244" i="1"/>
  <c r="B4244" i="1"/>
  <c r="A4244" i="1"/>
  <c r="J4243" i="1"/>
  <c r="I4243" i="1"/>
  <c r="H4243" i="1"/>
  <c r="G4243" i="1"/>
  <c r="F4243" i="1"/>
  <c r="D4243" i="1"/>
  <c r="B4243" i="1"/>
  <c r="A4243" i="1"/>
  <c r="J4242" i="1"/>
  <c r="I4242" i="1"/>
  <c r="H4242" i="1"/>
  <c r="G4242" i="1"/>
  <c r="F4242" i="1"/>
  <c r="D4242" i="1"/>
  <c r="B4242" i="1"/>
  <c r="A4242" i="1"/>
  <c r="J4241" i="1"/>
  <c r="I4241" i="1"/>
  <c r="H4241" i="1"/>
  <c r="G4241" i="1"/>
  <c r="F4241" i="1"/>
  <c r="D4241" i="1"/>
  <c r="B4241" i="1"/>
  <c r="A4241" i="1"/>
  <c r="J4240" i="1"/>
  <c r="I4240" i="1"/>
  <c r="H4240" i="1"/>
  <c r="G4240" i="1"/>
  <c r="F4240" i="1"/>
  <c r="D4240" i="1"/>
  <c r="B4240" i="1"/>
  <c r="A4240" i="1"/>
  <c r="J4239" i="1"/>
  <c r="I4239" i="1"/>
  <c r="H4239" i="1"/>
  <c r="G4239" i="1"/>
  <c r="F4239" i="1"/>
  <c r="D4239" i="1"/>
  <c r="B4239" i="1"/>
  <c r="A4239" i="1"/>
  <c r="J4238" i="1"/>
  <c r="I4238" i="1"/>
  <c r="H4238" i="1"/>
  <c r="G4238" i="1"/>
  <c r="F4238" i="1"/>
  <c r="D4238" i="1"/>
  <c r="B4238" i="1"/>
  <c r="A4238" i="1"/>
  <c r="J4237" i="1"/>
  <c r="I4237" i="1"/>
  <c r="H4237" i="1"/>
  <c r="G4237" i="1"/>
  <c r="F4237" i="1"/>
  <c r="D4237" i="1"/>
  <c r="B4237" i="1"/>
  <c r="A4237" i="1"/>
  <c r="J4236" i="1"/>
  <c r="I4236" i="1"/>
  <c r="H4236" i="1"/>
  <c r="G4236" i="1"/>
  <c r="F4236" i="1"/>
  <c r="D4236" i="1"/>
  <c r="B4236" i="1"/>
  <c r="A4236" i="1"/>
  <c r="J4235" i="1"/>
  <c r="I4235" i="1"/>
  <c r="H4235" i="1"/>
  <c r="G4235" i="1"/>
  <c r="F4235" i="1"/>
  <c r="D4235" i="1"/>
  <c r="B4235" i="1"/>
  <c r="A4235" i="1"/>
  <c r="J4234" i="1"/>
  <c r="I4234" i="1"/>
  <c r="H4234" i="1"/>
  <c r="G4234" i="1"/>
  <c r="F4234" i="1"/>
  <c r="D4234" i="1"/>
  <c r="B4234" i="1"/>
  <c r="A4234" i="1"/>
  <c r="J4233" i="1"/>
  <c r="I4233" i="1"/>
  <c r="H4233" i="1"/>
  <c r="G4233" i="1"/>
  <c r="F4233" i="1"/>
  <c r="D4233" i="1"/>
  <c r="B4233" i="1"/>
  <c r="A4233" i="1"/>
  <c r="J4232" i="1"/>
  <c r="I4232" i="1"/>
  <c r="H4232" i="1"/>
  <c r="G4232" i="1"/>
  <c r="F4232" i="1"/>
  <c r="D4232" i="1"/>
  <c r="B4232" i="1"/>
  <c r="A4232" i="1"/>
  <c r="J4231" i="1"/>
  <c r="I4231" i="1"/>
  <c r="H4231" i="1"/>
  <c r="G4231" i="1"/>
  <c r="F4231" i="1"/>
  <c r="D4231" i="1"/>
  <c r="B4231" i="1"/>
  <c r="A4231" i="1"/>
  <c r="J4230" i="1"/>
  <c r="I4230" i="1"/>
  <c r="H4230" i="1"/>
  <c r="G4230" i="1"/>
  <c r="F4230" i="1"/>
  <c r="D4230" i="1"/>
  <c r="B4230" i="1"/>
  <c r="A4230" i="1"/>
  <c r="J4229" i="1"/>
  <c r="I4229" i="1"/>
  <c r="H4229" i="1"/>
  <c r="G4229" i="1"/>
  <c r="F4229" i="1"/>
  <c r="D4229" i="1"/>
  <c r="B4229" i="1"/>
  <c r="A4229" i="1"/>
  <c r="J4228" i="1"/>
  <c r="I4228" i="1"/>
  <c r="H4228" i="1"/>
  <c r="G4228" i="1"/>
  <c r="F4228" i="1"/>
  <c r="D4228" i="1"/>
  <c r="B4228" i="1"/>
  <c r="A4228" i="1"/>
  <c r="J4227" i="1"/>
  <c r="I4227" i="1"/>
  <c r="H4227" i="1"/>
  <c r="G4227" i="1"/>
  <c r="F4227" i="1"/>
  <c r="D4227" i="1"/>
  <c r="B4227" i="1"/>
  <c r="A4227" i="1"/>
  <c r="J4226" i="1"/>
  <c r="I4226" i="1"/>
  <c r="H4226" i="1"/>
  <c r="G4226" i="1"/>
  <c r="F4226" i="1"/>
  <c r="D4226" i="1"/>
  <c r="B4226" i="1"/>
  <c r="A4226" i="1"/>
  <c r="J4225" i="1"/>
  <c r="I4225" i="1"/>
  <c r="H4225" i="1"/>
  <c r="G4225" i="1"/>
  <c r="F4225" i="1"/>
  <c r="D4225" i="1"/>
  <c r="B4225" i="1"/>
  <c r="A4225" i="1"/>
  <c r="J4224" i="1"/>
  <c r="I4224" i="1"/>
  <c r="H4224" i="1"/>
  <c r="G4224" i="1"/>
  <c r="F4224" i="1"/>
  <c r="D4224" i="1"/>
  <c r="B4224" i="1"/>
  <c r="A4224" i="1"/>
  <c r="J4223" i="1"/>
  <c r="I4223" i="1"/>
  <c r="H4223" i="1"/>
  <c r="G4223" i="1"/>
  <c r="F4223" i="1"/>
  <c r="D4223" i="1"/>
  <c r="B4223" i="1"/>
  <c r="A4223" i="1"/>
  <c r="J4222" i="1"/>
  <c r="I4222" i="1"/>
  <c r="H4222" i="1"/>
  <c r="G4222" i="1"/>
  <c r="F4222" i="1"/>
  <c r="D4222" i="1"/>
  <c r="B4222" i="1"/>
  <c r="A4222" i="1"/>
  <c r="J4221" i="1"/>
  <c r="I4221" i="1"/>
  <c r="H4221" i="1"/>
  <c r="G4221" i="1"/>
  <c r="F4221" i="1"/>
  <c r="D4221" i="1"/>
  <c r="B4221" i="1"/>
  <c r="A4221" i="1"/>
  <c r="J4220" i="1"/>
  <c r="I4220" i="1"/>
  <c r="H4220" i="1"/>
  <c r="G4220" i="1"/>
  <c r="F4220" i="1"/>
  <c r="D4220" i="1"/>
  <c r="B4220" i="1"/>
  <c r="A4220" i="1"/>
  <c r="J4219" i="1"/>
  <c r="I4219" i="1"/>
  <c r="H4219" i="1"/>
  <c r="G4219" i="1"/>
  <c r="F4219" i="1"/>
  <c r="D4219" i="1"/>
  <c r="B4219" i="1"/>
  <c r="A4219" i="1"/>
  <c r="J4218" i="1"/>
  <c r="I4218" i="1"/>
  <c r="H4218" i="1"/>
  <c r="G4218" i="1"/>
  <c r="F4218" i="1"/>
  <c r="D4218" i="1"/>
  <c r="B4218" i="1"/>
  <c r="A4218" i="1"/>
  <c r="J4217" i="1"/>
  <c r="I4217" i="1"/>
  <c r="H4217" i="1"/>
  <c r="G4217" i="1"/>
  <c r="F4217" i="1"/>
  <c r="D4217" i="1"/>
  <c r="B4217" i="1"/>
  <c r="A4217" i="1"/>
  <c r="J4216" i="1"/>
  <c r="I4216" i="1"/>
  <c r="H4216" i="1"/>
  <c r="G4216" i="1"/>
  <c r="F4216" i="1"/>
  <c r="D4216" i="1"/>
  <c r="B4216" i="1"/>
  <c r="A4216" i="1"/>
  <c r="J4215" i="1"/>
  <c r="I4215" i="1"/>
  <c r="H4215" i="1"/>
  <c r="G4215" i="1"/>
  <c r="F4215" i="1"/>
  <c r="D4215" i="1"/>
  <c r="B4215" i="1"/>
  <c r="A4215" i="1"/>
  <c r="J4214" i="1"/>
  <c r="I4214" i="1"/>
  <c r="H4214" i="1"/>
  <c r="G4214" i="1"/>
  <c r="F4214" i="1"/>
  <c r="D4214" i="1"/>
  <c r="B4214" i="1"/>
  <c r="A4214" i="1"/>
  <c r="J4213" i="1"/>
  <c r="I4213" i="1"/>
  <c r="H4213" i="1"/>
  <c r="G4213" i="1"/>
  <c r="F4213" i="1"/>
  <c r="D4213" i="1"/>
  <c r="B4213" i="1"/>
  <c r="A4213" i="1"/>
  <c r="J4212" i="1"/>
  <c r="I4212" i="1"/>
  <c r="H4212" i="1"/>
  <c r="G4212" i="1"/>
  <c r="F4212" i="1"/>
  <c r="D4212" i="1"/>
  <c r="B4212" i="1"/>
  <c r="A4212" i="1"/>
  <c r="J4211" i="1"/>
  <c r="I4211" i="1"/>
  <c r="H4211" i="1"/>
  <c r="G4211" i="1"/>
  <c r="F4211" i="1"/>
  <c r="D4211" i="1"/>
  <c r="B4211" i="1"/>
  <c r="A4211" i="1"/>
  <c r="J4210" i="1"/>
  <c r="I4210" i="1"/>
  <c r="H4210" i="1"/>
  <c r="G4210" i="1"/>
  <c r="F4210" i="1"/>
  <c r="D4210" i="1"/>
  <c r="B4210" i="1"/>
  <c r="A4210" i="1"/>
  <c r="J4209" i="1"/>
  <c r="I4209" i="1"/>
  <c r="H4209" i="1"/>
  <c r="G4209" i="1"/>
  <c r="F4209" i="1"/>
  <c r="D4209" i="1"/>
  <c r="B4209" i="1"/>
  <c r="A4209" i="1"/>
  <c r="J4208" i="1"/>
  <c r="I4208" i="1"/>
  <c r="H4208" i="1"/>
  <c r="G4208" i="1"/>
  <c r="F4208" i="1"/>
  <c r="D4208" i="1"/>
  <c r="B4208" i="1"/>
  <c r="A4208" i="1"/>
  <c r="J4207" i="1"/>
  <c r="I4207" i="1"/>
  <c r="H4207" i="1"/>
  <c r="G4207" i="1"/>
  <c r="F4207" i="1"/>
  <c r="D4207" i="1"/>
  <c r="B4207" i="1"/>
  <c r="A4207" i="1"/>
  <c r="J4206" i="1"/>
  <c r="I4206" i="1"/>
  <c r="H4206" i="1"/>
  <c r="G4206" i="1"/>
  <c r="F4206" i="1"/>
  <c r="D4206" i="1"/>
  <c r="B4206" i="1"/>
  <c r="A4206" i="1"/>
  <c r="J4205" i="1"/>
  <c r="I4205" i="1"/>
  <c r="H4205" i="1"/>
  <c r="G4205" i="1"/>
  <c r="F4205" i="1"/>
  <c r="D4205" i="1"/>
  <c r="B4205" i="1"/>
  <c r="A4205" i="1"/>
  <c r="J4204" i="1"/>
  <c r="I4204" i="1"/>
  <c r="H4204" i="1"/>
  <c r="G4204" i="1"/>
  <c r="F4204" i="1"/>
  <c r="D4204" i="1"/>
  <c r="B4204" i="1"/>
  <c r="A4204" i="1"/>
  <c r="J4203" i="1"/>
  <c r="I4203" i="1"/>
  <c r="H4203" i="1"/>
  <c r="G4203" i="1"/>
  <c r="F4203" i="1"/>
  <c r="D4203" i="1"/>
  <c r="B4203" i="1"/>
  <c r="A4203" i="1"/>
  <c r="J4202" i="1"/>
  <c r="I4202" i="1"/>
  <c r="H4202" i="1"/>
  <c r="G4202" i="1"/>
  <c r="F4202" i="1"/>
  <c r="D4202" i="1"/>
  <c r="B4202" i="1"/>
  <c r="A4202" i="1"/>
  <c r="J4201" i="1"/>
  <c r="I4201" i="1"/>
  <c r="H4201" i="1"/>
  <c r="G4201" i="1"/>
  <c r="F4201" i="1"/>
  <c r="D4201" i="1"/>
  <c r="B4201" i="1"/>
  <c r="A4201" i="1"/>
  <c r="J4200" i="1"/>
  <c r="I4200" i="1"/>
  <c r="H4200" i="1"/>
  <c r="G4200" i="1"/>
  <c r="F4200" i="1"/>
  <c r="D4200" i="1"/>
  <c r="B4200" i="1"/>
  <c r="A4200" i="1"/>
  <c r="J4199" i="1"/>
  <c r="I4199" i="1"/>
  <c r="H4199" i="1"/>
  <c r="G4199" i="1"/>
  <c r="F4199" i="1"/>
  <c r="D4199" i="1"/>
  <c r="B4199" i="1"/>
  <c r="A4199" i="1"/>
  <c r="J4198" i="1"/>
  <c r="I4198" i="1"/>
  <c r="H4198" i="1"/>
  <c r="G4198" i="1"/>
  <c r="F4198" i="1"/>
  <c r="D4198" i="1"/>
  <c r="B4198" i="1"/>
  <c r="A4198" i="1"/>
  <c r="J4197" i="1"/>
  <c r="I4197" i="1"/>
  <c r="H4197" i="1"/>
  <c r="G4197" i="1"/>
  <c r="F4197" i="1"/>
  <c r="D4197" i="1"/>
  <c r="B4197" i="1"/>
  <c r="A4197" i="1"/>
  <c r="J4196" i="1"/>
  <c r="I4196" i="1"/>
  <c r="H4196" i="1"/>
  <c r="G4196" i="1"/>
  <c r="F4196" i="1"/>
  <c r="D4196" i="1"/>
  <c r="B4196" i="1"/>
  <c r="A4196" i="1"/>
  <c r="J4195" i="1"/>
  <c r="I4195" i="1"/>
  <c r="H4195" i="1"/>
  <c r="G4195" i="1"/>
  <c r="F4195" i="1"/>
  <c r="D4195" i="1"/>
  <c r="B4195" i="1"/>
  <c r="A4195" i="1"/>
  <c r="J4194" i="1"/>
  <c r="I4194" i="1"/>
  <c r="H4194" i="1"/>
  <c r="G4194" i="1"/>
  <c r="F4194" i="1"/>
  <c r="D4194" i="1"/>
  <c r="B4194" i="1"/>
  <c r="A4194" i="1"/>
  <c r="J4193" i="1"/>
  <c r="I4193" i="1"/>
  <c r="H4193" i="1"/>
  <c r="G4193" i="1"/>
  <c r="F4193" i="1"/>
  <c r="D4193" i="1"/>
  <c r="B4193" i="1"/>
  <c r="A4193" i="1"/>
  <c r="J4192" i="1"/>
  <c r="I4192" i="1"/>
  <c r="H4192" i="1"/>
  <c r="G4192" i="1"/>
  <c r="F4192" i="1"/>
  <c r="D4192" i="1"/>
  <c r="B4192" i="1"/>
  <c r="A4192" i="1"/>
  <c r="J4191" i="1"/>
  <c r="I4191" i="1"/>
  <c r="H4191" i="1"/>
  <c r="G4191" i="1"/>
  <c r="F4191" i="1"/>
  <c r="D4191" i="1"/>
  <c r="B4191" i="1"/>
  <c r="A4191" i="1"/>
  <c r="J4190" i="1"/>
  <c r="I4190" i="1"/>
  <c r="H4190" i="1"/>
  <c r="G4190" i="1"/>
  <c r="F4190" i="1"/>
  <c r="D4190" i="1"/>
  <c r="B4190" i="1"/>
  <c r="A4190" i="1"/>
  <c r="J4189" i="1"/>
  <c r="I4189" i="1"/>
  <c r="H4189" i="1"/>
  <c r="G4189" i="1"/>
  <c r="F4189" i="1"/>
  <c r="D4189" i="1"/>
  <c r="B4189" i="1"/>
  <c r="A4189" i="1"/>
  <c r="J4188" i="1"/>
  <c r="I4188" i="1"/>
  <c r="H4188" i="1"/>
  <c r="G4188" i="1"/>
  <c r="F4188" i="1"/>
  <c r="D4188" i="1"/>
  <c r="B4188" i="1"/>
  <c r="A4188" i="1"/>
  <c r="J4187" i="1"/>
  <c r="I4187" i="1"/>
  <c r="H4187" i="1"/>
  <c r="G4187" i="1"/>
  <c r="F4187" i="1"/>
  <c r="D4187" i="1"/>
  <c r="B4187" i="1"/>
  <c r="A4187" i="1"/>
  <c r="J4186" i="1"/>
  <c r="I4186" i="1"/>
  <c r="H4186" i="1"/>
  <c r="G4186" i="1"/>
  <c r="F4186" i="1"/>
  <c r="D4186" i="1"/>
  <c r="B4186" i="1"/>
  <c r="A4186" i="1"/>
  <c r="J4185" i="1"/>
  <c r="I4185" i="1"/>
  <c r="H4185" i="1"/>
  <c r="G4185" i="1"/>
  <c r="F4185" i="1"/>
  <c r="D4185" i="1"/>
  <c r="B4185" i="1"/>
  <c r="A4185" i="1"/>
  <c r="J4184" i="1"/>
  <c r="I4184" i="1"/>
  <c r="H4184" i="1"/>
  <c r="G4184" i="1"/>
  <c r="F4184" i="1"/>
  <c r="D4184" i="1"/>
  <c r="B4184" i="1"/>
  <c r="A4184" i="1"/>
  <c r="J4183" i="1"/>
  <c r="I4183" i="1"/>
  <c r="H4183" i="1"/>
  <c r="G4183" i="1"/>
  <c r="F4183" i="1"/>
  <c r="D4183" i="1"/>
  <c r="B4183" i="1"/>
  <c r="A4183" i="1"/>
  <c r="J4182" i="1"/>
  <c r="I4182" i="1"/>
  <c r="H4182" i="1"/>
  <c r="G4182" i="1"/>
  <c r="F4182" i="1"/>
  <c r="D4182" i="1"/>
  <c r="B4182" i="1"/>
  <c r="A4182" i="1"/>
  <c r="J4181" i="1"/>
  <c r="I4181" i="1"/>
  <c r="H4181" i="1"/>
  <c r="G4181" i="1"/>
  <c r="F4181" i="1"/>
  <c r="D4181" i="1"/>
  <c r="B4181" i="1"/>
  <c r="A4181" i="1"/>
  <c r="J4180" i="1"/>
  <c r="I4180" i="1"/>
  <c r="H4180" i="1"/>
  <c r="G4180" i="1"/>
  <c r="F4180" i="1"/>
  <c r="D4180" i="1"/>
  <c r="B4180" i="1"/>
  <c r="A4180" i="1"/>
  <c r="J4179" i="1"/>
  <c r="I4179" i="1"/>
  <c r="H4179" i="1"/>
  <c r="G4179" i="1"/>
  <c r="F4179" i="1"/>
  <c r="D4179" i="1"/>
  <c r="B4179" i="1"/>
  <c r="A4179" i="1"/>
  <c r="J4178" i="1"/>
  <c r="I4178" i="1"/>
  <c r="H4178" i="1"/>
  <c r="G4178" i="1"/>
  <c r="F4178" i="1"/>
  <c r="D4178" i="1"/>
  <c r="B4178" i="1"/>
  <c r="A4178" i="1"/>
  <c r="J4177" i="1"/>
  <c r="I4177" i="1"/>
  <c r="H4177" i="1"/>
  <c r="G4177" i="1"/>
  <c r="F4177" i="1"/>
  <c r="D4177" i="1"/>
  <c r="B4177" i="1"/>
  <c r="A4177" i="1"/>
  <c r="J4176" i="1"/>
  <c r="I4176" i="1"/>
  <c r="H4176" i="1"/>
  <c r="G4176" i="1"/>
  <c r="F4176" i="1"/>
  <c r="D4176" i="1"/>
  <c r="B4176" i="1"/>
  <c r="A4176" i="1"/>
  <c r="J4175" i="1"/>
  <c r="I4175" i="1"/>
  <c r="H4175" i="1"/>
  <c r="G4175" i="1"/>
  <c r="F4175" i="1"/>
  <c r="D4175" i="1"/>
  <c r="B4175" i="1"/>
  <c r="A4175" i="1"/>
  <c r="J4174" i="1"/>
  <c r="I4174" i="1"/>
  <c r="H4174" i="1"/>
  <c r="G4174" i="1"/>
  <c r="F4174" i="1"/>
  <c r="D4174" i="1"/>
  <c r="B4174" i="1"/>
  <c r="A4174" i="1"/>
  <c r="J4173" i="1"/>
  <c r="I4173" i="1"/>
  <c r="H4173" i="1"/>
  <c r="G4173" i="1"/>
  <c r="F4173" i="1"/>
  <c r="D4173" i="1"/>
  <c r="B4173" i="1"/>
  <c r="A4173" i="1"/>
  <c r="J4172" i="1"/>
  <c r="I4172" i="1"/>
  <c r="H4172" i="1"/>
  <c r="G4172" i="1"/>
  <c r="F4172" i="1"/>
  <c r="D4172" i="1"/>
  <c r="B4172" i="1"/>
  <c r="A4172" i="1"/>
  <c r="J4171" i="1"/>
  <c r="I4171" i="1"/>
  <c r="H4171" i="1"/>
  <c r="G4171" i="1"/>
  <c r="F4171" i="1"/>
  <c r="D4171" i="1"/>
  <c r="B4171" i="1"/>
  <c r="A4171" i="1"/>
  <c r="J4170" i="1"/>
  <c r="I4170" i="1"/>
  <c r="H4170" i="1"/>
  <c r="G4170" i="1"/>
  <c r="F4170" i="1"/>
  <c r="D4170" i="1"/>
  <c r="B4170" i="1"/>
  <c r="A4170" i="1"/>
  <c r="J4169" i="1"/>
  <c r="I4169" i="1"/>
  <c r="H4169" i="1"/>
  <c r="G4169" i="1"/>
  <c r="F4169" i="1"/>
  <c r="D4169" i="1"/>
  <c r="B4169" i="1"/>
  <c r="A4169" i="1"/>
  <c r="J4168" i="1"/>
  <c r="I4168" i="1"/>
  <c r="H4168" i="1"/>
  <c r="G4168" i="1"/>
  <c r="F4168" i="1"/>
  <c r="D4168" i="1"/>
  <c r="B4168" i="1"/>
  <c r="A4168" i="1"/>
  <c r="J4167" i="1"/>
  <c r="I4167" i="1"/>
  <c r="H4167" i="1"/>
  <c r="G4167" i="1"/>
  <c r="F4167" i="1"/>
  <c r="D4167" i="1"/>
  <c r="B4167" i="1"/>
  <c r="A4167" i="1"/>
  <c r="J4166" i="1"/>
  <c r="I4166" i="1"/>
  <c r="H4166" i="1"/>
  <c r="G4166" i="1"/>
  <c r="F4166" i="1"/>
  <c r="D4166" i="1"/>
  <c r="B4166" i="1"/>
  <c r="A4166" i="1"/>
  <c r="J4165" i="1"/>
  <c r="I4165" i="1"/>
  <c r="H4165" i="1"/>
  <c r="G4165" i="1"/>
  <c r="F4165" i="1"/>
  <c r="D4165" i="1"/>
  <c r="B4165" i="1"/>
  <c r="A4165" i="1"/>
  <c r="J4164" i="1"/>
  <c r="I4164" i="1"/>
  <c r="H4164" i="1"/>
  <c r="G4164" i="1"/>
  <c r="F4164" i="1"/>
  <c r="D4164" i="1"/>
  <c r="B4164" i="1"/>
  <c r="A4164" i="1"/>
  <c r="J4163" i="1"/>
  <c r="I4163" i="1"/>
  <c r="H4163" i="1"/>
  <c r="G4163" i="1"/>
  <c r="F4163" i="1"/>
  <c r="D4163" i="1"/>
  <c r="B4163" i="1"/>
  <c r="A4163" i="1"/>
  <c r="J4162" i="1"/>
  <c r="I4162" i="1"/>
  <c r="H4162" i="1"/>
  <c r="G4162" i="1"/>
  <c r="F4162" i="1"/>
  <c r="D4162" i="1"/>
  <c r="B4162" i="1"/>
  <c r="A4162" i="1"/>
  <c r="J4161" i="1"/>
  <c r="I4161" i="1"/>
  <c r="H4161" i="1"/>
  <c r="G4161" i="1"/>
  <c r="F4161" i="1"/>
  <c r="D4161" i="1"/>
  <c r="B4161" i="1"/>
  <c r="A4161" i="1"/>
  <c r="J4160" i="1"/>
  <c r="I4160" i="1"/>
  <c r="H4160" i="1"/>
  <c r="G4160" i="1"/>
  <c r="F4160" i="1"/>
  <c r="D4160" i="1"/>
  <c r="B4160" i="1"/>
  <c r="A4160" i="1"/>
  <c r="J4159" i="1"/>
  <c r="I4159" i="1"/>
  <c r="H4159" i="1"/>
  <c r="G4159" i="1"/>
  <c r="F4159" i="1"/>
  <c r="D4159" i="1"/>
  <c r="B4159" i="1"/>
  <c r="A4159" i="1"/>
  <c r="J4158" i="1"/>
  <c r="I4158" i="1"/>
  <c r="H4158" i="1"/>
  <c r="G4158" i="1"/>
  <c r="F4158" i="1"/>
  <c r="D4158" i="1"/>
  <c r="B4158" i="1"/>
  <c r="A4158" i="1"/>
  <c r="J4157" i="1"/>
  <c r="I4157" i="1"/>
  <c r="H4157" i="1"/>
  <c r="G4157" i="1"/>
  <c r="F4157" i="1"/>
  <c r="D4157" i="1"/>
  <c r="B4157" i="1"/>
  <c r="A4157" i="1"/>
  <c r="J4156" i="1"/>
  <c r="I4156" i="1"/>
  <c r="H4156" i="1"/>
  <c r="G4156" i="1"/>
  <c r="F4156" i="1"/>
  <c r="D4156" i="1"/>
  <c r="B4156" i="1"/>
  <c r="A4156" i="1"/>
  <c r="J4155" i="1"/>
  <c r="I4155" i="1"/>
  <c r="H4155" i="1"/>
  <c r="G4155" i="1"/>
  <c r="F4155" i="1"/>
  <c r="D4155" i="1"/>
  <c r="B4155" i="1"/>
  <c r="A4155" i="1"/>
  <c r="J4154" i="1"/>
  <c r="I4154" i="1"/>
  <c r="H4154" i="1"/>
  <c r="G4154" i="1"/>
  <c r="F4154" i="1"/>
  <c r="D4154" i="1"/>
  <c r="B4154" i="1"/>
  <c r="A4154" i="1"/>
  <c r="J4153" i="1"/>
  <c r="I4153" i="1"/>
  <c r="H4153" i="1"/>
  <c r="G4153" i="1"/>
  <c r="F4153" i="1"/>
  <c r="D4153" i="1"/>
  <c r="B4153" i="1"/>
  <c r="A4153" i="1"/>
  <c r="J4152" i="1"/>
  <c r="I4152" i="1"/>
  <c r="H4152" i="1"/>
  <c r="G4152" i="1"/>
  <c r="F4152" i="1"/>
  <c r="D4152" i="1"/>
  <c r="B4152" i="1"/>
  <c r="A4152" i="1"/>
  <c r="J4151" i="1"/>
  <c r="I4151" i="1"/>
  <c r="H4151" i="1"/>
  <c r="G4151" i="1"/>
  <c r="F4151" i="1"/>
  <c r="D4151" i="1"/>
  <c r="B4151" i="1"/>
  <c r="A4151" i="1"/>
  <c r="J4150" i="1"/>
  <c r="I4150" i="1"/>
  <c r="H4150" i="1"/>
  <c r="G4150" i="1"/>
  <c r="F4150" i="1"/>
  <c r="D4150" i="1"/>
  <c r="B4150" i="1"/>
  <c r="A4150" i="1"/>
  <c r="J4149" i="1"/>
  <c r="I4149" i="1"/>
  <c r="H4149" i="1"/>
  <c r="G4149" i="1"/>
  <c r="F4149" i="1"/>
  <c r="D4149" i="1"/>
  <c r="B4149" i="1"/>
  <c r="A4149" i="1"/>
  <c r="J4148" i="1"/>
  <c r="I4148" i="1"/>
  <c r="H4148" i="1"/>
  <c r="G4148" i="1"/>
  <c r="F4148" i="1"/>
  <c r="D4148" i="1"/>
  <c r="B4148" i="1"/>
  <c r="A4148" i="1"/>
  <c r="J4147" i="1"/>
  <c r="I4147" i="1"/>
  <c r="H4147" i="1"/>
  <c r="G4147" i="1"/>
  <c r="F4147" i="1"/>
  <c r="D4147" i="1"/>
  <c r="B4147" i="1"/>
  <c r="A4147" i="1"/>
  <c r="J4146" i="1"/>
  <c r="I4146" i="1"/>
  <c r="H4146" i="1"/>
  <c r="G4146" i="1"/>
  <c r="F4146" i="1"/>
  <c r="D4146" i="1"/>
  <c r="B4146" i="1"/>
  <c r="A4146" i="1"/>
  <c r="J4145" i="1"/>
  <c r="I4145" i="1"/>
  <c r="H4145" i="1"/>
  <c r="G4145" i="1"/>
  <c r="F4145" i="1"/>
  <c r="D4145" i="1"/>
  <c r="B4145" i="1"/>
  <c r="A4145" i="1"/>
  <c r="J4144" i="1"/>
  <c r="I4144" i="1"/>
  <c r="H4144" i="1"/>
  <c r="G4144" i="1"/>
  <c r="F4144" i="1"/>
  <c r="D4144" i="1"/>
  <c r="B4144" i="1"/>
  <c r="A4144" i="1"/>
  <c r="J4143" i="1"/>
  <c r="I4143" i="1"/>
  <c r="H4143" i="1"/>
  <c r="G4143" i="1"/>
  <c r="F4143" i="1"/>
  <c r="D4143" i="1"/>
  <c r="B4143" i="1"/>
  <c r="A4143" i="1"/>
  <c r="J4142" i="1"/>
  <c r="I4142" i="1"/>
  <c r="H4142" i="1"/>
  <c r="G4142" i="1"/>
  <c r="F4142" i="1"/>
  <c r="D4142" i="1"/>
  <c r="B4142" i="1"/>
  <c r="A4142" i="1"/>
  <c r="J4141" i="1"/>
  <c r="I4141" i="1"/>
  <c r="H4141" i="1"/>
  <c r="G4141" i="1"/>
  <c r="F4141" i="1"/>
  <c r="D4141" i="1"/>
  <c r="B4141" i="1"/>
  <c r="A4141" i="1"/>
  <c r="J4140" i="1"/>
  <c r="I4140" i="1"/>
  <c r="H4140" i="1"/>
  <c r="G4140" i="1"/>
  <c r="F4140" i="1"/>
  <c r="D4140" i="1"/>
  <c r="B4140" i="1"/>
  <c r="A4140" i="1"/>
  <c r="J4139" i="1"/>
  <c r="I4139" i="1"/>
  <c r="H4139" i="1"/>
  <c r="G4139" i="1"/>
  <c r="F4139" i="1"/>
  <c r="D4139" i="1"/>
  <c r="B4139" i="1"/>
  <c r="A4139" i="1"/>
  <c r="J4138" i="1"/>
  <c r="I4138" i="1"/>
  <c r="H4138" i="1"/>
  <c r="G4138" i="1"/>
  <c r="F4138" i="1"/>
  <c r="D4138" i="1"/>
  <c r="B4138" i="1"/>
  <c r="A4138" i="1"/>
  <c r="J4137" i="1"/>
  <c r="I4137" i="1"/>
  <c r="H4137" i="1"/>
  <c r="G4137" i="1"/>
  <c r="F4137" i="1"/>
  <c r="D4137" i="1"/>
  <c r="B4137" i="1"/>
  <c r="A4137" i="1"/>
  <c r="J4136" i="1"/>
  <c r="I4136" i="1"/>
  <c r="H4136" i="1"/>
  <c r="G4136" i="1"/>
  <c r="F4136" i="1"/>
  <c r="D4136" i="1"/>
  <c r="B4136" i="1"/>
  <c r="A4136" i="1"/>
  <c r="J4135" i="1"/>
  <c r="I4135" i="1"/>
  <c r="H4135" i="1"/>
  <c r="G4135" i="1"/>
  <c r="F4135" i="1"/>
  <c r="D4135" i="1"/>
  <c r="B4135" i="1"/>
  <c r="A4135" i="1"/>
  <c r="J4134" i="1"/>
  <c r="I4134" i="1"/>
  <c r="H4134" i="1"/>
  <c r="G4134" i="1"/>
  <c r="F4134" i="1"/>
  <c r="D4134" i="1"/>
  <c r="B4134" i="1"/>
  <c r="A4134" i="1"/>
  <c r="J4133" i="1"/>
  <c r="I4133" i="1"/>
  <c r="H4133" i="1"/>
  <c r="G4133" i="1"/>
  <c r="F4133" i="1"/>
  <c r="D4133" i="1"/>
  <c r="B4133" i="1"/>
  <c r="A4133" i="1"/>
  <c r="J4132" i="1"/>
  <c r="I4132" i="1"/>
  <c r="H4132" i="1"/>
  <c r="G4132" i="1"/>
  <c r="F4132" i="1"/>
  <c r="D4132" i="1"/>
  <c r="B4132" i="1"/>
  <c r="A4132" i="1"/>
  <c r="J4131" i="1"/>
  <c r="I4131" i="1"/>
  <c r="H4131" i="1"/>
  <c r="G4131" i="1"/>
  <c r="F4131" i="1"/>
  <c r="D4131" i="1"/>
  <c r="B4131" i="1"/>
  <c r="A4131" i="1"/>
  <c r="J4130" i="1"/>
  <c r="I4130" i="1"/>
  <c r="H4130" i="1"/>
  <c r="G4130" i="1"/>
  <c r="F4130" i="1"/>
  <c r="D4130" i="1"/>
  <c r="B4130" i="1"/>
  <c r="A4130" i="1"/>
  <c r="J4129" i="1"/>
  <c r="I4129" i="1"/>
  <c r="H4129" i="1"/>
  <c r="G4129" i="1"/>
  <c r="F4129" i="1"/>
  <c r="D4129" i="1"/>
  <c r="B4129" i="1"/>
  <c r="A4129" i="1"/>
  <c r="J4128" i="1"/>
  <c r="I4128" i="1"/>
  <c r="H4128" i="1"/>
  <c r="G4128" i="1"/>
  <c r="F4128" i="1"/>
  <c r="D4128" i="1"/>
  <c r="B4128" i="1"/>
  <c r="A4128" i="1"/>
  <c r="J4127" i="1"/>
  <c r="I4127" i="1"/>
  <c r="H4127" i="1"/>
  <c r="G4127" i="1"/>
  <c r="F4127" i="1"/>
  <c r="D4127" i="1"/>
  <c r="B4127" i="1"/>
  <c r="A4127" i="1"/>
  <c r="J4126" i="1"/>
  <c r="I4126" i="1"/>
  <c r="H4126" i="1"/>
  <c r="G4126" i="1"/>
  <c r="F4126" i="1"/>
  <c r="D4126" i="1"/>
  <c r="B4126" i="1"/>
  <c r="A4126" i="1"/>
  <c r="J4125" i="1"/>
  <c r="I4125" i="1"/>
  <c r="H4125" i="1"/>
  <c r="G4125" i="1"/>
  <c r="F4125" i="1"/>
  <c r="D4125" i="1"/>
  <c r="B4125" i="1"/>
  <c r="A4125" i="1"/>
  <c r="J4124" i="1"/>
  <c r="I4124" i="1"/>
  <c r="H4124" i="1"/>
  <c r="G4124" i="1"/>
  <c r="F4124" i="1"/>
  <c r="D4124" i="1"/>
  <c r="B4124" i="1"/>
  <c r="A4124" i="1"/>
  <c r="J4123" i="1"/>
  <c r="I4123" i="1"/>
  <c r="H4123" i="1"/>
  <c r="G4123" i="1"/>
  <c r="F4123" i="1"/>
  <c r="D4123" i="1"/>
  <c r="B4123" i="1"/>
  <c r="A4123" i="1"/>
  <c r="J4122" i="1"/>
  <c r="I4122" i="1"/>
  <c r="H4122" i="1"/>
  <c r="G4122" i="1"/>
  <c r="F4122" i="1"/>
  <c r="D4122" i="1"/>
  <c r="B4122" i="1"/>
  <c r="A4122" i="1"/>
  <c r="J4121" i="1"/>
  <c r="I4121" i="1"/>
  <c r="H4121" i="1"/>
  <c r="G4121" i="1"/>
  <c r="F4121" i="1"/>
  <c r="D4121" i="1"/>
  <c r="B4121" i="1"/>
  <c r="A4121" i="1"/>
  <c r="J4120" i="1"/>
  <c r="I4120" i="1"/>
  <c r="H4120" i="1"/>
  <c r="G4120" i="1"/>
  <c r="F4120" i="1"/>
  <c r="D4120" i="1"/>
  <c r="B4120" i="1"/>
  <c r="A4120" i="1"/>
  <c r="J4119" i="1"/>
  <c r="I4119" i="1"/>
  <c r="H4119" i="1"/>
  <c r="G4119" i="1"/>
  <c r="F4119" i="1"/>
  <c r="D4119" i="1"/>
  <c r="B4119" i="1"/>
  <c r="A4119" i="1"/>
  <c r="J4118" i="1"/>
  <c r="I4118" i="1"/>
  <c r="H4118" i="1"/>
  <c r="G4118" i="1"/>
  <c r="F4118" i="1"/>
  <c r="D4118" i="1"/>
  <c r="B4118" i="1"/>
  <c r="A4118" i="1"/>
  <c r="J4117" i="1"/>
  <c r="I4117" i="1"/>
  <c r="H4117" i="1"/>
  <c r="G4117" i="1"/>
  <c r="F4117" i="1"/>
  <c r="D4117" i="1"/>
  <c r="B4117" i="1"/>
  <c r="A4117" i="1"/>
  <c r="J4116" i="1"/>
  <c r="I4116" i="1"/>
  <c r="H4116" i="1"/>
  <c r="G4116" i="1"/>
  <c r="F4116" i="1"/>
  <c r="D4116" i="1"/>
  <c r="B4116" i="1"/>
  <c r="A4116" i="1"/>
  <c r="J4115" i="1"/>
  <c r="I4115" i="1"/>
  <c r="H4115" i="1"/>
  <c r="G4115" i="1"/>
  <c r="F4115" i="1"/>
  <c r="D4115" i="1"/>
  <c r="B4115" i="1"/>
  <c r="A4115" i="1"/>
  <c r="J4114" i="1"/>
  <c r="I4114" i="1"/>
  <c r="H4114" i="1"/>
  <c r="G4114" i="1"/>
  <c r="F4114" i="1"/>
  <c r="D4114" i="1"/>
  <c r="B4114" i="1"/>
  <c r="A4114" i="1"/>
  <c r="J4113" i="1"/>
  <c r="I4113" i="1"/>
  <c r="H4113" i="1"/>
  <c r="G4113" i="1"/>
  <c r="F4113" i="1"/>
  <c r="D4113" i="1"/>
  <c r="B4113" i="1"/>
  <c r="A4113" i="1"/>
  <c r="J4112" i="1"/>
  <c r="I4112" i="1"/>
  <c r="H4112" i="1"/>
  <c r="G4112" i="1"/>
  <c r="F4112" i="1"/>
  <c r="D4112" i="1"/>
  <c r="B4112" i="1"/>
  <c r="A4112" i="1"/>
  <c r="J4111" i="1"/>
  <c r="I4111" i="1"/>
  <c r="H4111" i="1"/>
  <c r="G4111" i="1"/>
  <c r="F4111" i="1"/>
  <c r="D4111" i="1"/>
  <c r="B4111" i="1"/>
  <c r="A4111" i="1"/>
  <c r="J4110" i="1"/>
  <c r="I4110" i="1"/>
  <c r="H4110" i="1"/>
  <c r="G4110" i="1"/>
  <c r="F4110" i="1"/>
  <c r="D4110" i="1"/>
  <c r="B4110" i="1"/>
  <c r="A4110" i="1"/>
  <c r="J4109" i="1"/>
  <c r="I4109" i="1"/>
  <c r="H4109" i="1"/>
  <c r="G4109" i="1"/>
  <c r="F4109" i="1"/>
  <c r="D4109" i="1"/>
  <c r="B4109" i="1"/>
  <c r="A4109" i="1"/>
  <c r="J4108" i="1"/>
  <c r="I4108" i="1"/>
  <c r="H4108" i="1"/>
  <c r="G4108" i="1"/>
  <c r="F4108" i="1"/>
  <c r="D4108" i="1"/>
  <c r="B4108" i="1"/>
  <c r="A4108" i="1"/>
  <c r="J4107" i="1"/>
  <c r="I4107" i="1"/>
  <c r="H4107" i="1"/>
  <c r="G4107" i="1"/>
  <c r="F4107" i="1"/>
  <c r="D4107" i="1"/>
  <c r="B4107" i="1"/>
  <c r="A4107" i="1"/>
  <c r="J4106" i="1"/>
  <c r="I4106" i="1"/>
  <c r="H4106" i="1"/>
  <c r="G4106" i="1"/>
  <c r="F4106" i="1"/>
  <c r="D4106" i="1"/>
  <c r="B4106" i="1"/>
  <c r="A4106" i="1"/>
  <c r="J4105" i="1"/>
  <c r="I4105" i="1"/>
  <c r="H4105" i="1"/>
  <c r="G4105" i="1"/>
  <c r="F4105" i="1"/>
  <c r="D4105" i="1"/>
  <c r="B4105" i="1"/>
  <c r="A4105" i="1"/>
  <c r="J4104" i="1"/>
  <c r="I4104" i="1"/>
  <c r="H4104" i="1"/>
  <c r="G4104" i="1"/>
  <c r="F4104" i="1"/>
  <c r="D4104" i="1"/>
  <c r="B4104" i="1"/>
  <c r="A4104" i="1"/>
  <c r="J4103" i="1"/>
  <c r="I4103" i="1"/>
  <c r="H4103" i="1"/>
  <c r="G4103" i="1"/>
  <c r="F4103" i="1"/>
  <c r="D4103" i="1"/>
  <c r="B4103" i="1"/>
  <c r="A4103" i="1"/>
  <c r="J4102" i="1"/>
  <c r="I4102" i="1"/>
  <c r="H4102" i="1"/>
  <c r="G4102" i="1"/>
  <c r="F4102" i="1"/>
  <c r="D4102" i="1"/>
  <c r="B4102" i="1"/>
  <c r="A4102" i="1"/>
  <c r="J4101" i="1"/>
  <c r="I4101" i="1"/>
  <c r="H4101" i="1"/>
  <c r="G4101" i="1"/>
  <c r="F4101" i="1"/>
  <c r="D4101" i="1"/>
  <c r="B4101" i="1"/>
  <c r="A4101" i="1"/>
  <c r="J4100" i="1"/>
  <c r="I4100" i="1"/>
  <c r="H4100" i="1"/>
  <c r="G4100" i="1"/>
  <c r="F4100" i="1"/>
  <c r="D4100" i="1"/>
  <c r="B4100" i="1"/>
  <c r="A4100" i="1"/>
  <c r="J4099" i="1"/>
  <c r="I4099" i="1"/>
  <c r="H4099" i="1"/>
  <c r="G4099" i="1"/>
  <c r="F4099" i="1"/>
  <c r="D4099" i="1"/>
  <c r="B4099" i="1"/>
  <c r="A4099" i="1"/>
  <c r="J4098" i="1"/>
  <c r="I4098" i="1"/>
  <c r="H4098" i="1"/>
  <c r="G4098" i="1"/>
  <c r="F4098" i="1"/>
  <c r="D4098" i="1"/>
  <c r="B4098" i="1"/>
  <c r="A4098" i="1"/>
  <c r="J4097" i="1"/>
  <c r="I4097" i="1"/>
  <c r="H4097" i="1"/>
  <c r="G4097" i="1"/>
  <c r="F4097" i="1"/>
  <c r="D4097" i="1"/>
  <c r="B4097" i="1"/>
  <c r="A4097" i="1"/>
  <c r="J4096" i="1"/>
  <c r="I4096" i="1"/>
  <c r="H4096" i="1"/>
  <c r="G4096" i="1"/>
  <c r="F4096" i="1"/>
  <c r="D4096" i="1"/>
  <c r="B4096" i="1"/>
  <c r="A4096" i="1"/>
  <c r="J4095" i="1"/>
  <c r="I4095" i="1"/>
  <c r="H4095" i="1"/>
  <c r="G4095" i="1"/>
  <c r="F4095" i="1"/>
  <c r="D4095" i="1"/>
  <c r="B4095" i="1"/>
  <c r="A4095" i="1"/>
  <c r="J4094" i="1"/>
  <c r="I4094" i="1"/>
  <c r="H4094" i="1"/>
  <c r="G4094" i="1"/>
  <c r="F4094" i="1"/>
  <c r="D4094" i="1"/>
  <c r="B4094" i="1"/>
  <c r="A4094" i="1"/>
  <c r="J4093" i="1"/>
  <c r="I4093" i="1"/>
  <c r="H4093" i="1"/>
  <c r="G4093" i="1"/>
  <c r="F4093" i="1"/>
  <c r="D4093" i="1"/>
  <c r="B4093" i="1"/>
  <c r="A4093" i="1"/>
  <c r="J4092" i="1"/>
  <c r="I4092" i="1"/>
  <c r="H4092" i="1"/>
  <c r="G4092" i="1"/>
  <c r="F4092" i="1"/>
  <c r="D4092" i="1"/>
  <c r="B4092" i="1"/>
  <c r="A4092" i="1"/>
  <c r="J4091" i="1"/>
  <c r="I4091" i="1"/>
  <c r="H4091" i="1"/>
  <c r="G4091" i="1"/>
  <c r="F4091" i="1"/>
  <c r="D4091" i="1"/>
  <c r="B4091" i="1"/>
  <c r="A4091" i="1"/>
  <c r="J4090" i="1"/>
  <c r="I4090" i="1"/>
  <c r="H4090" i="1"/>
  <c r="G4090" i="1"/>
  <c r="F4090" i="1"/>
  <c r="D4090" i="1"/>
  <c r="B4090" i="1"/>
  <c r="A4090" i="1"/>
  <c r="J4089" i="1"/>
  <c r="I4089" i="1"/>
  <c r="H4089" i="1"/>
  <c r="G4089" i="1"/>
  <c r="F4089" i="1"/>
  <c r="D4089" i="1"/>
  <c r="B4089" i="1"/>
  <c r="A4089" i="1"/>
  <c r="J4088" i="1"/>
  <c r="I4088" i="1"/>
  <c r="H4088" i="1"/>
  <c r="G4088" i="1"/>
  <c r="F4088" i="1"/>
  <c r="D4088" i="1"/>
  <c r="B4088" i="1"/>
  <c r="A4088" i="1"/>
  <c r="J4087" i="1"/>
  <c r="I4087" i="1"/>
  <c r="H4087" i="1"/>
  <c r="G4087" i="1"/>
  <c r="F4087" i="1"/>
  <c r="D4087" i="1"/>
  <c r="B4087" i="1"/>
  <c r="A4087" i="1"/>
  <c r="J4086" i="1"/>
  <c r="I4086" i="1"/>
  <c r="H4086" i="1"/>
  <c r="G4086" i="1"/>
  <c r="F4086" i="1"/>
  <c r="D4086" i="1"/>
  <c r="B4086" i="1"/>
  <c r="A4086" i="1"/>
  <c r="J4085" i="1"/>
  <c r="I4085" i="1"/>
  <c r="H4085" i="1"/>
  <c r="G4085" i="1"/>
  <c r="F4085" i="1"/>
  <c r="D4085" i="1"/>
  <c r="B4085" i="1"/>
  <c r="A4085" i="1"/>
  <c r="J4084" i="1"/>
  <c r="I4084" i="1"/>
  <c r="H4084" i="1"/>
  <c r="G4084" i="1"/>
  <c r="F4084" i="1"/>
  <c r="D4084" i="1"/>
  <c r="B4084" i="1"/>
  <c r="A4084" i="1"/>
  <c r="J4083" i="1"/>
  <c r="I4083" i="1"/>
  <c r="H4083" i="1"/>
  <c r="G4083" i="1"/>
  <c r="F4083" i="1"/>
  <c r="D4083" i="1"/>
  <c r="B4083" i="1"/>
  <c r="A4083" i="1"/>
  <c r="J4082" i="1"/>
  <c r="I4082" i="1"/>
  <c r="H4082" i="1"/>
  <c r="G4082" i="1"/>
  <c r="F4082" i="1"/>
  <c r="D4082" i="1"/>
  <c r="B4082" i="1"/>
  <c r="A4082" i="1"/>
  <c r="J4081" i="1"/>
  <c r="I4081" i="1"/>
  <c r="H4081" i="1"/>
  <c r="G4081" i="1"/>
  <c r="F4081" i="1"/>
  <c r="D4081" i="1"/>
  <c r="B4081" i="1"/>
  <c r="A4081" i="1"/>
  <c r="J4080" i="1"/>
  <c r="I4080" i="1"/>
  <c r="H4080" i="1"/>
  <c r="G4080" i="1"/>
  <c r="F4080" i="1"/>
  <c r="D4080" i="1"/>
  <c r="B4080" i="1"/>
  <c r="A4080" i="1"/>
  <c r="J4079" i="1"/>
  <c r="I4079" i="1"/>
  <c r="H4079" i="1"/>
  <c r="G4079" i="1"/>
  <c r="F4079" i="1"/>
  <c r="D4079" i="1"/>
  <c r="B4079" i="1"/>
  <c r="A4079" i="1"/>
  <c r="J4078" i="1"/>
  <c r="I4078" i="1"/>
  <c r="H4078" i="1"/>
  <c r="G4078" i="1"/>
  <c r="F4078" i="1"/>
  <c r="D4078" i="1"/>
  <c r="B4078" i="1"/>
  <c r="A4078" i="1"/>
  <c r="J4077" i="1"/>
  <c r="I4077" i="1"/>
  <c r="H4077" i="1"/>
  <c r="G4077" i="1"/>
  <c r="F4077" i="1"/>
  <c r="D4077" i="1"/>
  <c r="B4077" i="1"/>
  <c r="A4077" i="1"/>
  <c r="J4076" i="1"/>
  <c r="I4076" i="1"/>
  <c r="H4076" i="1"/>
  <c r="G4076" i="1"/>
  <c r="F4076" i="1"/>
  <c r="D4076" i="1"/>
  <c r="B4076" i="1"/>
  <c r="A4076" i="1"/>
  <c r="J4075" i="1"/>
  <c r="I4075" i="1"/>
  <c r="H4075" i="1"/>
  <c r="G4075" i="1"/>
  <c r="F4075" i="1"/>
  <c r="D4075" i="1"/>
  <c r="B4075" i="1"/>
  <c r="A4075" i="1"/>
  <c r="J4074" i="1"/>
  <c r="I4074" i="1"/>
  <c r="H4074" i="1"/>
  <c r="G4074" i="1"/>
  <c r="F4074" i="1"/>
  <c r="D4074" i="1"/>
  <c r="B4074" i="1"/>
  <c r="A4074" i="1"/>
  <c r="J4073" i="1"/>
  <c r="I4073" i="1"/>
  <c r="H4073" i="1"/>
  <c r="G4073" i="1"/>
  <c r="F4073" i="1"/>
  <c r="D4073" i="1"/>
  <c r="B4073" i="1"/>
  <c r="A4073" i="1"/>
  <c r="J4072" i="1"/>
  <c r="I4072" i="1"/>
  <c r="H4072" i="1"/>
  <c r="G4072" i="1"/>
  <c r="F4072" i="1"/>
  <c r="D4072" i="1"/>
  <c r="B4072" i="1"/>
  <c r="A4072" i="1"/>
  <c r="J4071" i="1"/>
  <c r="I4071" i="1"/>
  <c r="H4071" i="1"/>
  <c r="G4071" i="1"/>
  <c r="F4071" i="1"/>
  <c r="D4071" i="1"/>
  <c r="B4071" i="1"/>
  <c r="A4071" i="1"/>
  <c r="J4070" i="1"/>
  <c r="I4070" i="1"/>
  <c r="H4070" i="1"/>
  <c r="G4070" i="1"/>
  <c r="F4070" i="1"/>
  <c r="D4070" i="1"/>
  <c r="B4070" i="1"/>
  <c r="A4070" i="1"/>
  <c r="J4069" i="1"/>
  <c r="I4069" i="1"/>
  <c r="H4069" i="1"/>
  <c r="G4069" i="1"/>
  <c r="F4069" i="1"/>
  <c r="D4069" i="1"/>
  <c r="B4069" i="1"/>
  <c r="A4069" i="1"/>
  <c r="J4068" i="1"/>
  <c r="I4068" i="1"/>
  <c r="H4068" i="1"/>
  <c r="G4068" i="1"/>
  <c r="F4068" i="1"/>
  <c r="D4068" i="1"/>
  <c r="B4068" i="1"/>
  <c r="A4068" i="1"/>
  <c r="J4067" i="1"/>
  <c r="I4067" i="1"/>
  <c r="H4067" i="1"/>
  <c r="G4067" i="1"/>
  <c r="F4067" i="1"/>
  <c r="D4067" i="1"/>
  <c r="B4067" i="1"/>
  <c r="A4067" i="1"/>
  <c r="J4066" i="1"/>
  <c r="I4066" i="1"/>
  <c r="H4066" i="1"/>
  <c r="G4066" i="1"/>
  <c r="F4066" i="1"/>
  <c r="D4066" i="1"/>
  <c r="B4066" i="1"/>
  <c r="A4066" i="1"/>
  <c r="J4065" i="1"/>
  <c r="I4065" i="1"/>
  <c r="H4065" i="1"/>
  <c r="G4065" i="1"/>
  <c r="F4065" i="1"/>
  <c r="D4065" i="1"/>
  <c r="B4065" i="1"/>
  <c r="A4065" i="1"/>
  <c r="J4064" i="1"/>
  <c r="I4064" i="1"/>
  <c r="H4064" i="1"/>
  <c r="G4064" i="1"/>
  <c r="F4064" i="1"/>
  <c r="D4064" i="1"/>
  <c r="B4064" i="1"/>
  <c r="A4064" i="1"/>
  <c r="J4063" i="1"/>
  <c r="I4063" i="1"/>
  <c r="H4063" i="1"/>
  <c r="G4063" i="1"/>
  <c r="F4063" i="1"/>
  <c r="D4063" i="1"/>
  <c r="B4063" i="1"/>
  <c r="A4063" i="1"/>
  <c r="J4062" i="1"/>
  <c r="I4062" i="1"/>
  <c r="H4062" i="1"/>
  <c r="G4062" i="1"/>
  <c r="F4062" i="1"/>
  <c r="D4062" i="1"/>
  <c r="B4062" i="1"/>
  <c r="A4062" i="1"/>
  <c r="J4061" i="1"/>
  <c r="I4061" i="1"/>
  <c r="H4061" i="1"/>
  <c r="G4061" i="1"/>
  <c r="F4061" i="1"/>
  <c r="D4061" i="1"/>
  <c r="B4061" i="1"/>
  <c r="A4061" i="1"/>
  <c r="J4060" i="1"/>
  <c r="I4060" i="1"/>
  <c r="H4060" i="1"/>
  <c r="G4060" i="1"/>
  <c r="F4060" i="1"/>
  <c r="D4060" i="1"/>
  <c r="B4060" i="1"/>
  <c r="A4060" i="1"/>
  <c r="J4059" i="1"/>
  <c r="I4059" i="1"/>
  <c r="H4059" i="1"/>
  <c r="G4059" i="1"/>
  <c r="F4059" i="1"/>
  <c r="D4059" i="1"/>
  <c r="B4059" i="1"/>
  <c r="A4059" i="1"/>
  <c r="J4058" i="1"/>
  <c r="I4058" i="1"/>
  <c r="H4058" i="1"/>
  <c r="G4058" i="1"/>
  <c r="F4058" i="1"/>
  <c r="D4058" i="1"/>
  <c r="B4058" i="1"/>
  <c r="A4058" i="1"/>
  <c r="J4057" i="1"/>
  <c r="I4057" i="1"/>
  <c r="H4057" i="1"/>
  <c r="G4057" i="1"/>
  <c r="F4057" i="1"/>
  <c r="D4057" i="1"/>
  <c r="B4057" i="1"/>
  <c r="A4057" i="1"/>
  <c r="J4056" i="1"/>
  <c r="I4056" i="1"/>
  <c r="H4056" i="1"/>
  <c r="G4056" i="1"/>
  <c r="F4056" i="1"/>
  <c r="D4056" i="1"/>
  <c r="B4056" i="1"/>
  <c r="A4056" i="1"/>
  <c r="J4055" i="1"/>
  <c r="I4055" i="1"/>
  <c r="H4055" i="1"/>
  <c r="G4055" i="1"/>
  <c r="F4055" i="1"/>
  <c r="D4055" i="1"/>
  <c r="B4055" i="1"/>
  <c r="A4055" i="1"/>
  <c r="J4054" i="1"/>
  <c r="I4054" i="1"/>
  <c r="H4054" i="1"/>
  <c r="G4054" i="1"/>
  <c r="F4054" i="1"/>
  <c r="D4054" i="1"/>
  <c r="B4054" i="1"/>
  <c r="A4054" i="1"/>
  <c r="J4053" i="1"/>
  <c r="I4053" i="1"/>
  <c r="H4053" i="1"/>
  <c r="G4053" i="1"/>
  <c r="F4053" i="1"/>
  <c r="D4053" i="1"/>
  <c r="B4053" i="1"/>
  <c r="A4053" i="1"/>
  <c r="J4052" i="1"/>
  <c r="I4052" i="1"/>
  <c r="H4052" i="1"/>
  <c r="G4052" i="1"/>
  <c r="F4052" i="1"/>
  <c r="D4052" i="1"/>
  <c r="B4052" i="1"/>
  <c r="A4052" i="1"/>
  <c r="J4051" i="1"/>
  <c r="I4051" i="1"/>
  <c r="H4051" i="1"/>
  <c r="G4051" i="1"/>
  <c r="F4051" i="1"/>
  <c r="D4051" i="1"/>
  <c r="B4051" i="1"/>
  <c r="A4051" i="1"/>
  <c r="J4050" i="1"/>
  <c r="I4050" i="1"/>
  <c r="H4050" i="1"/>
  <c r="G4050" i="1"/>
  <c r="F4050" i="1"/>
  <c r="D4050" i="1"/>
  <c r="B4050" i="1"/>
  <c r="A4050" i="1"/>
  <c r="J4049" i="1"/>
  <c r="I4049" i="1"/>
  <c r="H4049" i="1"/>
  <c r="G4049" i="1"/>
  <c r="F4049" i="1"/>
  <c r="D4049" i="1"/>
  <c r="B4049" i="1"/>
  <c r="A4049" i="1"/>
  <c r="J4048" i="1"/>
  <c r="I4048" i="1"/>
  <c r="H4048" i="1"/>
  <c r="G4048" i="1"/>
  <c r="F4048" i="1"/>
  <c r="D4048" i="1"/>
  <c r="B4048" i="1"/>
  <c r="A4048" i="1"/>
  <c r="J4047" i="1"/>
  <c r="I4047" i="1"/>
  <c r="H4047" i="1"/>
  <c r="G4047" i="1"/>
  <c r="F4047" i="1"/>
  <c r="D4047" i="1"/>
  <c r="B4047" i="1"/>
  <c r="A4047" i="1"/>
  <c r="J4046" i="1"/>
  <c r="I4046" i="1"/>
  <c r="H4046" i="1"/>
  <c r="G4046" i="1"/>
  <c r="F4046" i="1"/>
  <c r="D4046" i="1"/>
  <c r="B4046" i="1"/>
  <c r="A4046" i="1"/>
  <c r="J4045" i="1"/>
  <c r="I4045" i="1"/>
  <c r="H4045" i="1"/>
  <c r="G4045" i="1"/>
  <c r="F4045" i="1"/>
  <c r="D4045" i="1"/>
  <c r="B4045" i="1"/>
  <c r="A4045" i="1"/>
  <c r="J4044" i="1"/>
  <c r="I4044" i="1"/>
  <c r="H4044" i="1"/>
  <c r="G4044" i="1"/>
  <c r="F4044" i="1"/>
  <c r="D4044" i="1"/>
  <c r="B4044" i="1"/>
  <c r="A4044" i="1"/>
  <c r="J4043" i="1"/>
  <c r="I4043" i="1"/>
  <c r="H4043" i="1"/>
  <c r="G4043" i="1"/>
  <c r="F4043" i="1"/>
  <c r="D4043" i="1"/>
  <c r="B4043" i="1"/>
  <c r="A4043" i="1"/>
  <c r="J4042" i="1"/>
  <c r="I4042" i="1"/>
  <c r="H4042" i="1"/>
  <c r="G4042" i="1"/>
  <c r="F4042" i="1"/>
  <c r="D4042" i="1"/>
  <c r="B4042" i="1"/>
  <c r="A4042" i="1"/>
  <c r="J4041" i="1"/>
  <c r="I4041" i="1"/>
  <c r="H4041" i="1"/>
  <c r="G4041" i="1"/>
  <c r="F4041" i="1"/>
  <c r="D4041" i="1"/>
  <c r="B4041" i="1"/>
  <c r="A4041" i="1"/>
  <c r="J4040" i="1"/>
  <c r="I4040" i="1"/>
  <c r="H4040" i="1"/>
  <c r="G4040" i="1"/>
  <c r="F4040" i="1"/>
  <c r="D4040" i="1"/>
  <c r="B4040" i="1"/>
  <c r="A4040" i="1"/>
  <c r="J4039" i="1"/>
  <c r="I4039" i="1"/>
  <c r="H4039" i="1"/>
  <c r="G4039" i="1"/>
  <c r="F4039" i="1"/>
  <c r="D4039" i="1"/>
  <c r="B4039" i="1"/>
  <c r="A4039" i="1"/>
  <c r="J4038" i="1"/>
  <c r="I4038" i="1"/>
  <c r="H4038" i="1"/>
  <c r="G4038" i="1"/>
  <c r="F4038" i="1"/>
  <c r="D4038" i="1"/>
  <c r="B4038" i="1"/>
  <c r="A4038" i="1"/>
  <c r="J4037" i="1"/>
  <c r="I4037" i="1"/>
  <c r="H4037" i="1"/>
  <c r="G4037" i="1"/>
  <c r="F4037" i="1"/>
  <c r="D4037" i="1"/>
  <c r="B4037" i="1"/>
  <c r="A4037" i="1"/>
  <c r="J4036" i="1"/>
  <c r="I4036" i="1"/>
  <c r="H4036" i="1"/>
  <c r="G4036" i="1"/>
  <c r="F4036" i="1"/>
  <c r="D4036" i="1"/>
  <c r="B4036" i="1"/>
  <c r="A4036" i="1"/>
  <c r="J4035" i="1"/>
  <c r="I4035" i="1"/>
  <c r="H4035" i="1"/>
  <c r="G4035" i="1"/>
  <c r="F4035" i="1"/>
  <c r="D4035" i="1"/>
  <c r="B4035" i="1"/>
  <c r="A4035" i="1"/>
  <c r="J4034" i="1"/>
  <c r="I4034" i="1"/>
  <c r="H4034" i="1"/>
  <c r="G4034" i="1"/>
  <c r="F4034" i="1"/>
  <c r="D4034" i="1"/>
  <c r="B4034" i="1"/>
  <c r="A4034" i="1"/>
  <c r="J4033" i="1"/>
  <c r="I4033" i="1"/>
  <c r="H4033" i="1"/>
  <c r="G4033" i="1"/>
  <c r="F4033" i="1"/>
  <c r="D4033" i="1"/>
  <c r="B4033" i="1"/>
  <c r="A4033" i="1"/>
  <c r="J4032" i="1"/>
  <c r="I4032" i="1"/>
  <c r="H4032" i="1"/>
  <c r="G4032" i="1"/>
  <c r="F4032" i="1"/>
  <c r="D4032" i="1"/>
  <c r="B4032" i="1"/>
  <c r="A4032" i="1"/>
  <c r="J4031" i="1"/>
  <c r="I4031" i="1"/>
  <c r="H4031" i="1"/>
  <c r="G4031" i="1"/>
  <c r="F4031" i="1"/>
  <c r="D4031" i="1"/>
  <c r="B4031" i="1"/>
  <c r="A4031" i="1"/>
  <c r="J4030" i="1"/>
  <c r="I4030" i="1"/>
  <c r="H4030" i="1"/>
  <c r="G4030" i="1"/>
  <c r="F4030" i="1"/>
  <c r="D4030" i="1"/>
  <c r="B4030" i="1"/>
  <c r="A4030" i="1"/>
  <c r="J4029" i="1"/>
  <c r="I4029" i="1"/>
  <c r="H4029" i="1"/>
  <c r="G4029" i="1"/>
  <c r="F4029" i="1"/>
  <c r="D4029" i="1"/>
  <c r="B4029" i="1"/>
  <c r="A4029" i="1"/>
  <c r="J4028" i="1"/>
  <c r="I4028" i="1"/>
  <c r="H4028" i="1"/>
  <c r="G4028" i="1"/>
  <c r="F4028" i="1"/>
  <c r="D4028" i="1"/>
  <c r="B4028" i="1"/>
  <c r="A4028" i="1"/>
  <c r="J4027" i="1"/>
  <c r="I4027" i="1"/>
  <c r="H4027" i="1"/>
  <c r="G4027" i="1"/>
  <c r="F4027" i="1"/>
  <c r="D4027" i="1"/>
  <c r="B4027" i="1"/>
  <c r="A4027" i="1"/>
  <c r="J4026" i="1"/>
  <c r="I4026" i="1"/>
  <c r="H4026" i="1"/>
  <c r="G4026" i="1"/>
  <c r="F4026" i="1"/>
  <c r="D4026" i="1"/>
  <c r="B4026" i="1"/>
  <c r="A4026" i="1"/>
  <c r="J4025" i="1"/>
  <c r="I4025" i="1"/>
  <c r="H4025" i="1"/>
  <c r="G4025" i="1"/>
  <c r="F4025" i="1"/>
  <c r="D4025" i="1"/>
  <c r="B4025" i="1"/>
  <c r="A4025" i="1"/>
  <c r="J4024" i="1"/>
  <c r="I4024" i="1"/>
  <c r="H4024" i="1"/>
  <c r="G4024" i="1"/>
  <c r="F4024" i="1"/>
  <c r="D4024" i="1"/>
  <c r="B4024" i="1"/>
  <c r="A4024" i="1"/>
  <c r="J4023" i="1"/>
  <c r="I4023" i="1"/>
  <c r="H4023" i="1"/>
  <c r="G4023" i="1"/>
  <c r="F4023" i="1"/>
  <c r="D4023" i="1"/>
  <c r="B4023" i="1"/>
  <c r="A4023" i="1"/>
  <c r="J4022" i="1"/>
  <c r="I4022" i="1"/>
  <c r="H4022" i="1"/>
  <c r="G4022" i="1"/>
  <c r="F4022" i="1"/>
  <c r="D4022" i="1"/>
  <c r="B4022" i="1"/>
  <c r="A4022" i="1"/>
  <c r="J4021" i="1"/>
  <c r="I4021" i="1"/>
  <c r="H4021" i="1"/>
  <c r="G4021" i="1"/>
  <c r="F4021" i="1"/>
  <c r="D4021" i="1"/>
  <c r="B4021" i="1"/>
  <c r="A4021" i="1"/>
  <c r="J4020" i="1"/>
  <c r="I4020" i="1"/>
  <c r="H4020" i="1"/>
  <c r="G4020" i="1"/>
  <c r="F4020" i="1"/>
  <c r="D4020" i="1"/>
  <c r="B4020" i="1"/>
  <c r="A4020" i="1"/>
  <c r="J4019" i="1"/>
  <c r="I4019" i="1"/>
  <c r="H4019" i="1"/>
  <c r="G4019" i="1"/>
  <c r="F4019" i="1"/>
  <c r="D4019" i="1"/>
  <c r="B4019" i="1"/>
  <c r="A4019" i="1"/>
  <c r="J4018" i="1"/>
  <c r="I4018" i="1"/>
  <c r="H4018" i="1"/>
  <c r="G4018" i="1"/>
  <c r="F4018" i="1"/>
  <c r="D4018" i="1"/>
  <c r="B4018" i="1"/>
  <c r="A4018" i="1"/>
  <c r="J4017" i="1"/>
  <c r="I4017" i="1"/>
  <c r="H4017" i="1"/>
  <c r="G4017" i="1"/>
  <c r="F4017" i="1"/>
  <c r="D4017" i="1"/>
  <c r="B4017" i="1"/>
  <c r="A4017" i="1"/>
  <c r="J4016" i="1"/>
  <c r="I4016" i="1"/>
  <c r="H4016" i="1"/>
  <c r="G4016" i="1"/>
  <c r="F4016" i="1"/>
  <c r="D4016" i="1"/>
  <c r="B4016" i="1"/>
  <c r="A4016" i="1"/>
  <c r="J4015" i="1"/>
  <c r="I4015" i="1"/>
  <c r="H4015" i="1"/>
  <c r="G4015" i="1"/>
  <c r="F4015" i="1"/>
  <c r="D4015" i="1"/>
  <c r="B4015" i="1"/>
  <c r="A4015" i="1"/>
  <c r="J4014" i="1"/>
  <c r="I4014" i="1"/>
  <c r="H4014" i="1"/>
  <c r="G4014" i="1"/>
  <c r="F4014" i="1"/>
  <c r="D4014" i="1"/>
  <c r="B4014" i="1"/>
  <c r="A4014" i="1"/>
  <c r="J4013" i="1"/>
  <c r="I4013" i="1"/>
  <c r="H4013" i="1"/>
  <c r="G4013" i="1"/>
  <c r="F4013" i="1"/>
  <c r="D4013" i="1"/>
  <c r="B4013" i="1"/>
  <c r="A4013" i="1"/>
  <c r="J4012" i="1"/>
  <c r="I4012" i="1"/>
  <c r="H4012" i="1"/>
  <c r="G4012" i="1"/>
  <c r="F4012" i="1"/>
  <c r="D4012" i="1"/>
  <c r="B4012" i="1"/>
  <c r="A4012" i="1"/>
  <c r="J4011" i="1"/>
  <c r="I4011" i="1"/>
  <c r="H4011" i="1"/>
  <c r="G4011" i="1"/>
  <c r="F4011" i="1"/>
  <c r="D4011" i="1"/>
  <c r="B4011" i="1"/>
  <c r="A4011" i="1"/>
  <c r="J4010" i="1"/>
  <c r="I4010" i="1"/>
  <c r="H4010" i="1"/>
  <c r="G4010" i="1"/>
  <c r="F4010" i="1"/>
  <c r="D4010" i="1"/>
  <c r="B4010" i="1"/>
  <c r="A4010" i="1"/>
  <c r="J4009" i="1"/>
  <c r="I4009" i="1"/>
  <c r="H4009" i="1"/>
  <c r="G4009" i="1"/>
  <c r="F4009" i="1"/>
  <c r="D4009" i="1"/>
  <c r="B4009" i="1"/>
  <c r="A4009" i="1"/>
  <c r="J4008" i="1"/>
  <c r="I4008" i="1"/>
  <c r="H4008" i="1"/>
  <c r="G4008" i="1"/>
  <c r="F4008" i="1"/>
  <c r="D4008" i="1"/>
  <c r="B4008" i="1"/>
  <c r="A4008" i="1"/>
  <c r="J4007" i="1"/>
  <c r="I4007" i="1"/>
  <c r="H4007" i="1"/>
  <c r="G4007" i="1"/>
  <c r="F4007" i="1"/>
  <c r="D4007" i="1"/>
  <c r="B4007" i="1"/>
  <c r="A4007" i="1"/>
  <c r="J4006" i="1"/>
  <c r="I4006" i="1"/>
  <c r="H4006" i="1"/>
  <c r="G4006" i="1"/>
  <c r="F4006" i="1"/>
  <c r="D4006" i="1"/>
  <c r="B4006" i="1"/>
  <c r="A4006" i="1"/>
  <c r="J4005" i="1"/>
  <c r="I4005" i="1"/>
  <c r="H4005" i="1"/>
  <c r="G4005" i="1"/>
  <c r="F4005" i="1"/>
  <c r="D4005" i="1"/>
  <c r="B4005" i="1"/>
  <c r="A4005" i="1"/>
  <c r="J4004" i="1"/>
  <c r="I4004" i="1"/>
  <c r="H4004" i="1"/>
  <c r="G4004" i="1"/>
  <c r="F4004" i="1"/>
  <c r="D4004" i="1"/>
  <c r="B4004" i="1"/>
  <c r="A4004" i="1"/>
  <c r="J4003" i="1"/>
  <c r="I4003" i="1"/>
  <c r="H4003" i="1"/>
  <c r="G4003" i="1"/>
  <c r="F4003" i="1"/>
  <c r="D4003" i="1"/>
  <c r="B4003" i="1"/>
  <c r="A4003" i="1"/>
  <c r="J4002" i="1"/>
  <c r="I4002" i="1"/>
  <c r="H4002" i="1"/>
  <c r="G4002" i="1"/>
  <c r="F4002" i="1"/>
  <c r="D4002" i="1"/>
  <c r="B4002" i="1"/>
  <c r="A4002" i="1"/>
  <c r="J4001" i="1"/>
  <c r="I4001" i="1"/>
  <c r="H4001" i="1"/>
  <c r="G4001" i="1"/>
  <c r="F4001" i="1"/>
  <c r="D4001" i="1"/>
  <c r="B4001" i="1"/>
  <c r="A4001" i="1"/>
  <c r="J4000" i="1"/>
  <c r="I4000" i="1"/>
  <c r="H4000" i="1"/>
  <c r="G4000" i="1"/>
  <c r="F4000" i="1"/>
  <c r="D4000" i="1"/>
  <c r="B4000" i="1"/>
  <c r="A4000" i="1"/>
  <c r="J3999" i="1"/>
  <c r="I3999" i="1"/>
  <c r="H3999" i="1"/>
  <c r="G3999" i="1"/>
  <c r="F3999" i="1"/>
  <c r="D3999" i="1"/>
  <c r="B3999" i="1"/>
  <c r="A3999" i="1"/>
  <c r="J3998" i="1"/>
  <c r="I3998" i="1"/>
  <c r="H3998" i="1"/>
  <c r="G3998" i="1"/>
  <c r="F3998" i="1"/>
  <c r="D3998" i="1"/>
  <c r="B3998" i="1"/>
  <c r="A3998" i="1"/>
  <c r="J3997" i="1"/>
  <c r="I3997" i="1"/>
  <c r="H3997" i="1"/>
  <c r="G3997" i="1"/>
  <c r="F3997" i="1"/>
  <c r="D3997" i="1"/>
  <c r="B3997" i="1"/>
  <c r="A3997" i="1"/>
  <c r="J3996" i="1"/>
  <c r="I3996" i="1"/>
  <c r="H3996" i="1"/>
  <c r="G3996" i="1"/>
  <c r="F3996" i="1"/>
  <c r="D3996" i="1"/>
  <c r="B3996" i="1"/>
  <c r="A3996" i="1"/>
  <c r="J3995" i="1"/>
  <c r="I3995" i="1"/>
  <c r="H3995" i="1"/>
  <c r="G3995" i="1"/>
  <c r="F3995" i="1"/>
  <c r="D3995" i="1"/>
  <c r="B3995" i="1"/>
  <c r="A3995" i="1"/>
  <c r="J3994" i="1"/>
  <c r="I3994" i="1"/>
  <c r="H3994" i="1"/>
  <c r="G3994" i="1"/>
  <c r="F3994" i="1"/>
  <c r="D3994" i="1"/>
  <c r="B3994" i="1"/>
  <c r="A3994" i="1"/>
  <c r="J3993" i="1"/>
  <c r="I3993" i="1"/>
  <c r="H3993" i="1"/>
  <c r="G3993" i="1"/>
  <c r="F3993" i="1"/>
  <c r="D3993" i="1"/>
  <c r="B3993" i="1"/>
  <c r="A3993" i="1"/>
  <c r="J3992" i="1"/>
  <c r="I3992" i="1"/>
  <c r="H3992" i="1"/>
  <c r="G3992" i="1"/>
  <c r="F3992" i="1"/>
  <c r="D3992" i="1"/>
  <c r="B3992" i="1"/>
  <c r="A3992" i="1"/>
  <c r="J3991" i="1"/>
  <c r="I3991" i="1"/>
  <c r="H3991" i="1"/>
  <c r="G3991" i="1"/>
  <c r="F3991" i="1"/>
  <c r="D3991" i="1"/>
  <c r="B3991" i="1"/>
  <c r="A3991" i="1"/>
  <c r="J3990" i="1"/>
  <c r="I3990" i="1"/>
  <c r="H3990" i="1"/>
  <c r="G3990" i="1"/>
  <c r="F3990" i="1"/>
  <c r="D3990" i="1"/>
  <c r="B3990" i="1"/>
  <c r="A3990" i="1"/>
  <c r="J3989" i="1"/>
  <c r="I3989" i="1"/>
  <c r="H3989" i="1"/>
  <c r="G3989" i="1"/>
  <c r="F3989" i="1"/>
  <c r="D3989" i="1"/>
  <c r="B3989" i="1"/>
  <c r="A3989" i="1"/>
  <c r="J3988" i="1"/>
  <c r="I3988" i="1"/>
  <c r="H3988" i="1"/>
  <c r="G3988" i="1"/>
  <c r="F3988" i="1"/>
  <c r="D3988" i="1"/>
  <c r="B3988" i="1"/>
  <c r="A3988" i="1"/>
  <c r="J3987" i="1"/>
  <c r="I3987" i="1"/>
  <c r="H3987" i="1"/>
  <c r="G3987" i="1"/>
  <c r="F3987" i="1"/>
  <c r="D3987" i="1"/>
  <c r="B3987" i="1"/>
  <c r="A3987" i="1"/>
  <c r="J3986" i="1"/>
  <c r="I3986" i="1"/>
  <c r="H3986" i="1"/>
  <c r="G3986" i="1"/>
  <c r="F3986" i="1"/>
  <c r="D3986" i="1"/>
  <c r="B3986" i="1"/>
  <c r="A3986" i="1"/>
  <c r="J3985" i="1"/>
  <c r="I3985" i="1"/>
  <c r="H3985" i="1"/>
  <c r="G3985" i="1"/>
  <c r="F3985" i="1"/>
  <c r="D3985" i="1"/>
  <c r="B3985" i="1"/>
  <c r="A3985" i="1"/>
  <c r="J3984" i="1"/>
  <c r="I3984" i="1"/>
  <c r="H3984" i="1"/>
  <c r="G3984" i="1"/>
  <c r="F3984" i="1"/>
  <c r="D3984" i="1"/>
  <c r="B3984" i="1"/>
  <c r="A3984" i="1"/>
  <c r="J3983" i="1"/>
  <c r="I3983" i="1"/>
  <c r="H3983" i="1"/>
  <c r="G3983" i="1"/>
  <c r="F3983" i="1"/>
  <c r="D3983" i="1"/>
  <c r="B3983" i="1"/>
  <c r="A3983" i="1"/>
  <c r="J3982" i="1"/>
  <c r="I3982" i="1"/>
  <c r="H3982" i="1"/>
  <c r="G3982" i="1"/>
  <c r="F3982" i="1"/>
  <c r="D3982" i="1"/>
  <c r="B3982" i="1"/>
  <c r="A3982" i="1"/>
  <c r="J3981" i="1"/>
  <c r="I3981" i="1"/>
  <c r="H3981" i="1"/>
  <c r="G3981" i="1"/>
  <c r="F3981" i="1"/>
  <c r="D3981" i="1"/>
  <c r="B3981" i="1"/>
  <c r="A3981" i="1"/>
  <c r="J3980" i="1"/>
  <c r="I3980" i="1"/>
  <c r="H3980" i="1"/>
  <c r="G3980" i="1"/>
  <c r="F3980" i="1"/>
  <c r="D3980" i="1"/>
  <c r="B3980" i="1"/>
  <c r="A3980" i="1"/>
  <c r="J3979" i="1"/>
  <c r="I3979" i="1"/>
  <c r="H3979" i="1"/>
  <c r="G3979" i="1"/>
  <c r="F3979" i="1"/>
  <c r="D3979" i="1"/>
  <c r="B3979" i="1"/>
  <c r="A3979" i="1"/>
  <c r="J3978" i="1"/>
  <c r="I3978" i="1"/>
  <c r="H3978" i="1"/>
  <c r="G3978" i="1"/>
  <c r="F3978" i="1"/>
  <c r="D3978" i="1"/>
  <c r="B3978" i="1"/>
  <c r="A3978" i="1"/>
  <c r="J3977" i="1"/>
  <c r="I3977" i="1"/>
  <c r="H3977" i="1"/>
  <c r="G3977" i="1"/>
  <c r="F3977" i="1"/>
  <c r="D3977" i="1"/>
  <c r="B3977" i="1"/>
  <c r="A3977" i="1"/>
  <c r="J3976" i="1"/>
  <c r="I3976" i="1"/>
  <c r="H3976" i="1"/>
  <c r="G3976" i="1"/>
  <c r="F3976" i="1"/>
  <c r="D3976" i="1"/>
  <c r="B3976" i="1"/>
  <c r="A3976" i="1"/>
  <c r="J3975" i="1"/>
  <c r="I3975" i="1"/>
  <c r="H3975" i="1"/>
  <c r="G3975" i="1"/>
  <c r="F3975" i="1"/>
  <c r="D3975" i="1"/>
  <c r="B3975" i="1"/>
  <c r="A3975" i="1"/>
  <c r="J3974" i="1"/>
  <c r="I3974" i="1"/>
  <c r="H3974" i="1"/>
  <c r="G3974" i="1"/>
  <c r="F3974" i="1"/>
  <c r="D3974" i="1"/>
  <c r="B3974" i="1"/>
  <c r="A3974" i="1"/>
  <c r="J3973" i="1"/>
  <c r="I3973" i="1"/>
  <c r="H3973" i="1"/>
  <c r="G3973" i="1"/>
  <c r="F3973" i="1"/>
  <c r="D3973" i="1"/>
  <c r="B3973" i="1"/>
  <c r="A3973" i="1"/>
  <c r="J3972" i="1"/>
  <c r="I3972" i="1"/>
  <c r="H3972" i="1"/>
  <c r="G3972" i="1"/>
  <c r="F3972" i="1"/>
  <c r="D3972" i="1"/>
  <c r="B3972" i="1"/>
  <c r="A3972" i="1"/>
  <c r="J3971" i="1"/>
  <c r="I3971" i="1"/>
  <c r="H3971" i="1"/>
  <c r="G3971" i="1"/>
  <c r="F3971" i="1"/>
  <c r="D3971" i="1"/>
  <c r="B3971" i="1"/>
  <c r="A3971" i="1"/>
  <c r="J3970" i="1"/>
  <c r="I3970" i="1"/>
  <c r="H3970" i="1"/>
  <c r="G3970" i="1"/>
  <c r="F3970" i="1"/>
  <c r="D3970" i="1"/>
  <c r="B3970" i="1"/>
  <c r="A3970" i="1"/>
  <c r="J3969" i="1"/>
  <c r="I3969" i="1"/>
  <c r="H3969" i="1"/>
  <c r="G3969" i="1"/>
  <c r="F3969" i="1"/>
  <c r="D3969" i="1"/>
  <c r="B3969" i="1"/>
  <c r="A3969" i="1"/>
  <c r="J3968" i="1"/>
  <c r="I3968" i="1"/>
  <c r="H3968" i="1"/>
  <c r="G3968" i="1"/>
  <c r="F3968" i="1"/>
  <c r="D3968" i="1"/>
  <c r="B3968" i="1"/>
  <c r="A3968" i="1"/>
  <c r="J3967" i="1"/>
  <c r="I3967" i="1"/>
  <c r="H3967" i="1"/>
  <c r="G3967" i="1"/>
  <c r="F3967" i="1"/>
  <c r="D3967" i="1"/>
  <c r="B3967" i="1"/>
  <c r="A3967" i="1"/>
  <c r="J3966" i="1"/>
  <c r="I3966" i="1"/>
  <c r="H3966" i="1"/>
  <c r="G3966" i="1"/>
  <c r="F3966" i="1"/>
  <c r="D3966" i="1"/>
  <c r="B3966" i="1"/>
  <c r="A3966" i="1"/>
  <c r="J3965" i="1"/>
  <c r="I3965" i="1"/>
  <c r="H3965" i="1"/>
  <c r="G3965" i="1"/>
  <c r="F3965" i="1"/>
  <c r="D3965" i="1"/>
  <c r="B3965" i="1"/>
  <c r="A3965" i="1"/>
  <c r="J3964" i="1"/>
  <c r="I3964" i="1"/>
  <c r="H3964" i="1"/>
  <c r="G3964" i="1"/>
  <c r="F3964" i="1"/>
  <c r="D3964" i="1"/>
  <c r="B3964" i="1"/>
  <c r="A3964" i="1"/>
  <c r="J3963" i="1"/>
  <c r="I3963" i="1"/>
  <c r="H3963" i="1"/>
  <c r="G3963" i="1"/>
  <c r="F3963" i="1"/>
  <c r="D3963" i="1"/>
  <c r="B3963" i="1"/>
  <c r="A3963" i="1"/>
  <c r="J3962" i="1"/>
  <c r="I3962" i="1"/>
  <c r="H3962" i="1"/>
  <c r="G3962" i="1"/>
  <c r="F3962" i="1"/>
  <c r="D3962" i="1"/>
  <c r="B3962" i="1"/>
  <c r="A3962" i="1"/>
  <c r="J3961" i="1"/>
  <c r="I3961" i="1"/>
  <c r="H3961" i="1"/>
  <c r="G3961" i="1"/>
  <c r="F3961" i="1"/>
  <c r="D3961" i="1"/>
  <c r="B3961" i="1"/>
  <c r="A3961" i="1"/>
  <c r="J3960" i="1"/>
  <c r="I3960" i="1"/>
  <c r="H3960" i="1"/>
  <c r="G3960" i="1"/>
  <c r="F3960" i="1"/>
  <c r="D3960" i="1"/>
  <c r="B3960" i="1"/>
  <c r="A3960" i="1"/>
  <c r="J3959" i="1"/>
  <c r="I3959" i="1"/>
  <c r="H3959" i="1"/>
  <c r="G3959" i="1"/>
  <c r="F3959" i="1"/>
  <c r="D3959" i="1"/>
  <c r="B3959" i="1"/>
  <c r="A3959" i="1"/>
  <c r="J3958" i="1"/>
  <c r="I3958" i="1"/>
  <c r="H3958" i="1"/>
  <c r="G3958" i="1"/>
  <c r="F3958" i="1"/>
  <c r="D3958" i="1"/>
  <c r="B3958" i="1"/>
  <c r="A3958" i="1"/>
  <c r="J3957" i="1"/>
  <c r="I3957" i="1"/>
  <c r="H3957" i="1"/>
  <c r="G3957" i="1"/>
  <c r="F3957" i="1"/>
  <c r="D3957" i="1"/>
  <c r="B3957" i="1"/>
  <c r="A3957" i="1"/>
  <c r="J3956" i="1"/>
  <c r="I3956" i="1"/>
  <c r="H3956" i="1"/>
  <c r="G3956" i="1"/>
  <c r="F3956" i="1"/>
  <c r="D3956" i="1"/>
  <c r="B3956" i="1"/>
  <c r="A3956" i="1"/>
  <c r="J3955" i="1"/>
  <c r="I3955" i="1"/>
  <c r="H3955" i="1"/>
  <c r="G3955" i="1"/>
  <c r="F3955" i="1"/>
  <c r="D3955" i="1"/>
  <c r="B3955" i="1"/>
  <c r="A3955" i="1"/>
  <c r="J3954" i="1"/>
  <c r="I3954" i="1"/>
  <c r="H3954" i="1"/>
  <c r="G3954" i="1"/>
  <c r="F3954" i="1"/>
  <c r="D3954" i="1"/>
  <c r="B3954" i="1"/>
  <c r="A3954" i="1"/>
  <c r="J3953" i="1"/>
  <c r="I3953" i="1"/>
  <c r="H3953" i="1"/>
  <c r="G3953" i="1"/>
  <c r="F3953" i="1"/>
  <c r="D3953" i="1"/>
  <c r="B3953" i="1"/>
  <c r="A3953" i="1"/>
  <c r="J3952" i="1"/>
  <c r="I3952" i="1"/>
  <c r="H3952" i="1"/>
  <c r="G3952" i="1"/>
  <c r="F3952" i="1"/>
  <c r="D3952" i="1"/>
  <c r="B3952" i="1"/>
  <c r="A3952" i="1"/>
  <c r="J3951" i="1"/>
  <c r="I3951" i="1"/>
  <c r="H3951" i="1"/>
  <c r="G3951" i="1"/>
  <c r="F3951" i="1"/>
  <c r="D3951" i="1"/>
  <c r="B3951" i="1"/>
  <c r="A3951" i="1"/>
  <c r="J3950" i="1"/>
  <c r="I3950" i="1"/>
  <c r="H3950" i="1"/>
  <c r="G3950" i="1"/>
  <c r="F3950" i="1"/>
  <c r="D3950" i="1"/>
  <c r="B3950" i="1"/>
  <c r="A3950" i="1"/>
  <c r="J3949" i="1"/>
  <c r="I3949" i="1"/>
  <c r="H3949" i="1"/>
  <c r="G3949" i="1"/>
  <c r="F3949" i="1"/>
  <c r="D3949" i="1"/>
  <c r="B3949" i="1"/>
  <c r="A3949" i="1"/>
  <c r="J3948" i="1"/>
  <c r="I3948" i="1"/>
  <c r="H3948" i="1"/>
  <c r="G3948" i="1"/>
  <c r="F3948" i="1"/>
  <c r="D3948" i="1"/>
  <c r="B3948" i="1"/>
  <c r="A3948" i="1"/>
  <c r="J3947" i="1"/>
  <c r="I3947" i="1"/>
  <c r="H3947" i="1"/>
  <c r="G3947" i="1"/>
  <c r="F3947" i="1"/>
  <c r="D3947" i="1"/>
  <c r="B3947" i="1"/>
  <c r="A3947" i="1"/>
  <c r="J3946" i="1"/>
  <c r="I3946" i="1"/>
  <c r="H3946" i="1"/>
  <c r="G3946" i="1"/>
  <c r="F3946" i="1"/>
  <c r="D3946" i="1"/>
  <c r="B3946" i="1"/>
  <c r="A3946" i="1"/>
  <c r="J3945" i="1"/>
  <c r="I3945" i="1"/>
  <c r="H3945" i="1"/>
  <c r="G3945" i="1"/>
  <c r="F3945" i="1"/>
  <c r="D3945" i="1"/>
  <c r="B3945" i="1"/>
  <c r="A3945" i="1"/>
  <c r="J3944" i="1"/>
  <c r="I3944" i="1"/>
  <c r="H3944" i="1"/>
  <c r="G3944" i="1"/>
  <c r="F3944" i="1"/>
  <c r="D3944" i="1"/>
  <c r="B3944" i="1"/>
  <c r="A3944" i="1"/>
  <c r="J3943" i="1"/>
  <c r="I3943" i="1"/>
  <c r="H3943" i="1"/>
  <c r="G3943" i="1"/>
  <c r="F3943" i="1"/>
  <c r="D3943" i="1"/>
  <c r="B3943" i="1"/>
  <c r="A3943" i="1"/>
  <c r="J3942" i="1"/>
  <c r="I3942" i="1"/>
  <c r="H3942" i="1"/>
  <c r="G3942" i="1"/>
  <c r="F3942" i="1"/>
  <c r="D3942" i="1"/>
  <c r="B3942" i="1"/>
  <c r="A3942" i="1"/>
  <c r="J3941" i="1"/>
  <c r="I3941" i="1"/>
  <c r="H3941" i="1"/>
  <c r="G3941" i="1"/>
  <c r="F3941" i="1"/>
  <c r="D3941" i="1"/>
  <c r="B3941" i="1"/>
  <c r="A3941" i="1"/>
  <c r="J3940" i="1"/>
  <c r="I3940" i="1"/>
  <c r="H3940" i="1"/>
  <c r="G3940" i="1"/>
  <c r="F3940" i="1"/>
  <c r="D3940" i="1"/>
  <c r="B3940" i="1"/>
  <c r="A3940" i="1"/>
  <c r="J3939" i="1"/>
  <c r="I3939" i="1"/>
  <c r="H3939" i="1"/>
  <c r="G3939" i="1"/>
  <c r="F3939" i="1"/>
  <c r="D3939" i="1"/>
  <c r="B3939" i="1"/>
  <c r="A3939" i="1"/>
  <c r="J3938" i="1"/>
  <c r="I3938" i="1"/>
  <c r="H3938" i="1"/>
  <c r="G3938" i="1"/>
  <c r="F3938" i="1"/>
  <c r="D3938" i="1"/>
  <c r="B3938" i="1"/>
  <c r="A3938" i="1"/>
  <c r="J3937" i="1"/>
  <c r="I3937" i="1"/>
  <c r="H3937" i="1"/>
  <c r="G3937" i="1"/>
  <c r="F3937" i="1"/>
  <c r="D3937" i="1"/>
  <c r="B3937" i="1"/>
  <c r="A3937" i="1"/>
  <c r="J3936" i="1"/>
  <c r="I3936" i="1"/>
  <c r="H3936" i="1"/>
  <c r="G3936" i="1"/>
  <c r="F3936" i="1"/>
  <c r="D3936" i="1"/>
  <c r="B3936" i="1"/>
  <c r="A3936" i="1"/>
  <c r="J3935" i="1"/>
  <c r="I3935" i="1"/>
  <c r="H3935" i="1"/>
  <c r="G3935" i="1"/>
  <c r="F3935" i="1"/>
  <c r="D3935" i="1"/>
  <c r="B3935" i="1"/>
  <c r="A3935" i="1"/>
  <c r="J3934" i="1"/>
  <c r="I3934" i="1"/>
  <c r="H3934" i="1"/>
  <c r="G3934" i="1"/>
  <c r="F3934" i="1"/>
  <c r="D3934" i="1"/>
  <c r="B3934" i="1"/>
  <c r="A3934" i="1"/>
  <c r="J3933" i="1"/>
  <c r="I3933" i="1"/>
  <c r="H3933" i="1"/>
  <c r="G3933" i="1"/>
  <c r="F3933" i="1"/>
  <c r="D3933" i="1"/>
  <c r="B3933" i="1"/>
  <c r="A3933" i="1"/>
  <c r="J3932" i="1"/>
  <c r="I3932" i="1"/>
  <c r="H3932" i="1"/>
  <c r="G3932" i="1"/>
  <c r="F3932" i="1"/>
  <c r="D3932" i="1"/>
  <c r="B3932" i="1"/>
  <c r="A3932" i="1"/>
  <c r="J3931" i="1"/>
  <c r="I3931" i="1"/>
  <c r="H3931" i="1"/>
  <c r="G3931" i="1"/>
  <c r="F3931" i="1"/>
  <c r="D3931" i="1"/>
  <c r="B3931" i="1"/>
  <c r="A3931" i="1"/>
  <c r="J3930" i="1"/>
  <c r="I3930" i="1"/>
  <c r="H3930" i="1"/>
  <c r="G3930" i="1"/>
  <c r="F3930" i="1"/>
  <c r="D3930" i="1"/>
  <c r="B3930" i="1"/>
  <c r="A3930" i="1"/>
  <c r="J3929" i="1"/>
  <c r="I3929" i="1"/>
  <c r="H3929" i="1"/>
  <c r="G3929" i="1"/>
  <c r="F3929" i="1"/>
  <c r="D3929" i="1"/>
  <c r="B3929" i="1"/>
  <c r="A3929" i="1"/>
  <c r="J3928" i="1"/>
  <c r="I3928" i="1"/>
  <c r="H3928" i="1"/>
  <c r="G3928" i="1"/>
  <c r="F3928" i="1"/>
  <c r="D3928" i="1"/>
  <c r="B3928" i="1"/>
  <c r="A3928" i="1"/>
  <c r="J3927" i="1"/>
  <c r="I3927" i="1"/>
  <c r="H3927" i="1"/>
  <c r="G3927" i="1"/>
  <c r="F3927" i="1"/>
  <c r="D3927" i="1"/>
  <c r="B3927" i="1"/>
  <c r="A3927" i="1"/>
  <c r="J3926" i="1"/>
  <c r="I3926" i="1"/>
  <c r="H3926" i="1"/>
  <c r="G3926" i="1"/>
  <c r="F3926" i="1"/>
  <c r="D3926" i="1"/>
  <c r="B3926" i="1"/>
  <c r="A3926" i="1"/>
  <c r="J3925" i="1"/>
  <c r="I3925" i="1"/>
  <c r="H3925" i="1"/>
  <c r="G3925" i="1"/>
  <c r="F3925" i="1"/>
  <c r="D3925" i="1"/>
  <c r="B3925" i="1"/>
  <c r="A3925" i="1"/>
  <c r="J3924" i="1"/>
  <c r="I3924" i="1"/>
  <c r="H3924" i="1"/>
  <c r="G3924" i="1"/>
  <c r="F3924" i="1"/>
  <c r="D3924" i="1"/>
  <c r="B3924" i="1"/>
  <c r="A3924" i="1"/>
  <c r="J3923" i="1"/>
  <c r="I3923" i="1"/>
  <c r="H3923" i="1"/>
  <c r="G3923" i="1"/>
  <c r="F3923" i="1"/>
  <c r="D3923" i="1"/>
  <c r="B3923" i="1"/>
  <c r="A3923" i="1"/>
  <c r="J3922" i="1"/>
  <c r="I3922" i="1"/>
  <c r="H3922" i="1"/>
  <c r="G3922" i="1"/>
  <c r="F3922" i="1"/>
  <c r="D3922" i="1"/>
  <c r="B3922" i="1"/>
  <c r="A3922" i="1"/>
  <c r="J3921" i="1"/>
  <c r="I3921" i="1"/>
  <c r="H3921" i="1"/>
  <c r="G3921" i="1"/>
  <c r="F3921" i="1"/>
  <c r="D3921" i="1"/>
  <c r="B3921" i="1"/>
  <c r="A3921" i="1"/>
  <c r="J3920" i="1"/>
  <c r="I3920" i="1"/>
  <c r="H3920" i="1"/>
  <c r="G3920" i="1"/>
  <c r="F3920" i="1"/>
  <c r="D3920" i="1"/>
  <c r="B3920" i="1"/>
  <c r="A3920" i="1"/>
  <c r="J3919" i="1"/>
  <c r="I3919" i="1"/>
  <c r="H3919" i="1"/>
  <c r="G3919" i="1"/>
  <c r="F3919" i="1"/>
  <c r="D3919" i="1"/>
  <c r="B3919" i="1"/>
  <c r="A3919" i="1"/>
  <c r="J3918" i="1"/>
  <c r="I3918" i="1"/>
  <c r="H3918" i="1"/>
  <c r="G3918" i="1"/>
  <c r="F3918" i="1"/>
  <c r="D3918" i="1"/>
  <c r="B3918" i="1"/>
  <c r="A3918" i="1"/>
  <c r="J3917" i="1"/>
  <c r="I3917" i="1"/>
  <c r="H3917" i="1"/>
  <c r="G3917" i="1"/>
  <c r="F3917" i="1"/>
  <c r="D3917" i="1"/>
  <c r="B3917" i="1"/>
  <c r="A3917" i="1"/>
  <c r="J3916" i="1"/>
  <c r="I3916" i="1"/>
  <c r="H3916" i="1"/>
  <c r="G3916" i="1"/>
  <c r="F3916" i="1"/>
  <c r="D3916" i="1"/>
  <c r="B3916" i="1"/>
  <c r="A3916" i="1"/>
  <c r="J3915" i="1"/>
  <c r="I3915" i="1"/>
  <c r="H3915" i="1"/>
  <c r="G3915" i="1"/>
  <c r="F3915" i="1"/>
  <c r="D3915" i="1"/>
  <c r="B3915" i="1"/>
  <c r="A3915" i="1"/>
  <c r="J3914" i="1"/>
  <c r="I3914" i="1"/>
  <c r="H3914" i="1"/>
  <c r="G3914" i="1"/>
  <c r="F3914" i="1"/>
  <c r="D3914" i="1"/>
  <c r="B3914" i="1"/>
  <c r="A3914" i="1"/>
  <c r="J3913" i="1"/>
  <c r="I3913" i="1"/>
  <c r="H3913" i="1"/>
  <c r="G3913" i="1"/>
  <c r="F3913" i="1"/>
  <c r="D3913" i="1"/>
  <c r="B3913" i="1"/>
  <c r="A3913" i="1"/>
  <c r="J3912" i="1"/>
  <c r="I3912" i="1"/>
  <c r="H3912" i="1"/>
  <c r="G3912" i="1"/>
  <c r="F3912" i="1"/>
  <c r="D3912" i="1"/>
  <c r="B3912" i="1"/>
  <c r="A3912" i="1"/>
  <c r="J3911" i="1"/>
  <c r="I3911" i="1"/>
  <c r="H3911" i="1"/>
  <c r="G3911" i="1"/>
  <c r="F3911" i="1"/>
  <c r="D3911" i="1"/>
  <c r="B3911" i="1"/>
  <c r="A3911" i="1"/>
  <c r="J3910" i="1"/>
  <c r="I3910" i="1"/>
  <c r="H3910" i="1"/>
  <c r="G3910" i="1"/>
  <c r="F3910" i="1"/>
  <c r="D3910" i="1"/>
  <c r="B3910" i="1"/>
  <c r="A3910" i="1"/>
  <c r="J3909" i="1"/>
  <c r="I3909" i="1"/>
  <c r="H3909" i="1"/>
  <c r="G3909" i="1"/>
  <c r="F3909" i="1"/>
  <c r="D3909" i="1"/>
  <c r="B3909" i="1"/>
  <c r="A3909" i="1"/>
  <c r="J3908" i="1"/>
  <c r="I3908" i="1"/>
  <c r="H3908" i="1"/>
  <c r="G3908" i="1"/>
  <c r="F3908" i="1"/>
  <c r="D3908" i="1"/>
  <c r="B3908" i="1"/>
  <c r="A3908" i="1"/>
  <c r="J3907" i="1"/>
  <c r="I3907" i="1"/>
  <c r="H3907" i="1"/>
  <c r="G3907" i="1"/>
  <c r="F3907" i="1"/>
  <c r="D3907" i="1"/>
  <c r="B3907" i="1"/>
  <c r="A3907" i="1"/>
  <c r="J3906" i="1"/>
  <c r="I3906" i="1"/>
  <c r="H3906" i="1"/>
  <c r="G3906" i="1"/>
  <c r="F3906" i="1"/>
  <c r="D3906" i="1"/>
  <c r="B3906" i="1"/>
  <c r="A3906" i="1"/>
  <c r="J3905" i="1"/>
  <c r="I3905" i="1"/>
  <c r="H3905" i="1"/>
  <c r="G3905" i="1"/>
  <c r="F3905" i="1"/>
  <c r="D3905" i="1"/>
  <c r="B3905" i="1"/>
  <c r="A3905" i="1"/>
  <c r="J3904" i="1"/>
  <c r="I3904" i="1"/>
  <c r="H3904" i="1"/>
  <c r="G3904" i="1"/>
  <c r="F3904" i="1"/>
  <c r="D3904" i="1"/>
  <c r="B3904" i="1"/>
  <c r="A3904" i="1"/>
  <c r="J3903" i="1"/>
  <c r="I3903" i="1"/>
  <c r="H3903" i="1"/>
  <c r="G3903" i="1"/>
  <c r="F3903" i="1"/>
  <c r="D3903" i="1"/>
  <c r="B3903" i="1"/>
  <c r="A3903" i="1"/>
  <c r="J3902" i="1"/>
  <c r="I3902" i="1"/>
  <c r="H3902" i="1"/>
  <c r="G3902" i="1"/>
  <c r="F3902" i="1"/>
  <c r="D3902" i="1"/>
  <c r="B3902" i="1"/>
  <c r="A3902" i="1"/>
  <c r="J3901" i="1"/>
  <c r="I3901" i="1"/>
  <c r="H3901" i="1"/>
  <c r="G3901" i="1"/>
  <c r="F3901" i="1"/>
  <c r="D3901" i="1"/>
  <c r="B3901" i="1"/>
  <c r="A3901" i="1"/>
  <c r="J3900" i="1"/>
  <c r="I3900" i="1"/>
  <c r="H3900" i="1"/>
  <c r="G3900" i="1"/>
  <c r="F3900" i="1"/>
  <c r="D3900" i="1"/>
  <c r="B3900" i="1"/>
  <c r="A3900" i="1"/>
  <c r="J3899" i="1"/>
  <c r="I3899" i="1"/>
  <c r="H3899" i="1"/>
  <c r="G3899" i="1"/>
  <c r="F3899" i="1"/>
  <c r="D3899" i="1"/>
  <c r="B3899" i="1"/>
  <c r="A3899" i="1"/>
  <c r="J3898" i="1"/>
  <c r="I3898" i="1"/>
  <c r="H3898" i="1"/>
  <c r="G3898" i="1"/>
  <c r="F3898" i="1"/>
  <c r="D3898" i="1"/>
  <c r="B3898" i="1"/>
  <c r="A3898" i="1"/>
  <c r="J3897" i="1"/>
  <c r="I3897" i="1"/>
  <c r="H3897" i="1"/>
  <c r="G3897" i="1"/>
  <c r="F3897" i="1"/>
  <c r="D3897" i="1"/>
  <c r="B3897" i="1"/>
  <c r="A3897" i="1"/>
  <c r="J3896" i="1"/>
  <c r="I3896" i="1"/>
  <c r="H3896" i="1"/>
  <c r="G3896" i="1"/>
  <c r="F3896" i="1"/>
  <c r="D3896" i="1"/>
  <c r="B3896" i="1"/>
  <c r="A3896" i="1"/>
  <c r="J3895" i="1"/>
  <c r="I3895" i="1"/>
  <c r="H3895" i="1"/>
  <c r="G3895" i="1"/>
  <c r="F3895" i="1"/>
  <c r="D3895" i="1"/>
  <c r="B3895" i="1"/>
  <c r="A3895" i="1"/>
  <c r="J3894" i="1"/>
  <c r="I3894" i="1"/>
  <c r="H3894" i="1"/>
  <c r="G3894" i="1"/>
  <c r="F3894" i="1"/>
  <c r="D3894" i="1"/>
  <c r="B3894" i="1"/>
  <c r="A3894" i="1"/>
  <c r="J3893" i="1"/>
  <c r="I3893" i="1"/>
  <c r="H3893" i="1"/>
  <c r="G3893" i="1"/>
  <c r="F3893" i="1"/>
  <c r="D3893" i="1"/>
  <c r="B3893" i="1"/>
  <c r="A3893" i="1"/>
  <c r="J3892" i="1"/>
  <c r="I3892" i="1"/>
  <c r="H3892" i="1"/>
  <c r="G3892" i="1"/>
  <c r="F3892" i="1"/>
  <c r="D3892" i="1"/>
  <c r="B3892" i="1"/>
  <c r="A3892" i="1"/>
  <c r="J3891" i="1"/>
  <c r="I3891" i="1"/>
  <c r="H3891" i="1"/>
  <c r="G3891" i="1"/>
  <c r="F3891" i="1"/>
  <c r="D3891" i="1"/>
  <c r="B3891" i="1"/>
  <c r="A3891" i="1"/>
  <c r="J3890" i="1"/>
  <c r="I3890" i="1"/>
  <c r="H3890" i="1"/>
  <c r="G3890" i="1"/>
  <c r="F3890" i="1"/>
  <c r="D3890" i="1"/>
  <c r="B3890" i="1"/>
  <c r="A3890" i="1"/>
  <c r="J3889" i="1"/>
  <c r="I3889" i="1"/>
  <c r="H3889" i="1"/>
  <c r="G3889" i="1"/>
  <c r="F3889" i="1"/>
  <c r="D3889" i="1"/>
  <c r="B3889" i="1"/>
  <c r="A3889" i="1"/>
  <c r="J3888" i="1"/>
  <c r="I3888" i="1"/>
  <c r="H3888" i="1"/>
  <c r="G3888" i="1"/>
  <c r="F3888" i="1"/>
  <c r="D3888" i="1"/>
  <c r="B3888" i="1"/>
  <c r="A3888" i="1"/>
  <c r="J3887" i="1"/>
  <c r="I3887" i="1"/>
  <c r="H3887" i="1"/>
  <c r="G3887" i="1"/>
  <c r="F3887" i="1"/>
  <c r="D3887" i="1"/>
  <c r="B3887" i="1"/>
  <c r="A3887" i="1"/>
  <c r="J3886" i="1"/>
  <c r="I3886" i="1"/>
  <c r="H3886" i="1"/>
  <c r="G3886" i="1"/>
  <c r="F3886" i="1"/>
  <c r="D3886" i="1"/>
  <c r="B3886" i="1"/>
  <c r="A3886" i="1"/>
  <c r="J3885" i="1"/>
  <c r="I3885" i="1"/>
  <c r="H3885" i="1"/>
  <c r="G3885" i="1"/>
  <c r="F3885" i="1"/>
  <c r="D3885" i="1"/>
  <c r="B3885" i="1"/>
  <c r="A3885" i="1"/>
  <c r="J3884" i="1"/>
  <c r="I3884" i="1"/>
  <c r="H3884" i="1"/>
  <c r="G3884" i="1"/>
  <c r="F3884" i="1"/>
  <c r="D3884" i="1"/>
  <c r="B3884" i="1"/>
  <c r="A3884" i="1"/>
  <c r="J3883" i="1"/>
  <c r="I3883" i="1"/>
  <c r="H3883" i="1"/>
  <c r="G3883" i="1"/>
  <c r="F3883" i="1"/>
  <c r="D3883" i="1"/>
  <c r="B3883" i="1"/>
  <c r="A3883" i="1"/>
  <c r="J3882" i="1"/>
  <c r="I3882" i="1"/>
  <c r="H3882" i="1"/>
  <c r="G3882" i="1"/>
  <c r="F3882" i="1"/>
  <c r="D3882" i="1"/>
  <c r="B3882" i="1"/>
  <c r="A3882" i="1"/>
  <c r="J3881" i="1"/>
  <c r="I3881" i="1"/>
  <c r="H3881" i="1"/>
  <c r="G3881" i="1"/>
  <c r="F3881" i="1"/>
  <c r="D3881" i="1"/>
  <c r="B3881" i="1"/>
  <c r="A3881" i="1"/>
  <c r="J3880" i="1"/>
  <c r="I3880" i="1"/>
  <c r="H3880" i="1"/>
  <c r="G3880" i="1"/>
  <c r="F3880" i="1"/>
  <c r="D3880" i="1"/>
  <c r="B3880" i="1"/>
  <c r="A3880" i="1"/>
  <c r="J3879" i="1"/>
  <c r="I3879" i="1"/>
  <c r="H3879" i="1"/>
  <c r="G3879" i="1"/>
  <c r="F3879" i="1"/>
  <c r="D3879" i="1"/>
  <c r="B3879" i="1"/>
  <c r="A3879" i="1"/>
  <c r="J3878" i="1"/>
  <c r="I3878" i="1"/>
  <c r="H3878" i="1"/>
  <c r="G3878" i="1"/>
  <c r="F3878" i="1"/>
  <c r="D3878" i="1"/>
  <c r="B3878" i="1"/>
  <c r="A3878" i="1"/>
  <c r="J3877" i="1"/>
  <c r="I3877" i="1"/>
  <c r="H3877" i="1"/>
  <c r="G3877" i="1"/>
  <c r="F3877" i="1"/>
  <c r="D3877" i="1"/>
  <c r="B3877" i="1"/>
  <c r="A3877" i="1"/>
  <c r="J3876" i="1"/>
  <c r="I3876" i="1"/>
  <c r="H3876" i="1"/>
  <c r="G3876" i="1"/>
  <c r="F3876" i="1"/>
  <c r="D3876" i="1"/>
  <c r="B3876" i="1"/>
  <c r="A3876" i="1"/>
  <c r="J3875" i="1"/>
  <c r="I3875" i="1"/>
  <c r="H3875" i="1"/>
  <c r="G3875" i="1"/>
  <c r="F3875" i="1"/>
  <c r="D3875" i="1"/>
  <c r="B3875" i="1"/>
  <c r="A3875" i="1"/>
  <c r="J3874" i="1"/>
  <c r="I3874" i="1"/>
  <c r="H3874" i="1"/>
  <c r="G3874" i="1"/>
  <c r="F3874" i="1"/>
  <c r="D3874" i="1"/>
  <c r="B3874" i="1"/>
  <c r="A3874" i="1"/>
  <c r="J3873" i="1"/>
  <c r="I3873" i="1"/>
  <c r="H3873" i="1"/>
  <c r="G3873" i="1"/>
  <c r="F3873" i="1"/>
  <c r="D3873" i="1"/>
  <c r="B3873" i="1"/>
  <c r="A3873" i="1"/>
  <c r="J3872" i="1"/>
  <c r="I3872" i="1"/>
  <c r="H3872" i="1"/>
  <c r="G3872" i="1"/>
  <c r="F3872" i="1"/>
  <c r="D3872" i="1"/>
  <c r="B3872" i="1"/>
  <c r="A3872" i="1"/>
  <c r="J3871" i="1"/>
  <c r="I3871" i="1"/>
  <c r="H3871" i="1"/>
  <c r="G3871" i="1"/>
  <c r="F3871" i="1"/>
  <c r="D3871" i="1"/>
  <c r="B3871" i="1"/>
  <c r="A3871" i="1"/>
  <c r="J3870" i="1"/>
  <c r="I3870" i="1"/>
  <c r="H3870" i="1"/>
  <c r="G3870" i="1"/>
  <c r="F3870" i="1"/>
  <c r="D3870" i="1"/>
  <c r="B3870" i="1"/>
  <c r="A3870" i="1"/>
  <c r="J3869" i="1"/>
  <c r="I3869" i="1"/>
  <c r="H3869" i="1"/>
  <c r="G3869" i="1"/>
  <c r="F3869" i="1"/>
  <c r="D3869" i="1"/>
  <c r="B3869" i="1"/>
  <c r="A3869" i="1"/>
  <c r="J3868" i="1"/>
  <c r="I3868" i="1"/>
  <c r="H3868" i="1"/>
  <c r="G3868" i="1"/>
  <c r="F3868" i="1"/>
  <c r="D3868" i="1"/>
  <c r="B3868" i="1"/>
  <c r="A3868" i="1"/>
  <c r="J3867" i="1"/>
  <c r="I3867" i="1"/>
  <c r="H3867" i="1"/>
  <c r="G3867" i="1"/>
  <c r="F3867" i="1"/>
  <c r="D3867" i="1"/>
  <c r="B3867" i="1"/>
  <c r="A3867" i="1"/>
  <c r="J3866" i="1"/>
  <c r="I3866" i="1"/>
  <c r="H3866" i="1"/>
  <c r="G3866" i="1"/>
  <c r="F3866" i="1"/>
  <c r="D3866" i="1"/>
  <c r="B3866" i="1"/>
  <c r="A3866" i="1"/>
  <c r="J3865" i="1"/>
  <c r="I3865" i="1"/>
  <c r="H3865" i="1"/>
  <c r="G3865" i="1"/>
  <c r="F3865" i="1"/>
  <c r="D3865" i="1"/>
  <c r="B3865" i="1"/>
  <c r="A3865" i="1"/>
  <c r="J3864" i="1"/>
  <c r="I3864" i="1"/>
  <c r="H3864" i="1"/>
  <c r="G3864" i="1"/>
  <c r="F3864" i="1"/>
  <c r="D3864" i="1"/>
  <c r="B3864" i="1"/>
  <c r="A3864" i="1"/>
  <c r="J3863" i="1"/>
  <c r="I3863" i="1"/>
  <c r="H3863" i="1"/>
  <c r="G3863" i="1"/>
  <c r="F3863" i="1"/>
  <c r="D3863" i="1"/>
  <c r="B3863" i="1"/>
  <c r="A3863" i="1"/>
  <c r="J3862" i="1"/>
  <c r="I3862" i="1"/>
  <c r="H3862" i="1"/>
  <c r="G3862" i="1"/>
  <c r="F3862" i="1"/>
  <c r="D3862" i="1"/>
  <c r="B3862" i="1"/>
  <c r="A3862" i="1"/>
  <c r="J3861" i="1"/>
  <c r="I3861" i="1"/>
  <c r="H3861" i="1"/>
  <c r="G3861" i="1"/>
  <c r="F3861" i="1"/>
  <c r="D3861" i="1"/>
  <c r="B3861" i="1"/>
  <c r="A3861" i="1"/>
  <c r="J3860" i="1"/>
  <c r="I3860" i="1"/>
  <c r="H3860" i="1"/>
  <c r="G3860" i="1"/>
  <c r="F3860" i="1"/>
  <c r="D3860" i="1"/>
  <c r="B3860" i="1"/>
  <c r="A3860" i="1"/>
  <c r="J3859" i="1"/>
  <c r="I3859" i="1"/>
  <c r="H3859" i="1"/>
  <c r="G3859" i="1"/>
  <c r="F3859" i="1"/>
  <c r="D3859" i="1"/>
  <c r="B3859" i="1"/>
  <c r="A3859" i="1"/>
  <c r="J3858" i="1"/>
  <c r="I3858" i="1"/>
  <c r="H3858" i="1"/>
  <c r="G3858" i="1"/>
  <c r="F3858" i="1"/>
  <c r="D3858" i="1"/>
  <c r="B3858" i="1"/>
  <c r="A3858" i="1"/>
  <c r="J3857" i="1"/>
  <c r="I3857" i="1"/>
  <c r="H3857" i="1"/>
  <c r="G3857" i="1"/>
  <c r="F3857" i="1"/>
  <c r="D3857" i="1"/>
  <c r="B3857" i="1"/>
  <c r="A3857" i="1"/>
  <c r="J3856" i="1"/>
  <c r="I3856" i="1"/>
  <c r="H3856" i="1"/>
  <c r="G3856" i="1"/>
  <c r="F3856" i="1"/>
  <c r="D3856" i="1"/>
  <c r="B3856" i="1"/>
  <c r="A3856" i="1"/>
  <c r="J3855" i="1"/>
  <c r="I3855" i="1"/>
  <c r="H3855" i="1"/>
  <c r="G3855" i="1"/>
  <c r="F3855" i="1"/>
  <c r="D3855" i="1"/>
  <c r="B3855" i="1"/>
  <c r="A3855" i="1"/>
  <c r="J3854" i="1"/>
  <c r="I3854" i="1"/>
  <c r="H3854" i="1"/>
  <c r="G3854" i="1"/>
  <c r="F3854" i="1"/>
  <c r="D3854" i="1"/>
  <c r="B3854" i="1"/>
  <c r="A3854" i="1"/>
  <c r="J3853" i="1"/>
  <c r="I3853" i="1"/>
  <c r="H3853" i="1"/>
  <c r="G3853" i="1"/>
  <c r="F3853" i="1"/>
  <c r="D3853" i="1"/>
  <c r="B3853" i="1"/>
  <c r="A3853" i="1"/>
  <c r="J3852" i="1"/>
  <c r="I3852" i="1"/>
  <c r="H3852" i="1"/>
  <c r="G3852" i="1"/>
  <c r="F3852" i="1"/>
  <c r="D3852" i="1"/>
  <c r="B3852" i="1"/>
  <c r="A3852" i="1"/>
  <c r="J3851" i="1"/>
  <c r="I3851" i="1"/>
  <c r="H3851" i="1"/>
  <c r="G3851" i="1"/>
  <c r="F3851" i="1"/>
  <c r="D3851" i="1"/>
  <c r="B3851" i="1"/>
  <c r="A3851" i="1"/>
  <c r="J3850" i="1"/>
  <c r="I3850" i="1"/>
  <c r="H3850" i="1"/>
  <c r="G3850" i="1"/>
  <c r="F3850" i="1"/>
  <c r="D3850" i="1"/>
  <c r="B3850" i="1"/>
  <c r="A3850" i="1"/>
  <c r="J3849" i="1"/>
  <c r="I3849" i="1"/>
  <c r="H3849" i="1"/>
  <c r="G3849" i="1"/>
  <c r="F3849" i="1"/>
  <c r="D3849" i="1"/>
  <c r="B3849" i="1"/>
  <c r="A3849" i="1"/>
  <c r="J3848" i="1"/>
  <c r="I3848" i="1"/>
  <c r="H3848" i="1"/>
  <c r="G3848" i="1"/>
  <c r="F3848" i="1"/>
  <c r="D3848" i="1"/>
  <c r="B3848" i="1"/>
  <c r="A3848" i="1"/>
  <c r="J3847" i="1"/>
  <c r="I3847" i="1"/>
  <c r="H3847" i="1"/>
  <c r="G3847" i="1"/>
  <c r="F3847" i="1"/>
  <c r="D3847" i="1"/>
  <c r="B3847" i="1"/>
  <c r="A3847" i="1"/>
  <c r="J3846" i="1"/>
  <c r="I3846" i="1"/>
  <c r="H3846" i="1"/>
  <c r="G3846" i="1"/>
  <c r="F3846" i="1"/>
  <c r="D3846" i="1"/>
  <c r="B3846" i="1"/>
  <c r="A3846" i="1"/>
  <c r="J3845" i="1"/>
  <c r="I3845" i="1"/>
  <c r="H3845" i="1"/>
  <c r="G3845" i="1"/>
  <c r="F3845" i="1"/>
  <c r="D3845" i="1"/>
  <c r="B3845" i="1"/>
  <c r="A3845" i="1"/>
  <c r="J3844" i="1"/>
  <c r="I3844" i="1"/>
  <c r="H3844" i="1"/>
  <c r="G3844" i="1"/>
  <c r="F3844" i="1"/>
  <c r="D3844" i="1"/>
  <c r="B3844" i="1"/>
  <c r="A3844" i="1"/>
  <c r="J3843" i="1"/>
  <c r="I3843" i="1"/>
  <c r="H3843" i="1"/>
  <c r="G3843" i="1"/>
  <c r="F3843" i="1"/>
  <c r="D3843" i="1"/>
  <c r="B3843" i="1"/>
  <c r="A3843" i="1"/>
  <c r="J3842" i="1"/>
  <c r="I3842" i="1"/>
  <c r="H3842" i="1"/>
  <c r="G3842" i="1"/>
  <c r="F3842" i="1"/>
  <c r="D3842" i="1"/>
  <c r="B3842" i="1"/>
  <c r="A3842" i="1"/>
  <c r="J3841" i="1"/>
  <c r="I3841" i="1"/>
  <c r="H3841" i="1"/>
  <c r="G3841" i="1"/>
  <c r="F3841" i="1"/>
  <c r="D3841" i="1"/>
  <c r="B3841" i="1"/>
  <c r="A3841" i="1"/>
  <c r="J3840" i="1"/>
  <c r="I3840" i="1"/>
  <c r="H3840" i="1"/>
  <c r="G3840" i="1"/>
  <c r="F3840" i="1"/>
  <c r="D3840" i="1"/>
  <c r="B3840" i="1"/>
  <c r="A3840" i="1"/>
  <c r="J3839" i="1"/>
  <c r="I3839" i="1"/>
  <c r="H3839" i="1"/>
  <c r="G3839" i="1"/>
  <c r="F3839" i="1"/>
  <c r="D3839" i="1"/>
  <c r="B3839" i="1"/>
  <c r="A3839" i="1"/>
  <c r="J3838" i="1"/>
  <c r="I3838" i="1"/>
  <c r="H3838" i="1"/>
  <c r="G3838" i="1"/>
  <c r="F3838" i="1"/>
  <c r="D3838" i="1"/>
  <c r="B3838" i="1"/>
  <c r="A3838" i="1"/>
  <c r="J3837" i="1"/>
  <c r="I3837" i="1"/>
  <c r="H3837" i="1"/>
  <c r="G3837" i="1"/>
  <c r="F3837" i="1"/>
  <c r="D3837" i="1"/>
  <c r="B3837" i="1"/>
  <c r="A3837" i="1"/>
  <c r="J3836" i="1"/>
  <c r="I3836" i="1"/>
  <c r="H3836" i="1"/>
  <c r="G3836" i="1"/>
  <c r="F3836" i="1"/>
  <c r="D3836" i="1"/>
  <c r="B3836" i="1"/>
  <c r="A3836" i="1"/>
  <c r="J3835" i="1"/>
  <c r="I3835" i="1"/>
  <c r="H3835" i="1"/>
  <c r="G3835" i="1"/>
  <c r="F3835" i="1"/>
  <c r="D3835" i="1"/>
  <c r="B3835" i="1"/>
  <c r="A3835" i="1"/>
  <c r="J3834" i="1"/>
  <c r="I3834" i="1"/>
  <c r="H3834" i="1"/>
  <c r="G3834" i="1"/>
  <c r="F3834" i="1"/>
  <c r="D3834" i="1"/>
  <c r="B3834" i="1"/>
  <c r="A3834" i="1"/>
  <c r="J3833" i="1"/>
  <c r="I3833" i="1"/>
  <c r="H3833" i="1"/>
  <c r="G3833" i="1"/>
  <c r="F3833" i="1"/>
  <c r="D3833" i="1"/>
  <c r="B3833" i="1"/>
  <c r="A3833" i="1"/>
  <c r="J3832" i="1"/>
  <c r="I3832" i="1"/>
  <c r="H3832" i="1"/>
  <c r="G3832" i="1"/>
  <c r="F3832" i="1"/>
  <c r="D3832" i="1"/>
  <c r="B3832" i="1"/>
  <c r="A3832" i="1"/>
  <c r="J3831" i="1"/>
  <c r="I3831" i="1"/>
  <c r="H3831" i="1"/>
  <c r="G3831" i="1"/>
  <c r="F3831" i="1"/>
  <c r="D3831" i="1"/>
  <c r="B3831" i="1"/>
  <c r="A3831" i="1"/>
  <c r="J3830" i="1"/>
  <c r="I3830" i="1"/>
  <c r="H3830" i="1"/>
  <c r="G3830" i="1"/>
  <c r="F3830" i="1"/>
  <c r="D3830" i="1"/>
  <c r="B3830" i="1"/>
  <c r="A3830" i="1"/>
  <c r="J3829" i="1"/>
  <c r="I3829" i="1"/>
  <c r="H3829" i="1"/>
  <c r="G3829" i="1"/>
  <c r="F3829" i="1"/>
  <c r="D3829" i="1"/>
  <c r="B3829" i="1"/>
  <c r="A3829" i="1"/>
  <c r="J3828" i="1"/>
  <c r="I3828" i="1"/>
  <c r="H3828" i="1"/>
  <c r="G3828" i="1"/>
  <c r="F3828" i="1"/>
  <c r="D3828" i="1"/>
  <c r="B3828" i="1"/>
  <c r="A3828" i="1"/>
  <c r="J3827" i="1"/>
  <c r="I3827" i="1"/>
  <c r="H3827" i="1"/>
  <c r="G3827" i="1"/>
  <c r="F3827" i="1"/>
  <c r="D3827" i="1"/>
  <c r="B3827" i="1"/>
  <c r="A3827" i="1"/>
  <c r="J3826" i="1"/>
  <c r="I3826" i="1"/>
  <c r="H3826" i="1"/>
  <c r="G3826" i="1"/>
  <c r="F3826" i="1"/>
  <c r="D3826" i="1"/>
  <c r="B3826" i="1"/>
  <c r="A3826" i="1"/>
  <c r="J3825" i="1"/>
  <c r="I3825" i="1"/>
  <c r="H3825" i="1"/>
  <c r="G3825" i="1"/>
  <c r="F3825" i="1"/>
  <c r="D3825" i="1"/>
  <c r="B3825" i="1"/>
  <c r="A3825" i="1"/>
  <c r="J3824" i="1"/>
  <c r="I3824" i="1"/>
  <c r="H3824" i="1"/>
  <c r="G3824" i="1"/>
  <c r="F3824" i="1"/>
  <c r="D3824" i="1"/>
  <c r="B3824" i="1"/>
  <c r="A3824" i="1"/>
  <c r="J3823" i="1"/>
  <c r="I3823" i="1"/>
  <c r="H3823" i="1"/>
  <c r="G3823" i="1"/>
  <c r="F3823" i="1"/>
  <c r="D3823" i="1"/>
  <c r="B3823" i="1"/>
  <c r="A3823" i="1"/>
  <c r="J3822" i="1"/>
  <c r="I3822" i="1"/>
  <c r="H3822" i="1"/>
  <c r="G3822" i="1"/>
  <c r="F3822" i="1"/>
  <c r="D3822" i="1"/>
  <c r="B3822" i="1"/>
  <c r="A3822" i="1"/>
  <c r="J3821" i="1"/>
  <c r="I3821" i="1"/>
  <c r="H3821" i="1"/>
  <c r="G3821" i="1"/>
  <c r="F3821" i="1"/>
  <c r="D3821" i="1"/>
  <c r="B3821" i="1"/>
  <c r="A3821" i="1"/>
  <c r="J3820" i="1"/>
  <c r="I3820" i="1"/>
  <c r="H3820" i="1"/>
  <c r="G3820" i="1"/>
  <c r="F3820" i="1"/>
  <c r="D3820" i="1"/>
  <c r="B3820" i="1"/>
  <c r="A3820" i="1"/>
  <c r="J3819" i="1"/>
  <c r="I3819" i="1"/>
  <c r="H3819" i="1"/>
  <c r="G3819" i="1"/>
  <c r="F3819" i="1"/>
  <c r="D3819" i="1"/>
  <c r="B3819" i="1"/>
  <c r="A3819" i="1"/>
  <c r="J3818" i="1"/>
  <c r="I3818" i="1"/>
  <c r="H3818" i="1"/>
  <c r="G3818" i="1"/>
  <c r="F3818" i="1"/>
  <c r="D3818" i="1"/>
  <c r="B3818" i="1"/>
  <c r="A3818" i="1"/>
  <c r="J3817" i="1"/>
  <c r="I3817" i="1"/>
  <c r="H3817" i="1"/>
  <c r="G3817" i="1"/>
  <c r="F3817" i="1"/>
  <c r="D3817" i="1"/>
  <c r="B3817" i="1"/>
  <c r="A3817" i="1"/>
  <c r="J3816" i="1"/>
  <c r="I3816" i="1"/>
  <c r="H3816" i="1"/>
  <c r="G3816" i="1"/>
  <c r="F3816" i="1"/>
  <c r="D3816" i="1"/>
  <c r="B3816" i="1"/>
  <c r="A3816" i="1"/>
  <c r="J3815" i="1"/>
  <c r="I3815" i="1"/>
  <c r="H3815" i="1"/>
  <c r="G3815" i="1"/>
  <c r="F3815" i="1"/>
  <c r="D3815" i="1"/>
  <c r="B3815" i="1"/>
  <c r="A3815" i="1"/>
  <c r="J3814" i="1"/>
  <c r="I3814" i="1"/>
  <c r="H3814" i="1"/>
  <c r="G3814" i="1"/>
  <c r="F3814" i="1"/>
  <c r="D3814" i="1"/>
  <c r="B3814" i="1"/>
  <c r="A3814" i="1"/>
  <c r="J3813" i="1"/>
  <c r="I3813" i="1"/>
  <c r="H3813" i="1"/>
  <c r="G3813" i="1"/>
  <c r="F3813" i="1"/>
  <c r="D3813" i="1"/>
  <c r="B3813" i="1"/>
  <c r="A3813" i="1"/>
  <c r="J3812" i="1"/>
  <c r="I3812" i="1"/>
  <c r="H3812" i="1"/>
  <c r="G3812" i="1"/>
  <c r="F3812" i="1"/>
  <c r="D3812" i="1"/>
  <c r="B3812" i="1"/>
  <c r="A3812" i="1"/>
  <c r="J3811" i="1"/>
  <c r="I3811" i="1"/>
  <c r="H3811" i="1"/>
  <c r="G3811" i="1"/>
  <c r="F3811" i="1"/>
  <c r="D3811" i="1"/>
  <c r="B3811" i="1"/>
  <c r="A3811" i="1"/>
  <c r="J3810" i="1"/>
  <c r="I3810" i="1"/>
  <c r="H3810" i="1"/>
  <c r="G3810" i="1"/>
  <c r="F3810" i="1"/>
  <c r="D3810" i="1"/>
  <c r="B3810" i="1"/>
  <c r="A3810" i="1"/>
  <c r="J3809" i="1"/>
  <c r="I3809" i="1"/>
  <c r="H3809" i="1"/>
  <c r="G3809" i="1"/>
  <c r="F3809" i="1"/>
  <c r="D3809" i="1"/>
  <c r="B3809" i="1"/>
  <c r="A3809" i="1"/>
  <c r="J3808" i="1"/>
  <c r="I3808" i="1"/>
  <c r="H3808" i="1"/>
  <c r="G3808" i="1"/>
  <c r="F3808" i="1"/>
  <c r="D3808" i="1"/>
  <c r="B3808" i="1"/>
  <c r="A3808" i="1"/>
  <c r="J3807" i="1"/>
  <c r="I3807" i="1"/>
  <c r="H3807" i="1"/>
  <c r="G3807" i="1"/>
  <c r="F3807" i="1"/>
  <c r="D3807" i="1"/>
  <c r="B3807" i="1"/>
  <c r="A3807" i="1"/>
  <c r="J3806" i="1"/>
  <c r="I3806" i="1"/>
  <c r="H3806" i="1"/>
  <c r="G3806" i="1"/>
  <c r="F3806" i="1"/>
  <c r="D3806" i="1"/>
  <c r="B3806" i="1"/>
  <c r="A3806" i="1"/>
  <c r="J3805" i="1"/>
  <c r="I3805" i="1"/>
  <c r="H3805" i="1"/>
  <c r="G3805" i="1"/>
  <c r="F3805" i="1"/>
  <c r="D3805" i="1"/>
  <c r="B3805" i="1"/>
  <c r="A3805" i="1"/>
  <c r="J3804" i="1"/>
  <c r="I3804" i="1"/>
  <c r="H3804" i="1"/>
  <c r="G3804" i="1"/>
  <c r="F3804" i="1"/>
  <c r="D3804" i="1"/>
  <c r="B3804" i="1"/>
  <c r="A3804" i="1"/>
  <c r="J3803" i="1"/>
  <c r="I3803" i="1"/>
  <c r="H3803" i="1"/>
  <c r="G3803" i="1"/>
  <c r="F3803" i="1"/>
  <c r="D3803" i="1"/>
  <c r="B3803" i="1"/>
  <c r="A3803" i="1"/>
  <c r="J3802" i="1"/>
  <c r="I3802" i="1"/>
  <c r="H3802" i="1"/>
  <c r="G3802" i="1"/>
  <c r="F3802" i="1"/>
  <c r="D3802" i="1"/>
  <c r="B3802" i="1"/>
  <c r="A3802" i="1"/>
  <c r="J3801" i="1"/>
  <c r="I3801" i="1"/>
  <c r="H3801" i="1"/>
  <c r="G3801" i="1"/>
  <c r="F3801" i="1"/>
  <c r="D3801" i="1"/>
  <c r="B3801" i="1"/>
  <c r="A3801" i="1"/>
  <c r="J3800" i="1"/>
  <c r="I3800" i="1"/>
  <c r="H3800" i="1"/>
  <c r="G3800" i="1"/>
  <c r="F3800" i="1"/>
  <c r="D3800" i="1"/>
  <c r="B3800" i="1"/>
  <c r="A3800" i="1"/>
  <c r="J3799" i="1"/>
  <c r="I3799" i="1"/>
  <c r="H3799" i="1"/>
  <c r="G3799" i="1"/>
  <c r="F3799" i="1"/>
  <c r="D3799" i="1"/>
  <c r="B3799" i="1"/>
  <c r="A3799" i="1"/>
  <c r="J3798" i="1"/>
  <c r="I3798" i="1"/>
  <c r="H3798" i="1"/>
  <c r="G3798" i="1"/>
  <c r="F3798" i="1"/>
  <c r="D3798" i="1"/>
  <c r="B3798" i="1"/>
  <c r="A3798" i="1"/>
  <c r="J3797" i="1"/>
  <c r="I3797" i="1"/>
  <c r="H3797" i="1"/>
  <c r="G3797" i="1"/>
  <c r="F3797" i="1"/>
  <c r="D3797" i="1"/>
  <c r="B3797" i="1"/>
  <c r="A3797" i="1"/>
  <c r="J3796" i="1"/>
  <c r="I3796" i="1"/>
  <c r="H3796" i="1"/>
  <c r="G3796" i="1"/>
  <c r="F3796" i="1"/>
  <c r="D3796" i="1"/>
  <c r="B3796" i="1"/>
  <c r="A3796" i="1"/>
  <c r="J3795" i="1"/>
  <c r="I3795" i="1"/>
  <c r="H3795" i="1"/>
  <c r="G3795" i="1"/>
  <c r="F3795" i="1"/>
  <c r="D3795" i="1"/>
  <c r="B3795" i="1"/>
  <c r="A3795" i="1"/>
  <c r="J3794" i="1"/>
  <c r="I3794" i="1"/>
  <c r="H3794" i="1"/>
  <c r="G3794" i="1"/>
  <c r="F3794" i="1"/>
  <c r="D3794" i="1"/>
  <c r="B3794" i="1"/>
  <c r="A3794" i="1"/>
  <c r="J3793" i="1"/>
  <c r="I3793" i="1"/>
  <c r="H3793" i="1"/>
  <c r="G3793" i="1"/>
  <c r="F3793" i="1"/>
  <c r="D3793" i="1"/>
  <c r="B3793" i="1"/>
  <c r="A3793" i="1"/>
  <c r="J3792" i="1"/>
  <c r="I3792" i="1"/>
  <c r="H3792" i="1"/>
  <c r="G3792" i="1"/>
  <c r="F3792" i="1"/>
  <c r="D3792" i="1"/>
  <c r="B3792" i="1"/>
  <c r="A3792" i="1"/>
  <c r="J3791" i="1"/>
  <c r="I3791" i="1"/>
  <c r="H3791" i="1"/>
  <c r="G3791" i="1"/>
  <c r="F3791" i="1"/>
  <c r="D3791" i="1"/>
  <c r="B3791" i="1"/>
  <c r="A3791" i="1"/>
  <c r="J3790" i="1"/>
  <c r="I3790" i="1"/>
  <c r="H3790" i="1"/>
  <c r="G3790" i="1"/>
  <c r="F3790" i="1"/>
  <c r="D3790" i="1"/>
  <c r="B3790" i="1"/>
  <c r="A3790" i="1"/>
  <c r="J3789" i="1"/>
  <c r="I3789" i="1"/>
  <c r="H3789" i="1"/>
  <c r="G3789" i="1"/>
  <c r="F3789" i="1"/>
  <c r="D3789" i="1"/>
  <c r="B3789" i="1"/>
  <c r="A3789" i="1"/>
  <c r="J3788" i="1"/>
  <c r="I3788" i="1"/>
  <c r="H3788" i="1"/>
  <c r="G3788" i="1"/>
  <c r="F3788" i="1"/>
  <c r="D3788" i="1"/>
  <c r="B3788" i="1"/>
  <c r="A3788" i="1"/>
  <c r="J3787" i="1"/>
  <c r="I3787" i="1"/>
  <c r="H3787" i="1"/>
  <c r="G3787" i="1"/>
  <c r="F3787" i="1"/>
  <c r="D3787" i="1"/>
  <c r="B3787" i="1"/>
  <c r="A3787" i="1"/>
  <c r="J3786" i="1"/>
  <c r="I3786" i="1"/>
  <c r="H3786" i="1"/>
  <c r="G3786" i="1"/>
  <c r="F3786" i="1"/>
  <c r="D3786" i="1"/>
  <c r="B3786" i="1"/>
  <c r="A3786" i="1"/>
  <c r="J3785" i="1"/>
  <c r="I3785" i="1"/>
  <c r="H3785" i="1"/>
  <c r="G3785" i="1"/>
  <c r="F3785" i="1"/>
  <c r="D3785" i="1"/>
  <c r="B3785" i="1"/>
  <c r="A3785" i="1"/>
  <c r="J3784" i="1"/>
  <c r="I3784" i="1"/>
  <c r="H3784" i="1"/>
  <c r="G3784" i="1"/>
  <c r="F3784" i="1"/>
  <c r="D3784" i="1"/>
  <c r="B3784" i="1"/>
  <c r="A3784" i="1"/>
  <c r="J3783" i="1"/>
  <c r="I3783" i="1"/>
  <c r="H3783" i="1"/>
  <c r="G3783" i="1"/>
  <c r="F3783" i="1"/>
  <c r="D3783" i="1"/>
  <c r="B3783" i="1"/>
  <c r="A3783" i="1"/>
  <c r="J3782" i="1"/>
  <c r="I3782" i="1"/>
  <c r="H3782" i="1"/>
  <c r="G3782" i="1"/>
  <c r="F3782" i="1"/>
  <c r="D3782" i="1"/>
  <c r="B3782" i="1"/>
  <c r="A3782" i="1"/>
  <c r="J3781" i="1"/>
  <c r="I3781" i="1"/>
  <c r="H3781" i="1"/>
  <c r="G3781" i="1"/>
  <c r="F3781" i="1"/>
  <c r="D3781" i="1"/>
  <c r="B3781" i="1"/>
  <c r="A3781" i="1"/>
  <c r="J3780" i="1"/>
  <c r="I3780" i="1"/>
  <c r="H3780" i="1"/>
  <c r="G3780" i="1"/>
  <c r="F3780" i="1"/>
  <c r="D3780" i="1"/>
  <c r="B3780" i="1"/>
  <c r="A3780" i="1"/>
  <c r="J3779" i="1"/>
  <c r="I3779" i="1"/>
  <c r="H3779" i="1"/>
  <c r="G3779" i="1"/>
  <c r="F3779" i="1"/>
  <c r="D3779" i="1"/>
  <c r="B3779" i="1"/>
  <c r="A3779" i="1"/>
  <c r="J3778" i="1"/>
  <c r="I3778" i="1"/>
  <c r="H3778" i="1"/>
  <c r="G3778" i="1"/>
  <c r="F3778" i="1"/>
  <c r="D3778" i="1"/>
  <c r="B3778" i="1"/>
  <c r="A3778" i="1"/>
  <c r="J3777" i="1"/>
  <c r="I3777" i="1"/>
  <c r="H3777" i="1"/>
  <c r="G3777" i="1"/>
  <c r="F3777" i="1"/>
  <c r="D3777" i="1"/>
  <c r="B3777" i="1"/>
  <c r="A3777" i="1"/>
  <c r="J3776" i="1"/>
  <c r="I3776" i="1"/>
  <c r="H3776" i="1"/>
  <c r="G3776" i="1"/>
  <c r="F3776" i="1"/>
  <c r="D3776" i="1"/>
  <c r="B3776" i="1"/>
  <c r="A3776" i="1"/>
  <c r="J3775" i="1"/>
  <c r="I3775" i="1"/>
  <c r="H3775" i="1"/>
  <c r="G3775" i="1"/>
  <c r="F3775" i="1"/>
  <c r="D3775" i="1"/>
  <c r="B3775" i="1"/>
  <c r="A3775" i="1"/>
  <c r="J3774" i="1"/>
  <c r="I3774" i="1"/>
  <c r="H3774" i="1"/>
  <c r="G3774" i="1"/>
  <c r="F3774" i="1"/>
  <c r="D3774" i="1"/>
  <c r="B3774" i="1"/>
  <c r="A3774" i="1"/>
  <c r="J3773" i="1"/>
  <c r="I3773" i="1"/>
  <c r="H3773" i="1"/>
  <c r="G3773" i="1"/>
  <c r="F3773" i="1"/>
  <c r="D3773" i="1"/>
  <c r="B3773" i="1"/>
  <c r="A3773" i="1"/>
  <c r="J3772" i="1"/>
  <c r="I3772" i="1"/>
  <c r="H3772" i="1"/>
  <c r="G3772" i="1"/>
  <c r="F3772" i="1"/>
  <c r="D3772" i="1"/>
  <c r="B3772" i="1"/>
  <c r="A3772" i="1"/>
  <c r="J3771" i="1"/>
  <c r="I3771" i="1"/>
  <c r="H3771" i="1"/>
  <c r="G3771" i="1"/>
  <c r="F3771" i="1"/>
  <c r="D3771" i="1"/>
  <c r="B3771" i="1"/>
  <c r="A3771" i="1"/>
  <c r="J3770" i="1"/>
  <c r="I3770" i="1"/>
  <c r="H3770" i="1"/>
  <c r="G3770" i="1"/>
  <c r="F3770" i="1"/>
  <c r="D3770" i="1"/>
  <c r="B3770" i="1"/>
  <c r="A3770" i="1"/>
  <c r="J3769" i="1"/>
  <c r="I3769" i="1"/>
  <c r="H3769" i="1"/>
  <c r="G3769" i="1"/>
  <c r="F3769" i="1"/>
  <c r="D3769" i="1"/>
  <c r="B3769" i="1"/>
  <c r="A3769" i="1"/>
  <c r="J3768" i="1"/>
  <c r="I3768" i="1"/>
  <c r="H3768" i="1"/>
  <c r="G3768" i="1"/>
  <c r="F3768" i="1"/>
  <c r="D3768" i="1"/>
  <c r="B3768" i="1"/>
  <c r="A3768" i="1"/>
  <c r="J3767" i="1"/>
  <c r="I3767" i="1"/>
  <c r="H3767" i="1"/>
  <c r="G3767" i="1"/>
  <c r="F3767" i="1"/>
  <c r="D3767" i="1"/>
  <c r="B3767" i="1"/>
  <c r="A3767" i="1"/>
  <c r="J3766" i="1"/>
  <c r="I3766" i="1"/>
  <c r="H3766" i="1"/>
  <c r="G3766" i="1"/>
  <c r="F3766" i="1"/>
  <c r="D3766" i="1"/>
  <c r="B3766" i="1"/>
  <c r="A3766" i="1"/>
  <c r="J3765" i="1"/>
  <c r="I3765" i="1"/>
  <c r="H3765" i="1"/>
  <c r="G3765" i="1"/>
  <c r="F3765" i="1"/>
  <c r="D3765" i="1"/>
  <c r="B3765" i="1"/>
  <c r="A3765" i="1"/>
  <c r="J3764" i="1"/>
  <c r="I3764" i="1"/>
  <c r="H3764" i="1"/>
  <c r="G3764" i="1"/>
  <c r="F3764" i="1"/>
  <c r="D3764" i="1"/>
  <c r="B3764" i="1"/>
  <c r="A3764" i="1"/>
  <c r="J3763" i="1"/>
  <c r="I3763" i="1"/>
  <c r="H3763" i="1"/>
  <c r="G3763" i="1"/>
  <c r="F3763" i="1"/>
  <c r="D3763" i="1"/>
  <c r="B3763" i="1"/>
  <c r="A3763" i="1"/>
  <c r="J3762" i="1"/>
  <c r="I3762" i="1"/>
  <c r="H3762" i="1"/>
  <c r="G3762" i="1"/>
  <c r="F3762" i="1"/>
  <c r="D3762" i="1"/>
  <c r="B3762" i="1"/>
  <c r="A3762" i="1"/>
  <c r="J3761" i="1"/>
  <c r="I3761" i="1"/>
  <c r="H3761" i="1"/>
  <c r="G3761" i="1"/>
  <c r="F3761" i="1"/>
  <c r="D3761" i="1"/>
  <c r="B3761" i="1"/>
  <c r="A3761" i="1"/>
  <c r="J3760" i="1"/>
  <c r="I3760" i="1"/>
  <c r="H3760" i="1"/>
  <c r="G3760" i="1"/>
  <c r="F3760" i="1"/>
  <c r="D3760" i="1"/>
  <c r="B3760" i="1"/>
  <c r="A3760" i="1"/>
  <c r="J3759" i="1"/>
  <c r="I3759" i="1"/>
  <c r="H3759" i="1"/>
  <c r="G3759" i="1"/>
  <c r="F3759" i="1"/>
  <c r="D3759" i="1"/>
  <c r="B3759" i="1"/>
  <c r="A3759" i="1"/>
  <c r="J3758" i="1"/>
  <c r="I3758" i="1"/>
  <c r="H3758" i="1"/>
  <c r="G3758" i="1"/>
  <c r="F3758" i="1"/>
  <c r="D3758" i="1"/>
  <c r="B3758" i="1"/>
  <c r="A3758" i="1"/>
  <c r="J3757" i="1"/>
  <c r="I3757" i="1"/>
  <c r="H3757" i="1"/>
  <c r="G3757" i="1"/>
  <c r="F3757" i="1"/>
  <c r="D3757" i="1"/>
  <c r="B3757" i="1"/>
  <c r="A3757" i="1"/>
  <c r="J3756" i="1"/>
  <c r="I3756" i="1"/>
  <c r="H3756" i="1"/>
  <c r="G3756" i="1"/>
  <c r="F3756" i="1"/>
  <c r="D3756" i="1"/>
  <c r="B3756" i="1"/>
  <c r="A3756" i="1"/>
  <c r="J3755" i="1"/>
  <c r="I3755" i="1"/>
  <c r="H3755" i="1"/>
  <c r="G3755" i="1"/>
  <c r="F3755" i="1"/>
  <c r="D3755" i="1"/>
  <c r="B3755" i="1"/>
  <c r="A3755" i="1"/>
  <c r="J3754" i="1"/>
  <c r="I3754" i="1"/>
  <c r="H3754" i="1"/>
  <c r="G3754" i="1"/>
  <c r="F3754" i="1"/>
  <c r="D3754" i="1"/>
  <c r="B3754" i="1"/>
  <c r="A3754" i="1"/>
  <c r="J3753" i="1"/>
  <c r="I3753" i="1"/>
  <c r="H3753" i="1"/>
  <c r="G3753" i="1"/>
  <c r="F3753" i="1"/>
  <c r="D3753" i="1"/>
  <c r="B3753" i="1"/>
  <c r="A3753" i="1"/>
  <c r="J3752" i="1"/>
  <c r="I3752" i="1"/>
  <c r="H3752" i="1"/>
  <c r="G3752" i="1"/>
  <c r="F3752" i="1"/>
  <c r="D3752" i="1"/>
  <c r="B3752" i="1"/>
  <c r="A3752" i="1"/>
  <c r="J3751" i="1"/>
  <c r="I3751" i="1"/>
  <c r="H3751" i="1"/>
  <c r="G3751" i="1"/>
  <c r="F3751" i="1"/>
  <c r="D3751" i="1"/>
  <c r="B3751" i="1"/>
  <c r="A3751" i="1"/>
  <c r="J3750" i="1"/>
  <c r="I3750" i="1"/>
  <c r="H3750" i="1"/>
  <c r="G3750" i="1"/>
  <c r="F3750" i="1"/>
  <c r="D3750" i="1"/>
  <c r="B3750" i="1"/>
  <c r="A3750" i="1"/>
  <c r="J3749" i="1"/>
  <c r="I3749" i="1"/>
  <c r="H3749" i="1"/>
  <c r="G3749" i="1"/>
  <c r="F3749" i="1"/>
  <c r="D3749" i="1"/>
  <c r="B3749" i="1"/>
  <c r="A3749" i="1"/>
  <c r="J3748" i="1"/>
  <c r="I3748" i="1"/>
  <c r="H3748" i="1"/>
  <c r="G3748" i="1"/>
  <c r="F3748" i="1"/>
  <c r="D3748" i="1"/>
  <c r="B3748" i="1"/>
  <c r="A3748" i="1"/>
  <c r="J3747" i="1"/>
  <c r="I3747" i="1"/>
  <c r="H3747" i="1"/>
  <c r="G3747" i="1"/>
  <c r="F3747" i="1"/>
  <c r="D3747" i="1"/>
  <c r="B3747" i="1"/>
  <c r="A3747" i="1"/>
  <c r="J3746" i="1"/>
  <c r="I3746" i="1"/>
  <c r="H3746" i="1"/>
  <c r="G3746" i="1"/>
  <c r="F3746" i="1"/>
  <c r="D3746" i="1"/>
  <c r="B3746" i="1"/>
  <c r="A3746" i="1"/>
  <c r="J3745" i="1"/>
  <c r="I3745" i="1"/>
  <c r="H3745" i="1"/>
  <c r="G3745" i="1"/>
  <c r="F3745" i="1"/>
  <c r="D3745" i="1"/>
  <c r="B3745" i="1"/>
  <c r="A3745" i="1"/>
  <c r="J3744" i="1"/>
  <c r="I3744" i="1"/>
  <c r="H3744" i="1"/>
  <c r="G3744" i="1"/>
  <c r="F3744" i="1"/>
  <c r="D3744" i="1"/>
  <c r="B3744" i="1"/>
  <c r="A3744" i="1"/>
  <c r="J3743" i="1"/>
  <c r="I3743" i="1"/>
  <c r="H3743" i="1"/>
  <c r="G3743" i="1"/>
  <c r="F3743" i="1"/>
  <c r="D3743" i="1"/>
  <c r="B3743" i="1"/>
  <c r="A3743" i="1"/>
  <c r="J3742" i="1"/>
  <c r="I3742" i="1"/>
  <c r="H3742" i="1"/>
  <c r="G3742" i="1"/>
  <c r="F3742" i="1"/>
  <c r="D3742" i="1"/>
  <c r="B3742" i="1"/>
  <c r="A3742" i="1"/>
  <c r="J3741" i="1"/>
  <c r="I3741" i="1"/>
  <c r="H3741" i="1"/>
  <c r="G3741" i="1"/>
  <c r="F3741" i="1"/>
  <c r="D3741" i="1"/>
  <c r="B3741" i="1"/>
  <c r="A3741" i="1"/>
  <c r="J3740" i="1"/>
  <c r="I3740" i="1"/>
  <c r="H3740" i="1"/>
  <c r="G3740" i="1"/>
  <c r="F3740" i="1"/>
  <c r="D3740" i="1"/>
  <c r="B3740" i="1"/>
  <c r="A3740" i="1"/>
  <c r="J3739" i="1"/>
  <c r="I3739" i="1"/>
  <c r="H3739" i="1"/>
  <c r="G3739" i="1"/>
  <c r="F3739" i="1"/>
  <c r="D3739" i="1"/>
  <c r="B3739" i="1"/>
  <c r="A3739" i="1"/>
  <c r="J3738" i="1"/>
  <c r="I3738" i="1"/>
  <c r="H3738" i="1"/>
  <c r="G3738" i="1"/>
  <c r="F3738" i="1"/>
  <c r="D3738" i="1"/>
  <c r="B3738" i="1"/>
  <c r="A3738" i="1"/>
  <c r="J3737" i="1"/>
  <c r="I3737" i="1"/>
  <c r="H3737" i="1"/>
  <c r="G3737" i="1"/>
  <c r="F3737" i="1"/>
  <c r="D3737" i="1"/>
  <c r="B3737" i="1"/>
  <c r="A3737" i="1"/>
  <c r="J3736" i="1"/>
  <c r="I3736" i="1"/>
  <c r="H3736" i="1"/>
  <c r="G3736" i="1"/>
  <c r="F3736" i="1"/>
  <c r="D3736" i="1"/>
  <c r="B3736" i="1"/>
  <c r="A3736" i="1"/>
  <c r="J3735" i="1"/>
  <c r="I3735" i="1"/>
  <c r="H3735" i="1"/>
  <c r="G3735" i="1"/>
  <c r="F3735" i="1"/>
  <c r="D3735" i="1"/>
  <c r="B3735" i="1"/>
  <c r="A3735" i="1"/>
  <c r="J3734" i="1"/>
  <c r="I3734" i="1"/>
  <c r="H3734" i="1"/>
  <c r="G3734" i="1"/>
  <c r="F3734" i="1"/>
  <c r="D3734" i="1"/>
  <c r="B3734" i="1"/>
  <c r="A3734" i="1"/>
  <c r="J3733" i="1"/>
  <c r="I3733" i="1"/>
  <c r="H3733" i="1"/>
  <c r="G3733" i="1"/>
  <c r="F3733" i="1"/>
  <c r="D3733" i="1"/>
  <c r="B3733" i="1"/>
  <c r="A3733" i="1"/>
  <c r="J3732" i="1"/>
  <c r="I3732" i="1"/>
  <c r="H3732" i="1"/>
  <c r="G3732" i="1"/>
  <c r="F3732" i="1"/>
  <c r="D3732" i="1"/>
  <c r="B3732" i="1"/>
  <c r="A3732" i="1"/>
  <c r="J3731" i="1"/>
  <c r="I3731" i="1"/>
  <c r="H3731" i="1"/>
  <c r="G3731" i="1"/>
  <c r="F3731" i="1"/>
  <c r="D3731" i="1"/>
  <c r="B3731" i="1"/>
  <c r="A3731" i="1"/>
  <c r="J3730" i="1"/>
  <c r="I3730" i="1"/>
  <c r="H3730" i="1"/>
  <c r="G3730" i="1"/>
  <c r="F3730" i="1"/>
  <c r="D3730" i="1"/>
  <c r="B3730" i="1"/>
  <c r="A3730" i="1"/>
  <c r="J3729" i="1"/>
  <c r="I3729" i="1"/>
  <c r="H3729" i="1"/>
  <c r="G3729" i="1"/>
  <c r="F3729" i="1"/>
  <c r="D3729" i="1"/>
  <c r="B3729" i="1"/>
  <c r="A3729" i="1"/>
  <c r="J3728" i="1"/>
  <c r="I3728" i="1"/>
  <c r="H3728" i="1"/>
  <c r="G3728" i="1"/>
  <c r="F3728" i="1"/>
  <c r="D3728" i="1"/>
  <c r="B3728" i="1"/>
  <c r="A3728" i="1"/>
  <c r="J3727" i="1"/>
  <c r="I3727" i="1"/>
  <c r="H3727" i="1"/>
  <c r="G3727" i="1"/>
  <c r="F3727" i="1"/>
  <c r="D3727" i="1"/>
  <c r="B3727" i="1"/>
  <c r="A3727" i="1"/>
  <c r="J3726" i="1"/>
  <c r="I3726" i="1"/>
  <c r="H3726" i="1"/>
  <c r="G3726" i="1"/>
  <c r="F3726" i="1"/>
  <c r="D3726" i="1"/>
  <c r="B3726" i="1"/>
  <c r="A3726" i="1"/>
  <c r="J3725" i="1"/>
  <c r="I3725" i="1"/>
  <c r="H3725" i="1"/>
  <c r="G3725" i="1"/>
  <c r="F3725" i="1"/>
  <c r="D3725" i="1"/>
  <c r="B3725" i="1"/>
  <c r="A3725" i="1"/>
  <c r="J3724" i="1"/>
  <c r="I3724" i="1"/>
  <c r="H3724" i="1"/>
  <c r="G3724" i="1"/>
  <c r="F3724" i="1"/>
  <c r="D3724" i="1"/>
  <c r="B3724" i="1"/>
  <c r="A3724" i="1"/>
  <c r="J3723" i="1"/>
  <c r="I3723" i="1"/>
  <c r="H3723" i="1"/>
  <c r="G3723" i="1"/>
  <c r="F3723" i="1"/>
  <c r="D3723" i="1"/>
  <c r="B3723" i="1"/>
  <c r="A3723" i="1"/>
  <c r="J3722" i="1"/>
  <c r="I3722" i="1"/>
  <c r="H3722" i="1"/>
  <c r="G3722" i="1"/>
  <c r="F3722" i="1"/>
  <c r="D3722" i="1"/>
  <c r="B3722" i="1"/>
  <c r="A3722" i="1"/>
  <c r="J3721" i="1"/>
  <c r="I3721" i="1"/>
  <c r="H3721" i="1"/>
  <c r="G3721" i="1"/>
  <c r="F3721" i="1"/>
  <c r="D3721" i="1"/>
  <c r="B3721" i="1"/>
  <c r="A3721" i="1"/>
  <c r="J3720" i="1"/>
  <c r="I3720" i="1"/>
  <c r="H3720" i="1"/>
  <c r="G3720" i="1"/>
  <c r="F3720" i="1"/>
  <c r="D3720" i="1"/>
  <c r="B3720" i="1"/>
  <c r="A3720" i="1"/>
  <c r="J3719" i="1"/>
  <c r="I3719" i="1"/>
  <c r="H3719" i="1"/>
  <c r="G3719" i="1"/>
  <c r="F3719" i="1"/>
  <c r="D3719" i="1"/>
  <c r="B3719" i="1"/>
  <c r="A3719" i="1"/>
  <c r="J3718" i="1"/>
  <c r="I3718" i="1"/>
  <c r="H3718" i="1"/>
  <c r="G3718" i="1"/>
  <c r="F3718" i="1"/>
  <c r="D3718" i="1"/>
  <c r="B3718" i="1"/>
  <c r="A3718" i="1"/>
  <c r="J3717" i="1"/>
  <c r="I3717" i="1"/>
  <c r="H3717" i="1"/>
  <c r="G3717" i="1"/>
  <c r="F3717" i="1"/>
  <c r="D3717" i="1"/>
  <c r="B3717" i="1"/>
  <c r="A3717" i="1"/>
  <c r="J3716" i="1"/>
  <c r="I3716" i="1"/>
  <c r="H3716" i="1"/>
  <c r="G3716" i="1"/>
  <c r="F3716" i="1"/>
  <c r="D3716" i="1"/>
  <c r="B3716" i="1"/>
  <c r="A3716" i="1"/>
  <c r="J3715" i="1"/>
  <c r="I3715" i="1"/>
  <c r="H3715" i="1"/>
  <c r="G3715" i="1"/>
  <c r="F3715" i="1"/>
  <c r="D3715" i="1"/>
  <c r="B3715" i="1"/>
  <c r="A3715" i="1"/>
  <c r="J3714" i="1"/>
  <c r="I3714" i="1"/>
  <c r="H3714" i="1"/>
  <c r="G3714" i="1"/>
  <c r="F3714" i="1"/>
  <c r="D3714" i="1"/>
  <c r="B3714" i="1"/>
  <c r="A3714" i="1"/>
  <c r="J3713" i="1"/>
  <c r="I3713" i="1"/>
  <c r="H3713" i="1"/>
  <c r="G3713" i="1"/>
  <c r="F3713" i="1"/>
  <c r="D3713" i="1"/>
  <c r="B3713" i="1"/>
  <c r="A3713" i="1"/>
  <c r="J3712" i="1"/>
  <c r="I3712" i="1"/>
  <c r="H3712" i="1"/>
  <c r="G3712" i="1"/>
  <c r="F3712" i="1"/>
  <c r="D3712" i="1"/>
  <c r="B3712" i="1"/>
  <c r="A3712" i="1"/>
  <c r="J3711" i="1"/>
  <c r="I3711" i="1"/>
  <c r="H3711" i="1"/>
  <c r="G3711" i="1"/>
  <c r="F3711" i="1"/>
  <c r="D3711" i="1"/>
  <c r="B3711" i="1"/>
  <c r="A3711" i="1"/>
  <c r="J3710" i="1"/>
  <c r="I3710" i="1"/>
  <c r="H3710" i="1"/>
  <c r="G3710" i="1"/>
  <c r="F3710" i="1"/>
  <c r="D3710" i="1"/>
  <c r="B3710" i="1"/>
  <c r="A3710" i="1"/>
  <c r="J3709" i="1"/>
  <c r="I3709" i="1"/>
  <c r="H3709" i="1"/>
  <c r="G3709" i="1"/>
  <c r="F3709" i="1"/>
  <c r="D3709" i="1"/>
  <c r="B3709" i="1"/>
  <c r="A3709" i="1"/>
  <c r="J3708" i="1"/>
  <c r="I3708" i="1"/>
  <c r="H3708" i="1"/>
  <c r="G3708" i="1"/>
  <c r="F3708" i="1"/>
  <c r="D3708" i="1"/>
  <c r="B3708" i="1"/>
  <c r="A3708" i="1"/>
  <c r="J3707" i="1"/>
  <c r="I3707" i="1"/>
  <c r="H3707" i="1"/>
  <c r="G3707" i="1"/>
  <c r="F3707" i="1"/>
  <c r="D3707" i="1"/>
  <c r="B3707" i="1"/>
  <c r="A3707" i="1"/>
  <c r="J3706" i="1"/>
  <c r="I3706" i="1"/>
  <c r="H3706" i="1"/>
  <c r="G3706" i="1"/>
  <c r="F3706" i="1"/>
  <c r="D3706" i="1"/>
  <c r="B3706" i="1"/>
  <c r="A3706" i="1"/>
  <c r="J3705" i="1"/>
  <c r="I3705" i="1"/>
  <c r="H3705" i="1"/>
  <c r="G3705" i="1"/>
  <c r="F3705" i="1"/>
  <c r="D3705" i="1"/>
  <c r="B3705" i="1"/>
  <c r="A3705" i="1"/>
  <c r="J3704" i="1"/>
  <c r="I3704" i="1"/>
  <c r="H3704" i="1"/>
  <c r="G3704" i="1"/>
  <c r="F3704" i="1"/>
  <c r="D3704" i="1"/>
  <c r="B3704" i="1"/>
  <c r="A3704" i="1"/>
  <c r="J3703" i="1"/>
  <c r="I3703" i="1"/>
  <c r="H3703" i="1"/>
  <c r="G3703" i="1"/>
  <c r="F3703" i="1"/>
  <c r="D3703" i="1"/>
  <c r="B3703" i="1"/>
  <c r="A3703" i="1"/>
  <c r="J3702" i="1"/>
  <c r="I3702" i="1"/>
  <c r="H3702" i="1"/>
  <c r="G3702" i="1"/>
  <c r="F3702" i="1"/>
  <c r="D3702" i="1"/>
  <c r="B3702" i="1"/>
  <c r="A3702" i="1"/>
  <c r="J3701" i="1"/>
  <c r="I3701" i="1"/>
  <c r="H3701" i="1"/>
  <c r="G3701" i="1"/>
  <c r="F3701" i="1"/>
  <c r="D3701" i="1"/>
  <c r="B3701" i="1"/>
  <c r="A3701" i="1"/>
  <c r="J3700" i="1"/>
  <c r="I3700" i="1"/>
  <c r="H3700" i="1"/>
  <c r="G3700" i="1"/>
  <c r="F3700" i="1"/>
  <c r="D3700" i="1"/>
  <c r="B3700" i="1"/>
  <c r="A3700" i="1"/>
  <c r="J3699" i="1"/>
  <c r="I3699" i="1"/>
  <c r="H3699" i="1"/>
  <c r="G3699" i="1"/>
  <c r="F3699" i="1"/>
  <c r="D3699" i="1"/>
  <c r="B3699" i="1"/>
  <c r="A3699" i="1"/>
  <c r="J3698" i="1"/>
  <c r="I3698" i="1"/>
  <c r="H3698" i="1"/>
  <c r="G3698" i="1"/>
  <c r="F3698" i="1"/>
  <c r="D3698" i="1"/>
  <c r="B3698" i="1"/>
  <c r="A3698" i="1"/>
  <c r="J3697" i="1"/>
  <c r="I3697" i="1"/>
  <c r="H3697" i="1"/>
  <c r="G3697" i="1"/>
  <c r="F3697" i="1"/>
  <c r="D3697" i="1"/>
  <c r="B3697" i="1"/>
  <c r="A3697" i="1"/>
  <c r="J3696" i="1"/>
  <c r="I3696" i="1"/>
  <c r="H3696" i="1"/>
  <c r="G3696" i="1"/>
  <c r="F3696" i="1"/>
  <c r="D3696" i="1"/>
  <c r="B3696" i="1"/>
  <c r="A3696" i="1"/>
  <c r="J3695" i="1"/>
  <c r="I3695" i="1"/>
  <c r="H3695" i="1"/>
  <c r="G3695" i="1"/>
  <c r="F3695" i="1"/>
  <c r="D3695" i="1"/>
  <c r="B3695" i="1"/>
  <c r="A3695" i="1"/>
  <c r="J3694" i="1"/>
  <c r="I3694" i="1"/>
  <c r="H3694" i="1"/>
  <c r="G3694" i="1"/>
  <c r="F3694" i="1"/>
  <c r="D3694" i="1"/>
  <c r="B3694" i="1"/>
  <c r="A3694" i="1"/>
  <c r="J3693" i="1"/>
  <c r="I3693" i="1"/>
  <c r="H3693" i="1"/>
  <c r="G3693" i="1"/>
  <c r="F3693" i="1"/>
  <c r="D3693" i="1"/>
  <c r="B3693" i="1"/>
  <c r="A3693" i="1"/>
  <c r="J3692" i="1"/>
  <c r="I3692" i="1"/>
  <c r="H3692" i="1"/>
  <c r="G3692" i="1"/>
  <c r="F3692" i="1"/>
  <c r="D3692" i="1"/>
  <c r="B3692" i="1"/>
  <c r="A3692" i="1"/>
  <c r="J3691" i="1"/>
  <c r="I3691" i="1"/>
  <c r="H3691" i="1"/>
  <c r="G3691" i="1"/>
  <c r="F3691" i="1"/>
  <c r="D3691" i="1"/>
  <c r="B3691" i="1"/>
  <c r="A3691" i="1"/>
  <c r="J3690" i="1"/>
  <c r="I3690" i="1"/>
  <c r="H3690" i="1"/>
  <c r="G3690" i="1"/>
  <c r="F3690" i="1"/>
  <c r="D3690" i="1"/>
  <c r="B3690" i="1"/>
  <c r="A3690" i="1"/>
  <c r="J3689" i="1"/>
  <c r="I3689" i="1"/>
  <c r="H3689" i="1"/>
  <c r="G3689" i="1"/>
  <c r="F3689" i="1"/>
  <c r="D3689" i="1"/>
  <c r="B3689" i="1"/>
  <c r="A3689" i="1"/>
  <c r="J3688" i="1"/>
  <c r="I3688" i="1"/>
  <c r="H3688" i="1"/>
  <c r="G3688" i="1"/>
  <c r="F3688" i="1"/>
  <c r="D3688" i="1"/>
  <c r="B3688" i="1"/>
  <c r="A3688" i="1"/>
  <c r="J3687" i="1"/>
  <c r="I3687" i="1"/>
  <c r="H3687" i="1"/>
  <c r="G3687" i="1"/>
  <c r="F3687" i="1"/>
  <c r="D3687" i="1"/>
  <c r="B3687" i="1"/>
  <c r="A3687" i="1"/>
  <c r="J3686" i="1"/>
  <c r="I3686" i="1"/>
  <c r="H3686" i="1"/>
  <c r="G3686" i="1"/>
  <c r="F3686" i="1"/>
  <c r="D3686" i="1"/>
  <c r="B3686" i="1"/>
  <c r="A3686" i="1"/>
  <c r="J3685" i="1"/>
  <c r="I3685" i="1"/>
  <c r="H3685" i="1"/>
  <c r="G3685" i="1"/>
  <c r="F3685" i="1"/>
  <c r="D3685" i="1"/>
  <c r="B3685" i="1"/>
  <c r="A3685" i="1"/>
  <c r="J3684" i="1"/>
  <c r="I3684" i="1"/>
  <c r="H3684" i="1"/>
  <c r="G3684" i="1"/>
  <c r="F3684" i="1"/>
  <c r="D3684" i="1"/>
  <c r="B3684" i="1"/>
  <c r="A3684" i="1"/>
  <c r="J3683" i="1"/>
  <c r="I3683" i="1"/>
  <c r="H3683" i="1"/>
  <c r="G3683" i="1"/>
  <c r="F3683" i="1"/>
  <c r="D3683" i="1"/>
  <c r="B3683" i="1"/>
  <c r="A3683" i="1"/>
  <c r="J3682" i="1"/>
  <c r="I3682" i="1"/>
  <c r="H3682" i="1"/>
  <c r="G3682" i="1"/>
  <c r="F3682" i="1"/>
  <c r="D3682" i="1"/>
  <c r="B3682" i="1"/>
  <c r="A3682" i="1"/>
  <c r="J3681" i="1"/>
  <c r="I3681" i="1"/>
  <c r="H3681" i="1"/>
  <c r="G3681" i="1"/>
  <c r="F3681" i="1"/>
  <c r="D3681" i="1"/>
  <c r="B3681" i="1"/>
  <c r="A3681" i="1"/>
  <c r="J3680" i="1"/>
  <c r="I3680" i="1"/>
  <c r="H3680" i="1"/>
  <c r="G3680" i="1"/>
  <c r="F3680" i="1"/>
  <c r="D3680" i="1"/>
  <c r="B3680" i="1"/>
  <c r="A3680" i="1"/>
  <c r="J3679" i="1"/>
  <c r="I3679" i="1"/>
  <c r="H3679" i="1"/>
  <c r="G3679" i="1"/>
  <c r="F3679" i="1"/>
  <c r="D3679" i="1"/>
  <c r="B3679" i="1"/>
  <c r="A3679" i="1"/>
  <c r="J3678" i="1"/>
  <c r="I3678" i="1"/>
  <c r="H3678" i="1"/>
  <c r="G3678" i="1"/>
  <c r="F3678" i="1"/>
  <c r="D3678" i="1"/>
  <c r="B3678" i="1"/>
  <c r="A3678" i="1"/>
  <c r="J3677" i="1"/>
  <c r="I3677" i="1"/>
  <c r="H3677" i="1"/>
  <c r="G3677" i="1"/>
  <c r="F3677" i="1"/>
  <c r="D3677" i="1"/>
  <c r="B3677" i="1"/>
  <c r="A3677" i="1"/>
  <c r="J3676" i="1"/>
  <c r="I3676" i="1"/>
  <c r="H3676" i="1"/>
  <c r="G3676" i="1"/>
  <c r="F3676" i="1"/>
  <c r="D3676" i="1"/>
  <c r="B3676" i="1"/>
  <c r="A3676" i="1"/>
  <c r="J3675" i="1"/>
  <c r="I3675" i="1"/>
  <c r="H3675" i="1"/>
  <c r="G3675" i="1"/>
  <c r="F3675" i="1"/>
  <c r="D3675" i="1"/>
  <c r="B3675" i="1"/>
  <c r="A3675" i="1"/>
  <c r="J3674" i="1"/>
  <c r="I3674" i="1"/>
  <c r="H3674" i="1"/>
  <c r="G3674" i="1"/>
  <c r="F3674" i="1"/>
  <c r="D3674" i="1"/>
  <c r="B3674" i="1"/>
  <c r="A3674" i="1"/>
  <c r="J3673" i="1"/>
  <c r="I3673" i="1"/>
  <c r="H3673" i="1"/>
  <c r="G3673" i="1"/>
  <c r="F3673" i="1"/>
  <c r="D3673" i="1"/>
  <c r="B3673" i="1"/>
  <c r="A3673" i="1"/>
  <c r="J3672" i="1"/>
  <c r="I3672" i="1"/>
  <c r="H3672" i="1"/>
  <c r="G3672" i="1"/>
  <c r="F3672" i="1"/>
  <c r="D3672" i="1"/>
  <c r="B3672" i="1"/>
  <c r="A3672" i="1"/>
  <c r="J3671" i="1"/>
  <c r="I3671" i="1"/>
  <c r="H3671" i="1"/>
  <c r="G3671" i="1"/>
  <c r="F3671" i="1"/>
  <c r="D3671" i="1"/>
  <c r="B3671" i="1"/>
  <c r="A3671" i="1"/>
  <c r="J3670" i="1"/>
  <c r="I3670" i="1"/>
  <c r="H3670" i="1"/>
  <c r="G3670" i="1"/>
  <c r="F3670" i="1"/>
  <c r="D3670" i="1"/>
  <c r="B3670" i="1"/>
  <c r="A3670" i="1"/>
  <c r="J3669" i="1"/>
  <c r="I3669" i="1"/>
  <c r="H3669" i="1"/>
  <c r="G3669" i="1"/>
  <c r="F3669" i="1"/>
  <c r="D3669" i="1"/>
  <c r="B3669" i="1"/>
  <c r="A3669" i="1"/>
  <c r="J3668" i="1"/>
  <c r="I3668" i="1"/>
  <c r="H3668" i="1"/>
  <c r="G3668" i="1"/>
  <c r="F3668" i="1"/>
  <c r="D3668" i="1"/>
  <c r="B3668" i="1"/>
  <c r="A3668" i="1"/>
  <c r="J3667" i="1"/>
  <c r="I3667" i="1"/>
  <c r="H3667" i="1"/>
  <c r="G3667" i="1"/>
  <c r="F3667" i="1"/>
  <c r="D3667" i="1"/>
  <c r="B3667" i="1"/>
  <c r="A3667" i="1"/>
  <c r="J3666" i="1"/>
  <c r="I3666" i="1"/>
  <c r="H3666" i="1"/>
  <c r="G3666" i="1"/>
  <c r="F3666" i="1"/>
  <c r="D3666" i="1"/>
  <c r="B3666" i="1"/>
  <c r="A3666" i="1"/>
  <c r="J3665" i="1"/>
  <c r="I3665" i="1"/>
  <c r="H3665" i="1"/>
  <c r="G3665" i="1"/>
  <c r="F3665" i="1"/>
  <c r="D3665" i="1"/>
  <c r="B3665" i="1"/>
  <c r="A3665" i="1"/>
  <c r="J3664" i="1"/>
  <c r="I3664" i="1"/>
  <c r="H3664" i="1"/>
  <c r="G3664" i="1"/>
  <c r="F3664" i="1"/>
  <c r="D3664" i="1"/>
  <c r="B3664" i="1"/>
  <c r="A3664" i="1"/>
  <c r="J3663" i="1"/>
  <c r="I3663" i="1"/>
  <c r="H3663" i="1"/>
  <c r="G3663" i="1"/>
  <c r="F3663" i="1"/>
  <c r="D3663" i="1"/>
  <c r="B3663" i="1"/>
  <c r="A3663" i="1"/>
  <c r="J3662" i="1"/>
  <c r="I3662" i="1"/>
  <c r="H3662" i="1"/>
  <c r="G3662" i="1"/>
  <c r="F3662" i="1"/>
  <c r="D3662" i="1"/>
  <c r="B3662" i="1"/>
  <c r="A3662" i="1"/>
  <c r="J3661" i="1"/>
  <c r="I3661" i="1"/>
  <c r="H3661" i="1"/>
  <c r="G3661" i="1"/>
  <c r="F3661" i="1"/>
  <c r="D3661" i="1"/>
  <c r="B3661" i="1"/>
  <c r="A3661" i="1"/>
  <c r="J3660" i="1"/>
  <c r="I3660" i="1"/>
  <c r="H3660" i="1"/>
  <c r="G3660" i="1"/>
  <c r="F3660" i="1"/>
  <c r="D3660" i="1"/>
  <c r="B3660" i="1"/>
  <c r="A3660" i="1"/>
  <c r="J3659" i="1"/>
  <c r="I3659" i="1"/>
  <c r="H3659" i="1"/>
  <c r="G3659" i="1"/>
  <c r="F3659" i="1"/>
  <c r="D3659" i="1"/>
  <c r="B3659" i="1"/>
  <c r="A3659" i="1"/>
  <c r="J3658" i="1"/>
  <c r="I3658" i="1"/>
  <c r="H3658" i="1"/>
  <c r="G3658" i="1"/>
  <c r="F3658" i="1"/>
  <c r="D3658" i="1"/>
  <c r="B3658" i="1"/>
  <c r="A3658" i="1"/>
  <c r="J3657" i="1"/>
  <c r="I3657" i="1"/>
  <c r="H3657" i="1"/>
  <c r="G3657" i="1"/>
  <c r="F3657" i="1"/>
  <c r="D3657" i="1"/>
  <c r="B3657" i="1"/>
  <c r="A3657" i="1"/>
  <c r="J3656" i="1"/>
  <c r="I3656" i="1"/>
  <c r="H3656" i="1"/>
  <c r="G3656" i="1"/>
  <c r="F3656" i="1"/>
  <c r="D3656" i="1"/>
  <c r="B3656" i="1"/>
  <c r="A3656" i="1"/>
  <c r="J3655" i="1"/>
  <c r="I3655" i="1"/>
  <c r="H3655" i="1"/>
  <c r="G3655" i="1"/>
  <c r="F3655" i="1"/>
  <c r="D3655" i="1"/>
  <c r="B3655" i="1"/>
  <c r="A3655" i="1"/>
  <c r="J3654" i="1"/>
  <c r="I3654" i="1"/>
  <c r="H3654" i="1"/>
  <c r="G3654" i="1"/>
  <c r="F3654" i="1"/>
  <c r="D3654" i="1"/>
  <c r="B3654" i="1"/>
  <c r="A3654" i="1"/>
  <c r="J3653" i="1"/>
  <c r="I3653" i="1"/>
  <c r="H3653" i="1"/>
  <c r="G3653" i="1"/>
  <c r="F3653" i="1"/>
  <c r="D3653" i="1"/>
  <c r="B3653" i="1"/>
  <c r="A3653" i="1"/>
  <c r="J3652" i="1"/>
  <c r="I3652" i="1"/>
  <c r="H3652" i="1"/>
  <c r="G3652" i="1"/>
  <c r="F3652" i="1"/>
  <c r="D3652" i="1"/>
  <c r="B3652" i="1"/>
  <c r="A3652" i="1"/>
  <c r="J3651" i="1"/>
  <c r="I3651" i="1"/>
  <c r="H3651" i="1"/>
  <c r="G3651" i="1"/>
  <c r="F3651" i="1"/>
  <c r="D3651" i="1"/>
  <c r="B3651" i="1"/>
  <c r="A3651" i="1"/>
  <c r="J3650" i="1"/>
  <c r="I3650" i="1"/>
  <c r="H3650" i="1"/>
  <c r="G3650" i="1"/>
  <c r="F3650" i="1"/>
  <c r="D3650" i="1"/>
  <c r="B3650" i="1"/>
  <c r="A3650" i="1"/>
  <c r="J3649" i="1"/>
  <c r="I3649" i="1"/>
  <c r="H3649" i="1"/>
  <c r="G3649" i="1"/>
  <c r="F3649" i="1"/>
  <c r="D3649" i="1"/>
  <c r="B3649" i="1"/>
  <c r="A3649" i="1"/>
  <c r="J3648" i="1"/>
  <c r="I3648" i="1"/>
  <c r="H3648" i="1"/>
  <c r="G3648" i="1"/>
  <c r="F3648" i="1"/>
  <c r="D3648" i="1"/>
  <c r="B3648" i="1"/>
  <c r="A3648" i="1"/>
  <c r="J3647" i="1"/>
  <c r="I3647" i="1"/>
  <c r="H3647" i="1"/>
  <c r="G3647" i="1"/>
  <c r="F3647" i="1"/>
  <c r="D3647" i="1"/>
  <c r="B3647" i="1"/>
  <c r="A3647" i="1"/>
  <c r="J3646" i="1"/>
  <c r="I3646" i="1"/>
  <c r="H3646" i="1"/>
  <c r="G3646" i="1"/>
  <c r="F3646" i="1"/>
  <c r="D3646" i="1"/>
  <c r="B3646" i="1"/>
  <c r="A3646" i="1"/>
  <c r="J3645" i="1"/>
  <c r="I3645" i="1"/>
  <c r="H3645" i="1"/>
  <c r="G3645" i="1"/>
  <c r="F3645" i="1"/>
  <c r="D3645" i="1"/>
  <c r="B3645" i="1"/>
  <c r="A3645" i="1"/>
  <c r="J3644" i="1"/>
  <c r="I3644" i="1"/>
  <c r="H3644" i="1"/>
  <c r="G3644" i="1"/>
  <c r="F3644" i="1"/>
  <c r="D3644" i="1"/>
  <c r="B3644" i="1"/>
  <c r="A3644" i="1"/>
  <c r="J3643" i="1"/>
  <c r="I3643" i="1"/>
  <c r="H3643" i="1"/>
  <c r="G3643" i="1"/>
  <c r="F3643" i="1"/>
  <c r="D3643" i="1"/>
  <c r="B3643" i="1"/>
  <c r="A3643" i="1"/>
  <c r="J3642" i="1"/>
  <c r="I3642" i="1"/>
  <c r="H3642" i="1"/>
  <c r="G3642" i="1"/>
  <c r="F3642" i="1"/>
  <c r="D3642" i="1"/>
  <c r="B3642" i="1"/>
  <c r="A3642" i="1"/>
  <c r="J3641" i="1"/>
  <c r="I3641" i="1"/>
  <c r="H3641" i="1"/>
  <c r="G3641" i="1"/>
  <c r="F3641" i="1"/>
  <c r="D3641" i="1"/>
  <c r="B3641" i="1"/>
  <c r="A3641" i="1"/>
  <c r="J3640" i="1"/>
  <c r="I3640" i="1"/>
  <c r="H3640" i="1"/>
  <c r="G3640" i="1"/>
  <c r="F3640" i="1"/>
  <c r="D3640" i="1"/>
  <c r="B3640" i="1"/>
  <c r="A3640" i="1"/>
  <c r="J3639" i="1"/>
  <c r="I3639" i="1"/>
  <c r="H3639" i="1"/>
  <c r="G3639" i="1"/>
  <c r="F3639" i="1"/>
  <c r="D3639" i="1"/>
  <c r="B3639" i="1"/>
  <c r="A3639" i="1"/>
  <c r="J3638" i="1"/>
  <c r="I3638" i="1"/>
  <c r="H3638" i="1"/>
  <c r="G3638" i="1"/>
  <c r="F3638" i="1"/>
  <c r="D3638" i="1"/>
  <c r="B3638" i="1"/>
  <c r="A3638" i="1"/>
  <c r="J3637" i="1"/>
  <c r="I3637" i="1"/>
  <c r="H3637" i="1"/>
  <c r="G3637" i="1"/>
  <c r="F3637" i="1"/>
  <c r="D3637" i="1"/>
  <c r="B3637" i="1"/>
  <c r="A3637" i="1"/>
  <c r="J3636" i="1"/>
  <c r="I3636" i="1"/>
  <c r="H3636" i="1"/>
  <c r="G3636" i="1"/>
  <c r="F3636" i="1"/>
  <c r="D3636" i="1"/>
  <c r="B3636" i="1"/>
  <c r="A3636" i="1"/>
  <c r="J3635" i="1"/>
  <c r="I3635" i="1"/>
  <c r="H3635" i="1"/>
  <c r="G3635" i="1"/>
  <c r="F3635" i="1"/>
  <c r="D3635" i="1"/>
  <c r="B3635" i="1"/>
  <c r="A3635" i="1"/>
  <c r="J3634" i="1"/>
  <c r="I3634" i="1"/>
  <c r="H3634" i="1"/>
  <c r="G3634" i="1"/>
  <c r="F3634" i="1"/>
  <c r="D3634" i="1"/>
  <c r="B3634" i="1"/>
  <c r="A3634" i="1"/>
  <c r="J3633" i="1"/>
  <c r="I3633" i="1"/>
  <c r="H3633" i="1"/>
  <c r="G3633" i="1"/>
  <c r="F3633" i="1"/>
  <c r="D3633" i="1"/>
  <c r="B3633" i="1"/>
  <c r="A3633" i="1"/>
  <c r="J3632" i="1"/>
  <c r="I3632" i="1"/>
  <c r="H3632" i="1"/>
  <c r="G3632" i="1"/>
  <c r="F3632" i="1"/>
  <c r="D3632" i="1"/>
  <c r="B3632" i="1"/>
  <c r="A3632" i="1"/>
  <c r="J3631" i="1"/>
  <c r="I3631" i="1"/>
  <c r="H3631" i="1"/>
  <c r="G3631" i="1"/>
  <c r="F3631" i="1"/>
  <c r="D3631" i="1"/>
  <c r="B3631" i="1"/>
  <c r="A3631" i="1"/>
  <c r="J3630" i="1"/>
  <c r="I3630" i="1"/>
  <c r="H3630" i="1"/>
  <c r="G3630" i="1"/>
  <c r="F3630" i="1"/>
  <c r="D3630" i="1"/>
  <c r="B3630" i="1"/>
  <c r="A3630" i="1"/>
  <c r="J3629" i="1"/>
  <c r="I3629" i="1"/>
  <c r="H3629" i="1"/>
  <c r="G3629" i="1"/>
  <c r="F3629" i="1"/>
  <c r="D3629" i="1"/>
  <c r="B3629" i="1"/>
  <c r="A3629" i="1"/>
  <c r="J3628" i="1"/>
  <c r="I3628" i="1"/>
  <c r="H3628" i="1"/>
  <c r="G3628" i="1"/>
  <c r="F3628" i="1"/>
  <c r="D3628" i="1"/>
  <c r="B3628" i="1"/>
  <c r="A3628" i="1"/>
  <c r="J3627" i="1"/>
  <c r="I3627" i="1"/>
  <c r="H3627" i="1"/>
  <c r="G3627" i="1"/>
  <c r="F3627" i="1"/>
  <c r="D3627" i="1"/>
  <c r="B3627" i="1"/>
  <c r="A3627" i="1"/>
  <c r="J3626" i="1"/>
  <c r="I3626" i="1"/>
  <c r="H3626" i="1"/>
  <c r="G3626" i="1"/>
  <c r="F3626" i="1"/>
  <c r="D3626" i="1"/>
  <c r="B3626" i="1"/>
  <c r="A3626" i="1"/>
  <c r="J3625" i="1"/>
  <c r="I3625" i="1"/>
  <c r="H3625" i="1"/>
  <c r="G3625" i="1"/>
  <c r="F3625" i="1"/>
  <c r="D3625" i="1"/>
  <c r="B3625" i="1"/>
  <c r="A3625" i="1"/>
  <c r="J3624" i="1"/>
  <c r="I3624" i="1"/>
  <c r="H3624" i="1"/>
  <c r="G3624" i="1"/>
  <c r="F3624" i="1"/>
  <c r="D3624" i="1"/>
  <c r="B3624" i="1"/>
  <c r="A3624" i="1"/>
  <c r="J3623" i="1"/>
  <c r="I3623" i="1"/>
  <c r="H3623" i="1"/>
  <c r="G3623" i="1"/>
  <c r="F3623" i="1"/>
  <c r="D3623" i="1"/>
  <c r="B3623" i="1"/>
  <c r="A3623" i="1"/>
  <c r="J3622" i="1"/>
  <c r="I3622" i="1"/>
  <c r="H3622" i="1"/>
  <c r="G3622" i="1"/>
  <c r="F3622" i="1"/>
  <c r="D3622" i="1"/>
  <c r="B3622" i="1"/>
  <c r="A3622" i="1"/>
  <c r="J3621" i="1"/>
  <c r="I3621" i="1"/>
  <c r="H3621" i="1"/>
  <c r="G3621" i="1"/>
  <c r="F3621" i="1"/>
  <c r="D3621" i="1"/>
  <c r="B3621" i="1"/>
  <c r="A3621" i="1"/>
  <c r="J3620" i="1"/>
  <c r="I3620" i="1"/>
  <c r="H3620" i="1"/>
  <c r="G3620" i="1"/>
  <c r="F3620" i="1"/>
  <c r="D3620" i="1"/>
  <c r="B3620" i="1"/>
  <c r="A3620" i="1"/>
  <c r="J3619" i="1"/>
  <c r="I3619" i="1"/>
  <c r="H3619" i="1"/>
  <c r="G3619" i="1"/>
  <c r="F3619" i="1"/>
  <c r="D3619" i="1"/>
  <c r="B3619" i="1"/>
  <c r="A3619" i="1"/>
  <c r="J3618" i="1"/>
  <c r="I3618" i="1"/>
  <c r="H3618" i="1"/>
  <c r="G3618" i="1"/>
  <c r="F3618" i="1"/>
  <c r="D3618" i="1"/>
  <c r="B3618" i="1"/>
  <c r="A3618" i="1"/>
  <c r="J3617" i="1"/>
  <c r="I3617" i="1"/>
  <c r="H3617" i="1"/>
  <c r="G3617" i="1"/>
  <c r="F3617" i="1"/>
  <c r="D3617" i="1"/>
  <c r="B3617" i="1"/>
  <c r="A3617" i="1"/>
  <c r="J3616" i="1"/>
  <c r="I3616" i="1"/>
  <c r="H3616" i="1"/>
  <c r="G3616" i="1"/>
  <c r="F3616" i="1"/>
  <c r="D3616" i="1"/>
  <c r="B3616" i="1"/>
  <c r="A3616" i="1"/>
  <c r="J3615" i="1"/>
  <c r="I3615" i="1"/>
  <c r="H3615" i="1"/>
  <c r="G3615" i="1"/>
  <c r="F3615" i="1"/>
  <c r="D3615" i="1"/>
  <c r="B3615" i="1"/>
  <c r="A3615" i="1"/>
  <c r="J3614" i="1"/>
  <c r="I3614" i="1"/>
  <c r="H3614" i="1"/>
  <c r="G3614" i="1"/>
  <c r="F3614" i="1"/>
  <c r="D3614" i="1"/>
  <c r="B3614" i="1"/>
  <c r="A3614" i="1"/>
  <c r="J3613" i="1"/>
  <c r="I3613" i="1"/>
  <c r="H3613" i="1"/>
  <c r="G3613" i="1"/>
  <c r="F3613" i="1"/>
  <c r="D3613" i="1"/>
  <c r="B3613" i="1"/>
  <c r="A3613" i="1"/>
  <c r="J3612" i="1"/>
  <c r="I3612" i="1"/>
  <c r="H3612" i="1"/>
  <c r="G3612" i="1"/>
  <c r="F3612" i="1"/>
  <c r="D3612" i="1"/>
  <c r="B3612" i="1"/>
  <c r="A3612" i="1"/>
  <c r="J3611" i="1"/>
  <c r="I3611" i="1"/>
  <c r="H3611" i="1"/>
  <c r="G3611" i="1"/>
  <c r="F3611" i="1"/>
  <c r="D3611" i="1"/>
  <c r="B3611" i="1"/>
  <c r="A3611" i="1"/>
  <c r="J3610" i="1"/>
  <c r="I3610" i="1"/>
  <c r="H3610" i="1"/>
  <c r="G3610" i="1"/>
  <c r="F3610" i="1"/>
  <c r="D3610" i="1"/>
  <c r="B3610" i="1"/>
  <c r="A3610" i="1"/>
  <c r="J3609" i="1"/>
  <c r="I3609" i="1"/>
  <c r="H3609" i="1"/>
  <c r="G3609" i="1"/>
  <c r="F3609" i="1"/>
  <c r="D3609" i="1"/>
  <c r="B3609" i="1"/>
  <c r="A3609" i="1"/>
  <c r="J3608" i="1"/>
  <c r="I3608" i="1"/>
  <c r="H3608" i="1"/>
  <c r="G3608" i="1"/>
  <c r="F3608" i="1"/>
  <c r="D3608" i="1"/>
  <c r="B3608" i="1"/>
  <c r="A3608" i="1"/>
  <c r="J3607" i="1"/>
  <c r="I3607" i="1"/>
  <c r="H3607" i="1"/>
  <c r="G3607" i="1"/>
  <c r="F3607" i="1"/>
  <c r="D3607" i="1"/>
  <c r="B3607" i="1"/>
  <c r="A3607" i="1"/>
  <c r="J3606" i="1"/>
  <c r="I3606" i="1"/>
  <c r="H3606" i="1"/>
  <c r="G3606" i="1"/>
  <c r="F3606" i="1"/>
  <c r="D3606" i="1"/>
  <c r="B3606" i="1"/>
  <c r="A3606" i="1"/>
  <c r="J3605" i="1"/>
  <c r="I3605" i="1"/>
  <c r="H3605" i="1"/>
  <c r="G3605" i="1"/>
  <c r="F3605" i="1"/>
  <c r="D3605" i="1"/>
  <c r="B3605" i="1"/>
  <c r="A3605" i="1"/>
  <c r="J3604" i="1"/>
  <c r="I3604" i="1"/>
  <c r="H3604" i="1"/>
  <c r="G3604" i="1"/>
  <c r="F3604" i="1"/>
  <c r="D3604" i="1"/>
  <c r="B3604" i="1"/>
  <c r="A3604" i="1"/>
  <c r="J3603" i="1"/>
  <c r="I3603" i="1"/>
  <c r="H3603" i="1"/>
  <c r="G3603" i="1"/>
  <c r="F3603" i="1"/>
  <c r="D3603" i="1"/>
  <c r="B3603" i="1"/>
  <c r="A3603" i="1"/>
  <c r="J3602" i="1"/>
  <c r="I3602" i="1"/>
  <c r="H3602" i="1"/>
  <c r="G3602" i="1"/>
  <c r="F3602" i="1"/>
  <c r="D3602" i="1"/>
  <c r="B3602" i="1"/>
  <c r="A3602" i="1"/>
  <c r="J3601" i="1"/>
  <c r="I3601" i="1"/>
  <c r="H3601" i="1"/>
  <c r="G3601" i="1"/>
  <c r="F3601" i="1"/>
  <c r="D3601" i="1"/>
  <c r="B3601" i="1"/>
  <c r="A3601" i="1"/>
  <c r="J3600" i="1"/>
  <c r="I3600" i="1"/>
  <c r="H3600" i="1"/>
  <c r="G3600" i="1"/>
  <c r="F3600" i="1"/>
  <c r="D3600" i="1"/>
  <c r="B3600" i="1"/>
  <c r="A3600" i="1"/>
  <c r="J3599" i="1"/>
  <c r="I3599" i="1"/>
  <c r="H3599" i="1"/>
  <c r="G3599" i="1"/>
  <c r="F3599" i="1"/>
  <c r="D3599" i="1"/>
  <c r="B3599" i="1"/>
  <c r="A3599" i="1"/>
  <c r="J3598" i="1"/>
  <c r="I3598" i="1"/>
  <c r="H3598" i="1"/>
  <c r="G3598" i="1"/>
  <c r="F3598" i="1"/>
  <c r="D3598" i="1"/>
  <c r="B3598" i="1"/>
  <c r="A3598" i="1"/>
  <c r="J3597" i="1"/>
  <c r="I3597" i="1"/>
  <c r="H3597" i="1"/>
  <c r="G3597" i="1"/>
  <c r="F3597" i="1"/>
  <c r="D3597" i="1"/>
  <c r="B3597" i="1"/>
  <c r="A3597" i="1"/>
  <c r="J3596" i="1"/>
  <c r="I3596" i="1"/>
  <c r="H3596" i="1"/>
  <c r="G3596" i="1"/>
  <c r="F3596" i="1"/>
  <c r="D3596" i="1"/>
  <c r="B3596" i="1"/>
  <c r="A3596" i="1"/>
  <c r="J3595" i="1"/>
  <c r="I3595" i="1"/>
  <c r="H3595" i="1"/>
  <c r="G3595" i="1"/>
  <c r="F3595" i="1"/>
  <c r="D3595" i="1"/>
  <c r="B3595" i="1"/>
  <c r="A3595" i="1"/>
  <c r="J3594" i="1"/>
  <c r="I3594" i="1"/>
  <c r="H3594" i="1"/>
  <c r="G3594" i="1"/>
  <c r="F3594" i="1"/>
  <c r="D3594" i="1"/>
  <c r="B3594" i="1"/>
  <c r="A3594" i="1"/>
  <c r="J3593" i="1"/>
  <c r="I3593" i="1"/>
  <c r="H3593" i="1"/>
  <c r="G3593" i="1"/>
  <c r="F3593" i="1"/>
  <c r="D3593" i="1"/>
  <c r="B3593" i="1"/>
  <c r="A3593" i="1"/>
  <c r="J3592" i="1"/>
  <c r="I3592" i="1"/>
  <c r="H3592" i="1"/>
  <c r="G3592" i="1"/>
  <c r="F3592" i="1"/>
  <c r="D3592" i="1"/>
  <c r="B3592" i="1"/>
  <c r="A3592" i="1"/>
  <c r="J3591" i="1"/>
  <c r="I3591" i="1"/>
  <c r="H3591" i="1"/>
  <c r="G3591" i="1"/>
  <c r="F3591" i="1"/>
  <c r="D3591" i="1"/>
  <c r="B3591" i="1"/>
  <c r="A3591" i="1"/>
  <c r="J3590" i="1"/>
  <c r="I3590" i="1"/>
  <c r="H3590" i="1"/>
  <c r="G3590" i="1"/>
  <c r="F3590" i="1"/>
  <c r="D3590" i="1"/>
  <c r="B3590" i="1"/>
  <c r="A3590" i="1"/>
  <c r="J3589" i="1"/>
  <c r="I3589" i="1"/>
  <c r="H3589" i="1"/>
  <c r="G3589" i="1"/>
  <c r="F3589" i="1"/>
  <c r="D3589" i="1"/>
  <c r="B3589" i="1"/>
  <c r="A3589" i="1"/>
  <c r="J3588" i="1"/>
  <c r="I3588" i="1"/>
  <c r="H3588" i="1"/>
  <c r="G3588" i="1"/>
  <c r="F3588" i="1"/>
  <c r="D3588" i="1"/>
  <c r="B3588" i="1"/>
  <c r="A3588" i="1"/>
  <c r="J3587" i="1"/>
  <c r="I3587" i="1"/>
  <c r="H3587" i="1"/>
  <c r="G3587" i="1"/>
  <c r="F3587" i="1"/>
  <c r="D3587" i="1"/>
  <c r="B3587" i="1"/>
  <c r="A3587" i="1"/>
  <c r="J3586" i="1"/>
  <c r="I3586" i="1"/>
  <c r="H3586" i="1"/>
  <c r="G3586" i="1"/>
  <c r="F3586" i="1"/>
  <c r="D3586" i="1"/>
  <c r="B3586" i="1"/>
  <c r="A3586" i="1"/>
  <c r="J3585" i="1"/>
  <c r="I3585" i="1"/>
  <c r="H3585" i="1"/>
  <c r="G3585" i="1"/>
  <c r="F3585" i="1"/>
  <c r="D3585" i="1"/>
  <c r="B3585" i="1"/>
  <c r="A3585" i="1"/>
  <c r="J3584" i="1"/>
  <c r="I3584" i="1"/>
  <c r="H3584" i="1"/>
  <c r="G3584" i="1"/>
  <c r="F3584" i="1"/>
  <c r="D3584" i="1"/>
  <c r="B3584" i="1"/>
  <c r="A3584" i="1"/>
  <c r="J3583" i="1"/>
  <c r="I3583" i="1"/>
  <c r="H3583" i="1"/>
  <c r="G3583" i="1"/>
  <c r="F3583" i="1"/>
  <c r="D3583" i="1"/>
  <c r="B3583" i="1"/>
  <c r="A3583" i="1"/>
  <c r="J3582" i="1"/>
  <c r="I3582" i="1"/>
  <c r="H3582" i="1"/>
  <c r="G3582" i="1"/>
  <c r="F3582" i="1"/>
  <c r="D3582" i="1"/>
  <c r="B3582" i="1"/>
  <c r="A3582" i="1"/>
  <c r="J3581" i="1"/>
  <c r="I3581" i="1"/>
  <c r="H3581" i="1"/>
  <c r="G3581" i="1"/>
  <c r="F3581" i="1"/>
  <c r="D3581" i="1"/>
  <c r="B3581" i="1"/>
  <c r="A3581" i="1"/>
  <c r="J3580" i="1"/>
  <c r="I3580" i="1"/>
  <c r="H3580" i="1"/>
  <c r="G3580" i="1"/>
  <c r="F3580" i="1"/>
  <c r="D3580" i="1"/>
  <c r="B3580" i="1"/>
  <c r="A3580" i="1"/>
  <c r="J3579" i="1"/>
  <c r="I3579" i="1"/>
  <c r="H3579" i="1"/>
  <c r="G3579" i="1"/>
  <c r="F3579" i="1"/>
  <c r="D3579" i="1"/>
  <c r="B3579" i="1"/>
  <c r="A3579" i="1"/>
  <c r="J3578" i="1"/>
  <c r="I3578" i="1"/>
  <c r="H3578" i="1"/>
  <c r="G3578" i="1"/>
  <c r="F3578" i="1"/>
  <c r="D3578" i="1"/>
  <c r="B3578" i="1"/>
  <c r="A3578" i="1"/>
  <c r="J3577" i="1"/>
  <c r="I3577" i="1"/>
  <c r="H3577" i="1"/>
  <c r="G3577" i="1"/>
  <c r="F3577" i="1"/>
  <c r="D3577" i="1"/>
  <c r="B3577" i="1"/>
  <c r="A3577" i="1"/>
  <c r="J3576" i="1"/>
  <c r="I3576" i="1"/>
  <c r="H3576" i="1"/>
  <c r="G3576" i="1"/>
  <c r="F3576" i="1"/>
  <c r="D3576" i="1"/>
  <c r="B3576" i="1"/>
  <c r="A3576" i="1"/>
  <c r="J3575" i="1"/>
  <c r="I3575" i="1"/>
  <c r="H3575" i="1"/>
  <c r="G3575" i="1"/>
  <c r="F3575" i="1"/>
  <c r="D3575" i="1"/>
  <c r="B3575" i="1"/>
  <c r="A3575" i="1"/>
  <c r="J3574" i="1"/>
  <c r="I3574" i="1"/>
  <c r="H3574" i="1"/>
  <c r="G3574" i="1"/>
  <c r="F3574" i="1"/>
  <c r="D3574" i="1"/>
  <c r="B3574" i="1"/>
  <c r="A3574" i="1"/>
  <c r="J3573" i="1"/>
  <c r="I3573" i="1"/>
  <c r="H3573" i="1"/>
  <c r="G3573" i="1"/>
  <c r="F3573" i="1"/>
  <c r="D3573" i="1"/>
  <c r="B3573" i="1"/>
  <c r="A3573" i="1"/>
  <c r="J3572" i="1"/>
  <c r="I3572" i="1"/>
  <c r="H3572" i="1"/>
  <c r="G3572" i="1"/>
  <c r="F3572" i="1"/>
  <c r="D3572" i="1"/>
  <c r="B3572" i="1"/>
  <c r="A3572" i="1"/>
  <c r="J3571" i="1"/>
  <c r="I3571" i="1"/>
  <c r="H3571" i="1"/>
  <c r="G3571" i="1"/>
  <c r="F3571" i="1"/>
  <c r="D3571" i="1"/>
  <c r="B3571" i="1"/>
  <c r="A3571" i="1"/>
  <c r="J3570" i="1"/>
  <c r="I3570" i="1"/>
  <c r="H3570" i="1"/>
  <c r="G3570" i="1"/>
  <c r="F3570" i="1"/>
  <c r="D3570" i="1"/>
  <c r="B3570" i="1"/>
  <c r="A3570" i="1"/>
  <c r="J3569" i="1"/>
  <c r="I3569" i="1"/>
  <c r="H3569" i="1"/>
  <c r="G3569" i="1"/>
  <c r="F3569" i="1"/>
  <c r="D3569" i="1"/>
  <c r="B3569" i="1"/>
  <c r="A3569" i="1"/>
  <c r="J3568" i="1"/>
  <c r="I3568" i="1"/>
  <c r="H3568" i="1"/>
  <c r="G3568" i="1"/>
  <c r="F3568" i="1"/>
  <c r="D3568" i="1"/>
  <c r="B3568" i="1"/>
  <c r="A3568" i="1"/>
  <c r="J3567" i="1"/>
  <c r="I3567" i="1"/>
  <c r="H3567" i="1"/>
  <c r="G3567" i="1"/>
  <c r="F3567" i="1"/>
  <c r="D3567" i="1"/>
  <c r="B3567" i="1"/>
  <c r="A3567" i="1"/>
  <c r="J3566" i="1"/>
  <c r="I3566" i="1"/>
  <c r="H3566" i="1"/>
  <c r="G3566" i="1"/>
  <c r="F3566" i="1"/>
  <c r="D3566" i="1"/>
  <c r="B3566" i="1"/>
  <c r="A3566" i="1"/>
  <c r="J3565" i="1"/>
  <c r="I3565" i="1"/>
  <c r="H3565" i="1"/>
  <c r="G3565" i="1"/>
  <c r="F3565" i="1"/>
  <c r="D3565" i="1"/>
  <c r="B3565" i="1"/>
  <c r="A3565" i="1"/>
  <c r="J3564" i="1"/>
  <c r="I3564" i="1"/>
  <c r="H3564" i="1"/>
  <c r="G3564" i="1"/>
  <c r="F3564" i="1"/>
  <c r="D3564" i="1"/>
  <c r="B3564" i="1"/>
  <c r="A3564" i="1"/>
  <c r="J3563" i="1"/>
  <c r="I3563" i="1"/>
  <c r="H3563" i="1"/>
  <c r="G3563" i="1"/>
  <c r="F3563" i="1"/>
  <c r="D3563" i="1"/>
  <c r="B3563" i="1"/>
  <c r="A3563" i="1"/>
  <c r="J3562" i="1"/>
  <c r="I3562" i="1"/>
  <c r="H3562" i="1"/>
  <c r="G3562" i="1"/>
  <c r="F3562" i="1"/>
  <c r="D3562" i="1"/>
  <c r="B3562" i="1"/>
  <c r="A3562" i="1"/>
  <c r="J3561" i="1"/>
  <c r="I3561" i="1"/>
  <c r="H3561" i="1"/>
  <c r="G3561" i="1"/>
  <c r="F3561" i="1"/>
  <c r="D3561" i="1"/>
  <c r="B3561" i="1"/>
  <c r="A3561" i="1"/>
  <c r="J3560" i="1"/>
  <c r="I3560" i="1"/>
  <c r="H3560" i="1"/>
  <c r="G3560" i="1"/>
  <c r="F3560" i="1"/>
  <c r="D3560" i="1"/>
  <c r="B3560" i="1"/>
  <c r="A3560" i="1"/>
  <c r="J3559" i="1"/>
  <c r="I3559" i="1"/>
  <c r="H3559" i="1"/>
  <c r="G3559" i="1"/>
  <c r="F3559" i="1"/>
  <c r="D3559" i="1"/>
  <c r="B3559" i="1"/>
  <c r="A3559" i="1"/>
  <c r="J3558" i="1"/>
  <c r="I3558" i="1"/>
  <c r="H3558" i="1"/>
  <c r="G3558" i="1"/>
  <c r="F3558" i="1"/>
  <c r="D3558" i="1"/>
  <c r="B3558" i="1"/>
  <c r="A3558" i="1"/>
  <c r="J3557" i="1"/>
  <c r="I3557" i="1"/>
  <c r="H3557" i="1"/>
  <c r="G3557" i="1"/>
  <c r="F3557" i="1"/>
  <c r="D3557" i="1"/>
  <c r="B3557" i="1"/>
  <c r="A3557" i="1"/>
  <c r="J3556" i="1"/>
  <c r="I3556" i="1"/>
  <c r="H3556" i="1"/>
  <c r="G3556" i="1"/>
  <c r="F3556" i="1"/>
  <c r="D3556" i="1"/>
  <c r="B3556" i="1"/>
  <c r="A3556" i="1"/>
  <c r="J3555" i="1"/>
  <c r="I3555" i="1"/>
  <c r="H3555" i="1"/>
  <c r="G3555" i="1"/>
  <c r="F3555" i="1"/>
  <c r="D3555" i="1"/>
  <c r="B3555" i="1"/>
  <c r="A3555" i="1"/>
  <c r="J3554" i="1"/>
  <c r="I3554" i="1"/>
  <c r="H3554" i="1"/>
  <c r="G3554" i="1"/>
  <c r="F3554" i="1"/>
  <c r="D3554" i="1"/>
  <c r="B3554" i="1"/>
  <c r="A3554" i="1"/>
  <c r="J3553" i="1"/>
  <c r="I3553" i="1"/>
  <c r="H3553" i="1"/>
  <c r="G3553" i="1"/>
  <c r="F3553" i="1"/>
  <c r="D3553" i="1"/>
  <c r="B3553" i="1"/>
  <c r="A3553" i="1"/>
  <c r="J3552" i="1"/>
  <c r="I3552" i="1"/>
  <c r="H3552" i="1"/>
  <c r="G3552" i="1"/>
  <c r="F3552" i="1"/>
  <c r="D3552" i="1"/>
  <c r="B3552" i="1"/>
  <c r="A3552" i="1"/>
  <c r="J3551" i="1"/>
  <c r="I3551" i="1"/>
  <c r="H3551" i="1"/>
  <c r="G3551" i="1"/>
  <c r="F3551" i="1"/>
  <c r="D3551" i="1"/>
  <c r="B3551" i="1"/>
  <c r="A3551" i="1"/>
  <c r="J3550" i="1"/>
  <c r="I3550" i="1"/>
  <c r="H3550" i="1"/>
  <c r="G3550" i="1"/>
  <c r="F3550" i="1"/>
  <c r="D3550" i="1"/>
  <c r="B3550" i="1"/>
  <c r="A3550" i="1"/>
  <c r="J3549" i="1"/>
  <c r="I3549" i="1"/>
  <c r="H3549" i="1"/>
  <c r="G3549" i="1"/>
  <c r="F3549" i="1"/>
  <c r="D3549" i="1"/>
  <c r="B3549" i="1"/>
  <c r="A3549" i="1"/>
  <c r="J3548" i="1"/>
  <c r="I3548" i="1"/>
  <c r="H3548" i="1"/>
  <c r="G3548" i="1"/>
  <c r="F3548" i="1"/>
  <c r="D3548" i="1"/>
  <c r="B3548" i="1"/>
  <c r="A3548" i="1"/>
  <c r="J3547" i="1"/>
  <c r="I3547" i="1"/>
  <c r="H3547" i="1"/>
  <c r="G3547" i="1"/>
  <c r="F3547" i="1"/>
  <c r="D3547" i="1"/>
  <c r="B3547" i="1"/>
  <c r="A3547" i="1"/>
  <c r="J3546" i="1"/>
  <c r="I3546" i="1"/>
  <c r="H3546" i="1"/>
  <c r="G3546" i="1"/>
  <c r="F3546" i="1"/>
  <c r="D3546" i="1"/>
  <c r="B3546" i="1"/>
  <c r="A3546" i="1"/>
  <c r="J3545" i="1"/>
  <c r="I3545" i="1"/>
  <c r="H3545" i="1"/>
  <c r="G3545" i="1"/>
  <c r="F3545" i="1"/>
  <c r="D3545" i="1"/>
  <c r="B3545" i="1"/>
  <c r="A3545" i="1"/>
  <c r="J3544" i="1"/>
  <c r="I3544" i="1"/>
  <c r="H3544" i="1"/>
  <c r="G3544" i="1"/>
  <c r="F3544" i="1"/>
  <c r="D3544" i="1"/>
  <c r="B3544" i="1"/>
  <c r="A3544" i="1"/>
  <c r="J3543" i="1"/>
  <c r="I3543" i="1"/>
  <c r="H3543" i="1"/>
  <c r="G3543" i="1"/>
  <c r="F3543" i="1"/>
  <c r="D3543" i="1"/>
  <c r="B3543" i="1"/>
  <c r="A3543" i="1"/>
  <c r="J3542" i="1"/>
  <c r="I3542" i="1"/>
  <c r="H3542" i="1"/>
  <c r="G3542" i="1"/>
  <c r="F3542" i="1"/>
  <c r="D3542" i="1"/>
  <c r="B3542" i="1"/>
  <c r="A3542" i="1"/>
  <c r="J3541" i="1"/>
  <c r="I3541" i="1"/>
  <c r="H3541" i="1"/>
  <c r="G3541" i="1"/>
  <c r="F3541" i="1"/>
  <c r="D3541" i="1"/>
  <c r="B3541" i="1"/>
  <c r="A3541" i="1"/>
  <c r="J3540" i="1"/>
  <c r="I3540" i="1"/>
  <c r="H3540" i="1"/>
  <c r="G3540" i="1"/>
  <c r="F3540" i="1"/>
  <c r="D3540" i="1"/>
  <c r="B3540" i="1"/>
  <c r="A3540" i="1"/>
  <c r="J3539" i="1"/>
  <c r="I3539" i="1"/>
  <c r="H3539" i="1"/>
  <c r="G3539" i="1"/>
  <c r="F3539" i="1"/>
  <c r="D3539" i="1"/>
  <c r="B3539" i="1"/>
  <c r="A3539" i="1"/>
  <c r="J3538" i="1"/>
  <c r="I3538" i="1"/>
  <c r="H3538" i="1"/>
  <c r="G3538" i="1"/>
  <c r="F3538" i="1"/>
  <c r="D3538" i="1"/>
  <c r="B3538" i="1"/>
  <c r="A3538" i="1"/>
  <c r="J3537" i="1"/>
  <c r="I3537" i="1"/>
  <c r="H3537" i="1"/>
  <c r="G3537" i="1"/>
  <c r="F3537" i="1"/>
  <c r="D3537" i="1"/>
  <c r="B3537" i="1"/>
  <c r="A3537" i="1"/>
  <c r="J3536" i="1"/>
  <c r="I3536" i="1"/>
  <c r="H3536" i="1"/>
  <c r="G3536" i="1"/>
  <c r="F3536" i="1"/>
  <c r="D3536" i="1"/>
  <c r="B3536" i="1"/>
  <c r="A3536" i="1"/>
  <c r="J3535" i="1"/>
  <c r="I3535" i="1"/>
  <c r="H3535" i="1"/>
  <c r="G3535" i="1"/>
  <c r="F3535" i="1"/>
  <c r="D3535" i="1"/>
  <c r="B3535" i="1"/>
  <c r="A3535" i="1"/>
  <c r="J3534" i="1"/>
  <c r="I3534" i="1"/>
  <c r="H3534" i="1"/>
  <c r="G3534" i="1"/>
  <c r="F3534" i="1"/>
  <c r="D3534" i="1"/>
  <c r="B3534" i="1"/>
  <c r="A3534" i="1"/>
  <c r="J3533" i="1"/>
  <c r="I3533" i="1"/>
  <c r="H3533" i="1"/>
  <c r="G3533" i="1"/>
  <c r="F3533" i="1"/>
  <c r="D3533" i="1"/>
  <c r="B3533" i="1"/>
  <c r="A3533" i="1"/>
  <c r="J3532" i="1"/>
  <c r="I3532" i="1"/>
  <c r="H3532" i="1"/>
  <c r="G3532" i="1"/>
  <c r="F3532" i="1"/>
  <c r="D3532" i="1"/>
  <c r="B3532" i="1"/>
  <c r="A3532" i="1"/>
  <c r="J3531" i="1"/>
  <c r="I3531" i="1"/>
  <c r="H3531" i="1"/>
  <c r="G3531" i="1"/>
  <c r="F3531" i="1"/>
  <c r="D3531" i="1"/>
  <c r="B3531" i="1"/>
  <c r="A3531" i="1"/>
  <c r="J3530" i="1"/>
  <c r="I3530" i="1"/>
  <c r="H3530" i="1"/>
  <c r="G3530" i="1"/>
  <c r="F3530" i="1"/>
  <c r="D3530" i="1"/>
  <c r="B3530" i="1"/>
  <c r="A3530" i="1"/>
  <c r="J3529" i="1"/>
  <c r="I3529" i="1"/>
  <c r="H3529" i="1"/>
  <c r="G3529" i="1"/>
  <c r="F3529" i="1"/>
  <c r="D3529" i="1"/>
  <c r="B3529" i="1"/>
  <c r="A3529" i="1"/>
  <c r="J3528" i="1"/>
  <c r="I3528" i="1"/>
  <c r="H3528" i="1"/>
  <c r="G3528" i="1"/>
  <c r="F3528" i="1"/>
  <c r="D3528" i="1"/>
  <c r="B3528" i="1"/>
  <c r="A3528" i="1"/>
  <c r="J3527" i="1"/>
  <c r="I3527" i="1"/>
  <c r="H3527" i="1"/>
  <c r="G3527" i="1"/>
  <c r="F3527" i="1"/>
  <c r="D3527" i="1"/>
  <c r="B3527" i="1"/>
  <c r="A3527" i="1"/>
  <c r="J3526" i="1"/>
  <c r="I3526" i="1"/>
  <c r="H3526" i="1"/>
  <c r="G3526" i="1"/>
  <c r="F3526" i="1"/>
  <c r="D3526" i="1"/>
  <c r="B3526" i="1"/>
  <c r="A3526" i="1"/>
  <c r="J3525" i="1"/>
  <c r="I3525" i="1"/>
  <c r="H3525" i="1"/>
  <c r="G3525" i="1"/>
  <c r="F3525" i="1"/>
  <c r="D3525" i="1"/>
  <c r="B3525" i="1"/>
  <c r="A3525" i="1"/>
  <c r="J3524" i="1"/>
  <c r="I3524" i="1"/>
  <c r="H3524" i="1"/>
  <c r="G3524" i="1"/>
  <c r="F3524" i="1"/>
  <c r="D3524" i="1"/>
  <c r="B3524" i="1"/>
  <c r="A3524" i="1"/>
  <c r="J3523" i="1"/>
  <c r="I3523" i="1"/>
  <c r="H3523" i="1"/>
  <c r="G3523" i="1"/>
  <c r="F3523" i="1"/>
  <c r="D3523" i="1"/>
  <c r="B3523" i="1"/>
  <c r="A3523" i="1"/>
  <c r="J3522" i="1"/>
  <c r="I3522" i="1"/>
  <c r="H3522" i="1"/>
  <c r="G3522" i="1"/>
  <c r="F3522" i="1"/>
  <c r="D3522" i="1"/>
  <c r="B3522" i="1"/>
  <c r="A3522" i="1"/>
  <c r="J3521" i="1"/>
  <c r="I3521" i="1"/>
  <c r="H3521" i="1"/>
  <c r="G3521" i="1"/>
  <c r="F3521" i="1"/>
  <c r="D3521" i="1"/>
  <c r="B3521" i="1"/>
  <c r="A3521" i="1"/>
  <c r="J3520" i="1"/>
  <c r="I3520" i="1"/>
  <c r="H3520" i="1"/>
  <c r="G3520" i="1"/>
  <c r="F3520" i="1"/>
  <c r="D3520" i="1"/>
  <c r="B3520" i="1"/>
  <c r="A3520" i="1"/>
  <c r="J3519" i="1"/>
  <c r="I3519" i="1"/>
  <c r="H3519" i="1"/>
  <c r="G3519" i="1"/>
  <c r="F3519" i="1"/>
  <c r="D3519" i="1"/>
  <c r="B3519" i="1"/>
  <c r="A3519" i="1"/>
  <c r="J3518" i="1"/>
  <c r="I3518" i="1"/>
  <c r="H3518" i="1"/>
  <c r="G3518" i="1"/>
  <c r="F3518" i="1"/>
  <c r="D3518" i="1"/>
  <c r="B3518" i="1"/>
  <c r="A3518" i="1"/>
  <c r="J3517" i="1"/>
  <c r="I3517" i="1"/>
  <c r="H3517" i="1"/>
  <c r="G3517" i="1"/>
  <c r="F3517" i="1"/>
  <c r="D3517" i="1"/>
  <c r="B3517" i="1"/>
  <c r="A3517" i="1"/>
  <c r="J3516" i="1"/>
  <c r="I3516" i="1"/>
  <c r="H3516" i="1"/>
  <c r="G3516" i="1"/>
  <c r="F3516" i="1"/>
  <c r="D3516" i="1"/>
  <c r="B3516" i="1"/>
  <c r="A3516" i="1"/>
  <c r="J3515" i="1"/>
  <c r="I3515" i="1"/>
  <c r="H3515" i="1"/>
  <c r="G3515" i="1"/>
  <c r="F3515" i="1"/>
  <c r="D3515" i="1"/>
  <c r="B3515" i="1"/>
  <c r="A3515" i="1"/>
  <c r="J3514" i="1"/>
  <c r="I3514" i="1"/>
  <c r="H3514" i="1"/>
  <c r="G3514" i="1"/>
  <c r="F3514" i="1"/>
  <c r="D3514" i="1"/>
  <c r="B3514" i="1"/>
  <c r="A3514" i="1"/>
  <c r="J3513" i="1"/>
  <c r="I3513" i="1"/>
  <c r="H3513" i="1"/>
  <c r="G3513" i="1"/>
  <c r="F3513" i="1"/>
  <c r="D3513" i="1"/>
  <c r="B3513" i="1"/>
  <c r="A3513" i="1"/>
  <c r="J3512" i="1"/>
  <c r="I3512" i="1"/>
  <c r="H3512" i="1"/>
  <c r="G3512" i="1"/>
  <c r="F3512" i="1"/>
  <c r="D3512" i="1"/>
  <c r="B3512" i="1"/>
  <c r="A3512" i="1"/>
  <c r="J3511" i="1"/>
  <c r="I3511" i="1"/>
  <c r="H3511" i="1"/>
  <c r="G3511" i="1"/>
  <c r="F3511" i="1"/>
  <c r="D3511" i="1"/>
  <c r="B3511" i="1"/>
  <c r="A3511" i="1"/>
  <c r="J3510" i="1"/>
  <c r="I3510" i="1"/>
  <c r="H3510" i="1"/>
  <c r="G3510" i="1"/>
  <c r="F3510" i="1"/>
  <c r="D3510" i="1"/>
  <c r="B3510" i="1"/>
  <c r="A3510" i="1"/>
  <c r="J3509" i="1"/>
  <c r="I3509" i="1"/>
  <c r="H3509" i="1"/>
  <c r="G3509" i="1"/>
  <c r="F3509" i="1"/>
  <c r="D3509" i="1"/>
  <c r="B3509" i="1"/>
  <c r="A3509" i="1"/>
  <c r="J3508" i="1"/>
  <c r="I3508" i="1"/>
  <c r="H3508" i="1"/>
  <c r="G3508" i="1"/>
  <c r="F3508" i="1"/>
  <c r="D3508" i="1"/>
  <c r="B3508" i="1"/>
  <c r="A3508" i="1"/>
  <c r="J3507" i="1"/>
  <c r="I3507" i="1"/>
  <c r="H3507" i="1"/>
  <c r="G3507" i="1"/>
  <c r="F3507" i="1"/>
  <c r="D3507" i="1"/>
  <c r="B3507" i="1"/>
  <c r="A3507" i="1"/>
  <c r="J3506" i="1"/>
  <c r="I3506" i="1"/>
  <c r="H3506" i="1"/>
  <c r="G3506" i="1"/>
  <c r="F3506" i="1"/>
  <c r="D3506" i="1"/>
  <c r="B3506" i="1"/>
  <c r="A3506" i="1"/>
  <c r="J3505" i="1"/>
  <c r="I3505" i="1"/>
  <c r="H3505" i="1"/>
  <c r="G3505" i="1"/>
  <c r="F3505" i="1"/>
  <c r="D3505" i="1"/>
  <c r="B3505" i="1"/>
  <c r="A3505" i="1"/>
  <c r="J3504" i="1"/>
  <c r="I3504" i="1"/>
  <c r="H3504" i="1"/>
  <c r="G3504" i="1"/>
  <c r="F3504" i="1"/>
  <c r="D3504" i="1"/>
  <c r="B3504" i="1"/>
  <c r="A3504" i="1"/>
  <c r="J3503" i="1"/>
  <c r="I3503" i="1"/>
  <c r="H3503" i="1"/>
  <c r="G3503" i="1"/>
  <c r="F3503" i="1"/>
  <c r="D3503" i="1"/>
  <c r="B3503" i="1"/>
  <c r="A3503" i="1"/>
  <c r="J3502" i="1"/>
  <c r="I3502" i="1"/>
  <c r="H3502" i="1"/>
  <c r="G3502" i="1"/>
  <c r="F3502" i="1"/>
  <c r="D3502" i="1"/>
  <c r="B3502" i="1"/>
  <c r="A3502" i="1"/>
  <c r="J3501" i="1"/>
  <c r="I3501" i="1"/>
  <c r="H3501" i="1"/>
  <c r="G3501" i="1"/>
  <c r="F3501" i="1"/>
  <c r="D3501" i="1"/>
  <c r="B3501" i="1"/>
  <c r="A3501" i="1"/>
  <c r="J3500" i="1"/>
  <c r="I3500" i="1"/>
  <c r="H3500" i="1"/>
  <c r="G3500" i="1"/>
  <c r="F3500" i="1"/>
  <c r="D3500" i="1"/>
  <c r="B3500" i="1"/>
  <c r="A3500" i="1"/>
  <c r="J3499" i="1"/>
  <c r="I3499" i="1"/>
  <c r="H3499" i="1"/>
  <c r="G3499" i="1"/>
  <c r="F3499" i="1"/>
  <c r="D3499" i="1"/>
  <c r="B3499" i="1"/>
  <c r="A3499" i="1"/>
  <c r="J3498" i="1"/>
  <c r="I3498" i="1"/>
  <c r="H3498" i="1"/>
  <c r="G3498" i="1"/>
  <c r="F3498" i="1"/>
  <c r="D3498" i="1"/>
  <c r="B3498" i="1"/>
  <c r="A3498" i="1"/>
  <c r="J3497" i="1"/>
  <c r="I3497" i="1"/>
  <c r="H3497" i="1"/>
  <c r="G3497" i="1"/>
  <c r="F3497" i="1"/>
  <c r="D3497" i="1"/>
  <c r="B3497" i="1"/>
  <c r="A3497" i="1"/>
  <c r="J3496" i="1"/>
  <c r="I3496" i="1"/>
  <c r="H3496" i="1"/>
  <c r="G3496" i="1"/>
  <c r="F3496" i="1"/>
  <c r="D3496" i="1"/>
  <c r="B3496" i="1"/>
  <c r="A3496" i="1"/>
  <c r="J3495" i="1"/>
  <c r="I3495" i="1"/>
  <c r="H3495" i="1"/>
  <c r="G3495" i="1"/>
  <c r="F3495" i="1"/>
  <c r="D3495" i="1"/>
  <c r="B3495" i="1"/>
  <c r="A3495" i="1"/>
  <c r="J3494" i="1"/>
  <c r="I3494" i="1"/>
  <c r="H3494" i="1"/>
  <c r="G3494" i="1"/>
  <c r="F3494" i="1"/>
  <c r="D3494" i="1"/>
  <c r="B3494" i="1"/>
  <c r="A3494" i="1"/>
  <c r="J3493" i="1"/>
  <c r="I3493" i="1"/>
  <c r="H3493" i="1"/>
  <c r="G3493" i="1"/>
  <c r="F3493" i="1"/>
  <c r="D3493" i="1"/>
  <c r="B3493" i="1"/>
  <c r="A3493" i="1"/>
  <c r="J3492" i="1"/>
  <c r="I3492" i="1"/>
  <c r="H3492" i="1"/>
  <c r="G3492" i="1"/>
  <c r="F3492" i="1"/>
  <c r="D3492" i="1"/>
  <c r="B3492" i="1"/>
  <c r="A3492" i="1"/>
  <c r="J3491" i="1"/>
  <c r="I3491" i="1"/>
  <c r="H3491" i="1"/>
  <c r="G3491" i="1"/>
  <c r="F3491" i="1"/>
  <c r="D3491" i="1"/>
  <c r="B3491" i="1"/>
  <c r="A3491" i="1"/>
  <c r="J3490" i="1"/>
  <c r="I3490" i="1"/>
  <c r="H3490" i="1"/>
  <c r="G3490" i="1"/>
  <c r="F3490" i="1"/>
  <c r="D3490" i="1"/>
  <c r="B3490" i="1"/>
  <c r="A3490" i="1"/>
  <c r="J3489" i="1"/>
  <c r="I3489" i="1"/>
  <c r="H3489" i="1"/>
  <c r="G3489" i="1"/>
  <c r="F3489" i="1"/>
  <c r="D3489" i="1"/>
  <c r="B3489" i="1"/>
  <c r="A3489" i="1"/>
  <c r="J3488" i="1"/>
  <c r="I3488" i="1"/>
  <c r="H3488" i="1"/>
  <c r="G3488" i="1"/>
  <c r="F3488" i="1"/>
  <c r="D3488" i="1"/>
  <c r="B3488" i="1"/>
  <c r="A3488" i="1"/>
  <c r="J3487" i="1"/>
  <c r="I3487" i="1"/>
  <c r="H3487" i="1"/>
  <c r="G3487" i="1"/>
  <c r="F3487" i="1"/>
  <c r="D3487" i="1"/>
  <c r="B3487" i="1"/>
  <c r="A3487" i="1"/>
  <c r="J3486" i="1"/>
  <c r="I3486" i="1"/>
  <c r="H3486" i="1"/>
  <c r="G3486" i="1"/>
  <c r="F3486" i="1"/>
  <c r="D3486" i="1"/>
  <c r="B3486" i="1"/>
  <c r="A3486" i="1"/>
  <c r="J3485" i="1"/>
  <c r="I3485" i="1"/>
  <c r="H3485" i="1"/>
  <c r="G3485" i="1"/>
  <c r="F3485" i="1"/>
  <c r="D3485" i="1"/>
  <c r="B3485" i="1"/>
  <c r="A3485" i="1"/>
  <c r="J3484" i="1"/>
  <c r="I3484" i="1"/>
  <c r="H3484" i="1"/>
  <c r="G3484" i="1"/>
  <c r="F3484" i="1"/>
  <c r="D3484" i="1"/>
  <c r="B3484" i="1"/>
  <c r="A3484" i="1"/>
  <c r="J3483" i="1"/>
  <c r="I3483" i="1"/>
  <c r="H3483" i="1"/>
  <c r="G3483" i="1"/>
  <c r="F3483" i="1"/>
  <c r="D3483" i="1"/>
  <c r="B3483" i="1"/>
  <c r="A3483" i="1"/>
  <c r="J3482" i="1"/>
  <c r="I3482" i="1"/>
  <c r="H3482" i="1"/>
  <c r="G3482" i="1"/>
  <c r="F3482" i="1"/>
  <c r="D3482" i="1"/>
  <c r="B3482" i="1"/>
  <c r="A3482" i="1"/>
  <c r="J3481" i="1"/>
  <c r="I3481" i="1"/>
  <c r="H3481" i="1"/>
  <c r="G3481" i="1"/>
  <c r="F3481" i="1"/>
  <c r="D3481" i="1"/>
  <c r="B3481" i="1"/>
  <c r="A3481" i="1"/>
  <c r="J3480" i="1"/>
  <c r="I3480" i="1"/>
  <c r="H3480" i="1"/>
  <c r="G3480" i="1"/>
  <c r="F3480" i="1"/>
  <c r="D3480" i="1"/>
  <c r="B3480" i="1"/>
  <c r="A3480" i="1"/>
  <c r="J3479" i="1"/>
  <c r="I3479" i="1"/>
  <c r="H3479" i="1"/>
  <c r="G3479" i="1"/>
  <c r="F3479" i="1"/>
  <c r="D3479" i="1"/>
  <c r="B3479" i="1"/>
  <c r="A3479" i="1"/>
  <c r="J3478" i="1"/>
  <c r="I3478" i="1"/>
  <c r="H3478" i="1"/>
  <c r="G3478" i="1"/>
  <c r="F3478" i="1"/>
  <c r="D3478" i="1"/>
  <c r="B3478" i="1"/>
  <c r="A3478" i="1"/>
  <c r="J3477" i="1"/>
  <c r="I3477" i="1"/>
  <c r="H3477" i="1"/>
  <c r="G3477" i="1"/>
  <c r="F3477" i="1"/>
  <c r="D3477" i="1"/>
  <c r="B3477" i="1"/>
  <c r="A3477" i="1"/>
  <c r="J3476" i="1"/>
  <c r="I3476" i="1"/>
  <c r="H3476" i="1"/>
  <c r="G3476" i="1"/>
  <c r="F3476" i="1"/>
  <c r="D3476" i="1"/>
  <c r="B3476" i="1"/>
  <c r="A3476" i="1"/>
  <c r="J3475" i="1"/>
  <c r="I3475" i="1"/>
  <c r="H3475" i="1"/>
  <c r="G3475" i="1"/>
  <c r="F3475" i="1"/>
  <c r="D3475" i="1"/>
  <c r="B3475" i="1"/>
  <c r="A3475" i="1"/>
  <c r="J3474" i="1"/>
  <c r="I3474" i="1"/>
  <c r="H3474" i="1"/>
  <c r="G3474" i="1"/>
  <c r="F3474" i="1"/>
  <c r="D3474" i="1"/>
  <c r="B3474" i="1"/>
  <c r="A3474" i="1"/>
  <c r="J3473" i="1"/>
  <c r="I3473" i="1"/>
  <c r="H3473" i="1"/>
  <c r="G3473" i="1"/>
  <c r="F3473" i="1"/>
  <c r="D3473" i="1"/>
  <c r="B3473" i="1"/>
  <c r="A3473" i="1"/>
  <c r="J3472" i="1"/>
  <c r="I3472" i="1"/>
  <c r="H3472" i="1"/>
  <c r="G3472" i="1"/>
  <c r="F3472" i="1"/>
  <c r="D3472" i="1"/>
  <c r="B3472" i="1"/>
  <c r="A3472" i="1"/>
  <c r="J3471" i="1"/>
  <c r="I3471" i="1"/>
  <c r="H3471" i="1"/>
  <c r="G3471" i="1"/>
  <c r="F3471" i="1"/>
  <c r="D3471" i="1"/>
  <c r="B3471" i="1"/>
  <c r="A3471" i="1"/>
  <c r="J3470" i="1"/>
  <c r="I3470" i="1"/>
  <c r="H3470" i="1"/>
  <c r="G3470" i="1"/>
  <c r="F3470" i="1"/>
  <c r="D3470" i="1"/>
  <c r="B3470" i="1"/>
  <c r="A3470" i="1"/>
  <c r="J3469" i="1"/>
  <c r="I3469" i="1"/>
  <c r="H3469" i="1"/>
  <c r="G3469" i="1"/>
  <c r="F3469" i="1"/>
  <c r="D3469" i="1"/>
  <c r="B3469" i="1"/>
  <c r="A3469" i="1"/>
  <c r="J3468" i="1"/>
  <c r="I3468" i="1"/>
  <c r="H3468" i="1"/>
  <c r="G3468" i="1"/>
  <c r="F3468" i="1"/>
  <c r="D3468" i="1"/>
  <c r="B3468" i="1"/>
  <c r="A3468" i="1"/>
  <c r="J3467" i="1"/>
  <c r="I3467" i="1"/>
  <c r="H3467" i="1"/>
  <c r="G3467" i="1"/>
  <c r="F3467" i="1"/>
  <c r="D3467" i="1"/>
  <c r="B3467" i="1"/>
  <c r="A3467" i="1"/>
  <c r="J3466" i="1"/>
  <c r="I3466" i="1"/>
  <c r="H3466" i="1"/>
  <c r="G3466" i="1"/>
  <c r="F3466" i="1"/>
  <c r="D3466" i="1"/>
  <c r="B3466" i="1"/>
  <c r="A3466" i="1"/>
  <c r="J3465" i="1"/>
  <c r="I3465" i="1"/>
  <c r="H3465" i="1"/>
  <c r="G3465" i="1"/>
  <c r="F3465" i="1"/>
  <c r="D3465" i="1"/>
  <c r="B3465" i="1"/>
  <c r="A3465" i="1"/>
  <c r="J3464" i="1"/>
  <c r="I3464" i="1"/>
  <c r="H3464" i="1"/>
  <c r="G3464" i="1"/>
  <c r="F3464" i="1"/>
  <c r="D3464" i="1"/>
  <c r="B3464" i="1"/>
  <c r="A3464" i="1"/>
  <c r="J3463" i="1"/>
  <c r="I3463" i="1"/>
  <c r="H3463" i="1"/>
  <c r="G3463" i="1"/>
  <c r="F3463" i="1"/>
  <c r="D3463" i="1"/>
  <c r="B3463" i="1"/>
  <c r="A3463" i="1"/>
  <c r="J3462" i="1"/>
  <c r="I3462" i="1"/>
  <c r="H3462" i="1"/>
  <c r="G3462" i="1"/>
  <c r="F3462" i="1"/>
  <c r="D3462" i="1"/>
  <c r="B3462" i="1"/>
  <c r="A3462" i="1"/>
  <c r="J3461" i="1"/>
  <c r="I3461" i="1"/>
  <c r="H3461" i="1"/>
  <c r="G3461" i="1"/>
  <c r="F3461" i="1"/>
  <c r="D3461" i="1"/>
  <c r="B3461" i="1"/>
  <c r="A3461" i="1"/>
  <c r="J3460" i="1"/>
  <c r="I3460" i="1"/>
  <c r="H3460" i="1"/>
  <c r="G3460" i="1"/>
  <c r="F3460" i="1"/>
  <c r="D3460" i="1"/>
  <c r="B3460" i="1"/>
  <c r="A3460" i="1"/>
  <c r="J3459" i="1"/>
  <c r="I3459" i="1"/>
  <c r="H3459" i="1"/>
  <c r="G3459" i="1"/>
  <c r="F3459" i="1"/>
  <c r="D3459" i="1"/>
  <c r="B3459" i="1"/>
  <c r="A3459" i="1"/>
  <c r="J3458" i="1"/>
  <c r="I3458" i="1"/>
  <c r="H3458" i="1"/>
  <c r="G3458" i="1"/>
  <c r="F3458" i="1"/>
  <c r="D3458" i="1"/>
  <c r="B3458" i="1"/>
  <c r="A3458" i="1"/>
  <c r="J3457" i="1"/>
  <c r="I3457" i="1"/>
  <c r="H3457" i="1"/>
  <c r="G3457" i="1"/>
  <c r="F3457" i="1"/>
  <c r="D3457" i="1"/>
  <c r="B3457" i="1"/>
  <c r="A3457" i="1"/>
  <c r="J3456" i="1"/>
  <c r="I3456" i="1"/>
  <c r="H3456" i="1"/>
  <c r="G3456" i="1"/>
  <c r="F3456" i="1"/>
  <c r="D3456" i="1"/>
  <c r="B3456" i="1"/>
  <c r="A3456" i="1"/>
  <c r="J3455" i="1"/>
  <c r="I3455" i="1"/>
  <c r="H3455" i="1"/>
  <c r="G3455" i="1"/>
  <c r="F3455" i="1"/>
  <c r="D3455" i="1"/>
  <c r="B3455" i="1"/>
  <c r="A3455" i="1"/>
  <c r="J3454" i="1"/>
  <c r="I3454" i="1"/>
  <c r="H3454" i="1"/>
  <c r="G3454" i="1"/>
  <c r="F3454" i="1"/>
  <c r="D3454" i="1"/>
  <c r="B3454" i="1"/>
  <c r="A3454" i="1"/>
  <c r="J3453" i="1"/>
  <c r="I3453" i="1"/>
  <c r="H3453" i="1"/>
  <c r="G3453" i="1"/>
  <c r="F3453" i="1"/>
  <c r="D3453" i="1"/>
  <c r="B3453" i="1"/>
  <c r="A3453" i="1"/>
  <c r="J3452" i="1"/>
  <c r="I3452" i="1"/>
  <c r="H3452" i="1"/>
  <c r="G3452" i="1"/>
  <c r="F3452" i="1"/>
  <c r="D3452" i="1"/>
  <c r="B3452" i="1"/>
  <c r="A3452" i="1"/>
  <c r="J3451" i="1"/>
  <c r="I3451" i="1"/>
  <c r="H3451" i="1"/>
  <c r="G3451" i="1"/>
  <c r="F3451" i="1"/>
  <c r="D3451" i="1"/>
  <c r="B3451" i="1"/>
  <c r="A3451" i="1"/>
  <c r="J3450" i="1"/>
  <c r="I3450" i="1"/>
  <c r="H3450" i="1"/>
  <c r="G3450" i="1"/>
  <c r="F3450" i="1"/>
  <c r="D3450" i="1"/>
  <c r="B3450" i="1"/>
  <c r="A3450" i="1"/>
  <c r="J3449" i="1"/>
  <c r="I3449" i="1"/>
  <c r="H3449" i="1"/>
  <c r="G3449" i="1"/>
  <c r="F3449" i="1"/>
  <c r="D3449" i="1"/>
  <c r="B3449" i="1"/>
  <c r="A3449" i="1"/>
  <c r="J3448" i="1"/>
  <c r="I3448" i="1"/>
  <c r="H3448" i="1"/>
  <c r="G3448" i="1"/>
  <c r="F3448" i="1"/>
  <c r="D3448" i="1"/>
  <c r="B3448" i="1"/>
  <c r="A3448" i="1"/>
  <c r="J3447" i="1"/>
  <c r="I3447" i="1"/>
  <c r="H3447" i="1"/>
  <c r="G3447" i="1"/>
  <c r="F3447" i="1"/>
  <c r="D3447" i="1"/>
  <c r="B3447" i="1"/>
  <c r="A3447" i="1"/>
  <c r="J3446" i="1"/>
  <c r="I3446" i="1"/>
  <c r="H3446" i="1"/>
  <c r="G3446" i="1"/>
  <c r="F3446" i="1"/>
  <c r="D3446" i="1"/>
  <c r="B3446" i="1"/>
  <c r="A3446" i="1"/>
  <c r="J3445" i="1"/>
  <c r="I3445" i="1"/>
  <c r="H3445" i="1"/>
  <c r="G3445" i="1"/>
  <c r="F3445" i="1"/>
  <c r="D3445" i="1"/>
  <c r="B3445" i="1"/>
  <c r="A3445" i="1"/>
  <c r="J3444" i="1"/>
  <c r="I3444" i="1"/>
  <c r="H3444" i="1"/>
  <c r="G3444" i="1"/>
  <c r="F3444" i="1"/>
  <c r="D3444" i="1"/>
  <c r="B3444" i="1"/>
  <c r="A3444" i="1"/>
  <c r="J3443" i="1"/>
  <c r="I3443" i="1"/>
  <c r="H3443" i="1"/>
  <c r="G3443" i="1"/>
  <c r="F3443" i="1"/>
  <c r="D3443" i="1"/>
  <c r="B3443" i="1"/>
  <c r="A3443" i="1"/>
  <c r="J3442" i="1"/>
  <c r="I3442" i="1"/>
  <c r="H3442" i="1"/>
  <c r="G3442" i="1"/>
  <c r="F3442" i="1"/>
  <c r="D3442" i="1"/>
  <c r="B3442" i="1"/>
  <c r="A3442" i="1"/>
  <c r="J3441" i="1"/>
  <c r="I3441" i="1"/>
  <c r="H3441" i="1"/>
  <c r="G3441" i="1"/>
  <c r="F3441" i="1"/>
  <c r="D3441" i="1"/>
  <c r="B3441" i="1"/>
  <c r="A3441" i="1"/>
  <c r="J3440" i="1"/>
  <c r="I3440" i="1"/>
  <c r="H3440" i="1"/>
  <c r="G3440" i="1"/>
  <c r="F3440" i="1"/>
  <c r="D3440" i="1"/>
  <c r="B3440" i="1"/>
  <c r="A3440" i="1"/>
  <c r="J3439" i="1"/>
  <c r="I3439" i="1"/>
  <c r="H3439" i="1"/>
  <c r="G3439" i="1"/>
  <c r="F3439" i="1"/>
  <c r="D3439" i="1"/>
  <c r="B3439" i="1"/>
  <c r="A3439" i="1"/>
  <c r="J3438" i="1"/>
  <c r="I3438" i="1"/>
  <c r="H3438" i="1"/>
  <c r="G3438" i="1"/>
  <c r="F3438" i="1"/>
  <c r="D3438" i="1"/>
  <c r="B3438" i="1"/>
  <c r="A3438" i="1"/>
  <c r="J3437" i="1"/>
  <c r="I3437" i="1"/>
  <c r="H3437" i="1"/>
  <c r="G3437" i="1"/>
  <c r="F3437" i="1"/>
  <c r="D3437" i="1"/>
  <c r="B3437" i="1"/>
  <c r="A3437" i="1"/>
  <c r="J3436" i="1"/>
  <c r="I3436" i="1"/>
  <c r="H3436" i="1"/>
  <c r="G3436" i="1"/>
  <c r="F3436" i="1"/>
  <c r="D3436" i="1"/>
  <c r="B3436" i="1"/>
  <c r="A3436" i="1"/>
  <c r="J3435" i="1"/>
  <c r="I3435" i="1"/>
  <c r="H3435" i="1"/>
  <c r="G3435" i="1"/>
  <c r="F3435" i="1"/>
  <c r="D3435" i="1"/>
  <c r="B3435" i="1"/>
  <c r="A3435" i="1"/>
  <c r="J3434" i="1"/>
  <c r="I3434" i="1"/>
  <c r="H3434" i="1"/>
  <c r="G3434" i="1"/>
  <c r="F3434" i="1"/>
  <c r="D3434" i="1"/>
  <c r="B3434" i="1"/>
  <c r="A3434" i="1"/>
  <c r="J3433" i="1"/>
  <c r="I3433" i="1"/>
  <c r="H3433" i="1"/>
  <c r="G3433" i="1"/>
  <c r="F3433" i="1"/>
  <c r="D3433" i="1"/>
  <c r="B3433" i="1"/>
  <c r="A3433" i="1"/>
  <c r="J3432" i="1"/>
  <c r="I3432" i="1"/>
  <c r="H3432" i="1"/>
  <c r="G3432" i="1"/>
  <c r="F3432" i="1"/>
  <c r="D3432" i="1"/>
  <c r="B3432" i="1"/>
  <c r="A3432" i="1"/>
  <c r="J3431" i="1"/>
  <c r="I3431" i="1"/>
  <c r="H3431" i="1"/>
  <c r="G3431" i="1"/>
  <c r="F3431" i="1"/>
  <c r="D3431" i="1"/>
  <c r="B3431" i="1"/>
  <c r="A3431" i="1"/>
  <c r="J3430" i="1"/>
  <c r="I3430" i="1"/>
  <c r="H3430" i="1"/>
  <c r="G3430" i="1"/>
  <c r="F3430" i="1"/>
  <c r="D3430" i="1"/>
  <c r="B3430" i="1"/>
  <c r="A3430" i="1"/>
  <c r="J3429" i="1"/>
  <c r="I3429" i="1"/>
  <c r="H3429" i="1"/>
  <c r="G3429" i="1"/>
  <c r="F3429" i="1"/>
  <c r="D3429" i="1"/>
  <c r="B3429" i="1"/>
  <c r="A3429" i="1"/>
  <c r="J3428" i="1"/>
  <c r="I3428" i="1"/>
  <c r="H3428" i="1"/>
  <c r="G3428" i="1"/>
  <c r="F3428" i="1"/>
  <c r="D3428" i="1"/>
  <c r="B3428" i="1"/>
  <c r="A3428" i="1"/>
  <c r="J3427" i="1"/>
  <c r="I3427" i="1"/>
  <c r="H3427" i="1"/>
  <c r="G3427" i="1"/>
  <c r="F3427" i="1"/>
  <c r="D3427" i="1"/>
  <c r="B3427" i="1"/>
  <c r="A3427" i="1"/>
  <c r="J3426" i="1"/>
  <c r="I3426" i="1"/>
  <c r="H3426" i="1"/>
  <c r="G3426" i="1"/>
  <c r="F3426" i="1"/>
  <c r="D3426" i="1"/>
  <c r="B3426" i="1"/>
  <c r="A3426" i="1"/>
  <c r="J3425" i="1"/>
  <c r="I3425" i="1"/>
  <c r="H3425" i="1"/>
  <c r="G3425" i="1"/>
  <c r="F3425" i="1"/>
  <c r="D3425" i="1"/>
  <c r="B3425" i="1"/>
  <c r="A3425" i="1"/>
  <c r="J3424" i="1"/>
  <c r="I3424" i="1"/>
  <c r="H3424" i="1"/>
  <c r="G3424" i="1"/>
  <c r="F3424" i="1"/>
  <c r="D3424" i="1"/>
  <c r="B3424" i="1"/>
  <c r="A3424" i="1"/>
  <c r="J3423" i="1"/>
  <c r="I3423" i="1"/>
  <c r="H3423" i="1"/>
  <c r="G3423" i="1"/>
  <c r="F3423" i="1"/>
  <c r="D3423" i="1"/>
  <c r="B3423" i="1"/>
  <c r="A3423" i="1"/>
  <c r="J3422" i="1"/>
  <c r="I3422" i="1"/>
  <c r="H3422" i="1"/>
  <c r="G3422" i="1"/>
  <c r="F3422" i="1"/>
  <c r="D3422" i="1"/>
  <c r="B3422" i="1"/>
  <c r="A3422" i="1"/>
  <c r="J3421" i="1"/>
  <c r="I3421" i="1"/>
  <c r="H3421" i="1"/>
  <c r="G3421" i="1"/>
  <c r="F3421" i="1"/>
  <c r="D3421" i="1"/>
  <c r="B3421" i="1"/>
  <c r="A3421" i="1"/>
  <c r="J3420" i="1"/>
  <c r="I3420" i="1"/>
  <c r="H3420" i="1"/>
  <c r="G3420" i="1"/>
  <c r="F3420" i="1"/>
  <c r="D3420" i="1"/>
  <c r="B3420" i="1"/>
  <c r="A3420" i="1"/>
  <c r="J3419" i="1"/>
  <c r="I3419" i="1"/>
  <c r="H3419" i="1"/>
  <c r="G3419" i="1"/>
  <c r="F3419" i="1"/>
  <c r="D3419" i="1"/>
  <c r="B3419" i="1"/>
  <c r="A3419" i="1"/>
  <c r="J3418" i="1"/>
  <c r="I3418" i="1"/>
  <c r="H3418" i="1"/>
  <c r="G3418" i="1"/>
  <c r="F3418" i="1"/>
  <c r="D3418" i="1"/>
  <c r="B3418" i="1"/>
  <c r="A3418" i="1"/>
  <c r="J3417" i="1"/>
  <c r="I3417" i="1"/>
  <c r="H3417" i="1"/>
  <c r="G3417" i="1"/>
  <c r="F3417" i="1"/>
  <c r="D3417" i="1"/>
  <c r="B3417" i="1"/>
  <c r="A3417" i="1"/>
  <c r="J3416" i="1"/>
  <c r="I3416" i="1"/>
  <c r="H3416" i="1"/>
  <c r="G3416" i="1"/>
  <c r="F3416" i="1"/>
  <c r="D3416" i="1"/>
  <c r="B3416" i="1"/>
  <c r="A3416" i="1"/>
  <c r="J3415" i="1"/>
  <c r="I3415" i="1"/>
  <c r="H3415" i="1"/>
  <c r="G3415" i="1"/>
  <c r="F3415" i="1"/>
  <c r="D3415" i="1"/>
  <c r="B3415" i="1"/>
  <c r="A3415" i="1"/>
  <c r="J3414" i="1"/>
  <c r="I3414" i="1"/>
  <c r="H3414" i="1"/>
  <c r="G3414" i="1"/>
  <c r="F3414" i="1"/>
  <c r="D3414" i="1"/>
  <c r="B3414" i="1"/>
  <c r="A3414" i="1"/>
  <c r="J3413" i="1"/>
  <c r="I3413" i="1"/>
  <c r="H3413" i="1"/>
  <c r="G3413" i="1"/>
  <c r="F3413" i="1"/>
  <c r="D3413" i="1"/>
  <c r="B3413" i="1"/>
  <c r="A3413" i="1"/>
  <c r="J3412" i="1"/>
  <c r="I3412" i="1"/>
  <c r="H3412" i="1"/>
  <c r="G3412" i="1"/>
  <c r="F3412" i="1"/>
  <c r="D3412" i="1"/>
  <c r="B3412" i="1"/>
  <c r="A3412" i="1"/>
  <c r="J3411" i="1"/>
  <c r="I3411" i="1"/>
  <c r="H3411" i="1"/>
  <c r="G3411" i="1"/>
  <c r="F3411" i="1"/>
  <c r="D3411" i="1"/>
  <c r="B3411" i="1"/>
  <c r="A3411" i="1"/>
  <c r="J3410" i="1"/>
  <c r="I3410" i="1"/>
  <c r="H3410" i="1"/>
  <c r="G3410" i="1"/>
  <c r="F3410" i="1"/>
  <c r="D3410" i="1"/>
  <c r="B3410" i="1"/>
  <c r="A3410" i="1"/>
  <c r="J3409" i="1"/>
  <c r="I3409" i="1"/>
  <c r="H3409" i="1"/>
  <c r="G3409" i="1"/>
  <c r="F3409" i="1"/>
  <c r="D3409" i="1"/>
  <c r="B3409" i="1"/>
  <c r="A3409" i="1"/>
  <c r="J3408" i="1"/>
  <c r="I3408" i="1"/>
  <c r="H3408" i="1"/>
  <c r="G3408" i="1"/>
  <c r="F3408" i="1"/>
  <c r="D3408" i="1"/>
  <c r="B3408" i="1"/>
  <c r="A3408" i="1"/>
  <c r="J3407" i="1"/>
  <c r="I3407" i="1"/>
  <c r="H3407" i="1"/>
  <c r="G3407" i="1"/>
  <c r="F3407" i="1"/>
  <c r="D3407" i="1"/>
  <c r="B3407" i="1"/>
  <c r="A3407" i="1"/>
  <c r="J3406" i="1"/>
  <c r="I3406" i="1"/>
  <c r="H3406" i="1"/>
  <c r="G3406" i="1"/>
  <c r="F3406" i="1"/>
  <c r="D3406" i="1"/>
  <c r="B3406" i="1"/>
  <c r="A3406" i="1"/>
  <c r="J3405" i="1"/>
  <c r="I3405" i="1"/>
  <c r="H3405" i="1"/>
  <c r="G3405" i="1"/>
  <c r="F3405" i="1"/>
  <c r="D3405" i="1"/>
  <c r="B3405" i="1"/>
  <c r="A3405" i="1"/>
  <c r="J3404" i="1"/>
  <c r="I3404" i="1"/>
  <c r="H3404" i="1"/>
  <c r="G3404" i="1"/>
  <c r="F3404" i="1"/>
  <c r="D3404" i="1"/>
  <c r="B3404" i="1"/>
  <c r="A3404" i="1"/>
  <c r="J3403" i="1"/>
  <c r="I3403" i="1"/>
  <c r="H3403" i="1"/>
  <c r="G3403" i="1"/>
  <c r="F3403" i="1"/>
  <c r="D3403" i="1"/>
  <c r="B3403" i="1"/>
  <c r="A3403" i="1"/>
  <c r="J3402" i="1"/>
  <c r="I3402" i="1"/>
  <c r="H3402" i="1"/>
  <c r="G3402" i="1"/>
  <c r="F3402" i="1"/>
  <c r="D3402" i="1"/>
  <c r="B3402" i="1"/>
  <c r="A3402" i="1"/>
  <c r="J3401" i="1"/>
  <c r="I3401" i="1"/>
  <c r="H3401" i="1"/>
  <c r="G3401" i="1"/>
  <c r="F3401" i="1"/>
  <c r="D3401" i="1"/>
  <c r="B3401" i="1"/>
  <c r="A3401" i="1"/>
  <c r="J3400" i="1"/>
  <c r="I3400" i="1"/>
  <c r="H3400" i="1"/>
  <c r="G3400" i="1"/>
  <c r="F3400" i="1"/>
  <c r="D3400" i="1"/>
  <c r="B3400" i="1"/>
  <c r="A3400" i="1"/>
  <c r="J3399" i="1"/>
  <c r="I3399" i="1"/>
  <c r="H3399" i="1"/>
  <c r="G3399" i="1"/>
  <c r="F3399" i="1"/>
  <c r="D3399" i="1"/>
  <c r="B3399" i="1"/>
  <c r="A3399" i="1"/>
  <c r="J3398" i="1"/>
  <c r="I3398" i="1"/>
  <c r="H3398" i="1"/>
  <c r="G3398" i="1"/>
  <c r="F3398" i="1"/>
  <c r="D3398" i="1"/>
  <c r="B3398" i="1"/>
  <c r="A3398" i="1"/>
  <c r="J3397" i="1"/>
  <c r="I3397" i="1"/>
  <c r="H3397" i="1"/>
  <c r="G3397" i="1"/>
  <c r="F3397" i="1"/>
  <c r="D3397" i="1"/>
  <c r="B3397" i="1"/>
  <c r="A3397" i="1"/>
  <c r="J3396" i="1"/>
  <c r="I3396" i="1"/>
  <c r="H3396" i="1"/>
  <c r="G3396" i="1"/>
  <c r="F3396" i="1"/>
  <c r="D3396" i="1"/>
  <c r="B3396" i="1"/>
  <c r="A3396" i="1"/>
  <c r="J3395" i="1"/>
  <c r="I3395" i="1"/>
  <c r="H3395" i="1"/>
  <c r="G3395" i="1"/>
  <c r="F3395" i="1"/>
  <c r="D3395" i="1"/>
  <c r="B3395" i="1"/>
  <c r="A3395" i="1"/>
  <c r="J3394" i="1"/>
  <c r="I3394" i="1"/>
  <c r="H3394" i="1"/>
  <c r="G3394" i="1"/>
  <c r="F3394" i="1"/>
  <c r="D3394" i="1"/>
  <c r="B3394" i="1"/>
  <c r="A3394" i="1"/>
  <c r="J3393" i="1"/>
  <c r="I3393" i="1"/>
  <c r="H3393" i="1"/>
  <c r="G3393" i="1"/>
  <c r="F3393" i="1"/>
  <c r="D3393" i="1"/>
  <c r="B3393" i="1"/>
  <c r="A3393" i="1"/>
  <c r="J3392" i="1"/>
  <c r="I3392" i="1"/>
  <c r="H3392" i="1"/>
  <c r="G3392" i="1"/>
  <c r="F3392" i="1"/>
  <c r="D3392" i="1"/>
  <c r="B3392" i="1"/>
  <c r="A3392" i="1"/>
  <c r="J3391" i="1"/>
  <c r="I3391" i="1"/>
  <c r="H3391" i="1"/>
  <c r="G3391" i="1"/>
  <c r="F3391" i="1"/>
  <c r="D3391" i="1"/>
  <c r="B3391" i="1"/>
  <c r="A3391" i="1"/>
  <c r="J3390" i="1"/>
  <c r="I3390" i="1"/>
  <c r="H3390" i="1"/>
  <c r="G3390" i="1"/>
  <c r="F3390" i="1"/>
  <c r="D3390" i="1"/>
  <c r="B3390" i="1"/>
  <c r="A3390" i="1"/>
  <c r="J3389" i="1"/>
  <c r="I3389" i="1"/>
  <c r="H3389" i="1"/>
  <c r="G3389" i="1"/>
  <c r="F3389" i="1"/>
  <c r="D3389" i="1"/>
  <c r="B3389" i="1"/>
  <c r="A3389" i="1"/>
  <c r="J3388" i="1"/>
  <c r="I3388" i="1"/>
  <c r="H3388" i="1"/>
  <c r="G3388" i="1"/>
  <c r="F3388" i="1"/>
  <c r="D3388" i="1"/>
  <c r="B3388" i="1"/>
  <c r="A3388" i="1"/>
  <c r="J3387" i="1"/>
  <c r="I3387" i="1"/>
  <c r="H3387" i="1"/>
  <c r="G3387" i="1"/>
  <c r="F3387" i="1"/>
  <c r="D3387" i="1"/>
  <c r="B3387" i="1"/>
  <c r="A3387" i="1"/>
  <c r="J3386" i="1"/>
  <c r="I3386" i="1"/>
  <c r="H3386" i="1"/>
  <c r="G3386" i="1"/>
  <c r="F3386" i="1"/>
  <c r="D3386" i="1"/>
  <c r="B3386" i="1"/>
  <c r="A3386" i="1"/>
  <c r="J3385" i="1"/>
  <c r="I3385" i="1"/>
  <c r="H3385" i="1"/>
  <c r="G3385" i="1"/>
  <c r="F3385" i="1"/>
  <c r="D3385" i="1"/>
  <c r="B3385" i="1"/>
  <c r="A3385" i="1"/>
  <c r="J3384" i="1"/>
  <c r="I3384" i="1"/>
  <c r="H3384" i="1"/>
  <c r="G3384" i="1"/>
  <c r="F3384" i="1"/>
  <c r="D3384" i="1"/>
  <c r="B3384" i="1"/>
  <c r="A3384" i="1"/>
  <c r="J3383" i="1"/>
  <c r="I3383" i="1"/>
  <c r="H3383" i="1"/>
  <c r="G3383" i="1"/>
  <c r="F3383" i="1"/>
  <c r="D3383" i="1"/>
  <c r="B3383" i="1"/>
  <c r="A3383" i="1"/>
  <c r="J3382" i="1"/>
  <c r="I3382" i="1"/>
  <c r="H3382" i="1"/>
  <c r="G3382" i="1"/>
  <c r="F3382" i="1"/>
  <c r="D3382" i="1"/>
  <c r="B3382" i="1"/>
  <c r="A3382" i="1"/>
  <c r="J3381" i="1"/>
  <c r="I3381" i="1"/>
  <c r="H3381" i="1"/>
  <c r="G3381" i="1"/>
  <c r="F3381" i="1"/>
  <c r="D3381" i="1"/>
  <c r="B3381" i="1"/>
  <c r="A3381" i="1"/>
  <c r="J3380" i="1"/>
  <c r="I3380" i="1"/>
  <c r="H3380" i="1"/>
  <c r="G3380" i="1"/>
  <c r="F3380" i="1"/>
  <c r="D3380" i="1"/>
  <c r="B3380" i="1"/>
  <c r="A3380" i="1"/>
  <c r="J3379" i="1"/>
  <c r="I3379" i="1"/>
  <c r="H3379" i="1"/>
  <c r="G3379" i="1"/>
  <c r="F3379" i="1"/>
  <c r="D3379" i="1"/>
  <c r="B3379" i="1"/>
  <c r="A3379" i="1"/>
  <c r="J3378" i="1"/>
  <c r="I3378" i="1"/>
  <c r="H3378" i="1"/>
  <c r="G3378" i="1"/>
  <c r="F3378" i="1"/>
  <c r="D3378" i="1"/>
  <c r="B3378" i="1"/>
  <c r="A3378" i="1"/>
  <c r="J3377" i="1"/>
  <c r="I3377" i="1"/>
  <c r="H3377" i="1"/>
  <c r="G3377" i="1"/>
  <c r="F3377" i="1"/>
  <c r="D3377" i="1"/>
  <c r="B3377" i="1"/>
  <c r="A3377" i="1"/>
  <c r="J3376" i="1"/>
  <c r="I3376" i="1"/>
  <c r="H3376" i="1"/>
  <c r="G3376" i="1"/>
  <c r="F3376" i="1"/>
  <c r="D3376" i="1"/>
  <c r="B3376" i="1"/>
  <c r="A3376" i="1"/>
  <c r="J3375" i="1"/>
  <c r="I3375" i="1"/>
  <c r="H3375" i="1"/>
  <c r="G3375" i="1"/>
  <c r="F3375" i="1"/>
  <c r="D3375" i="1"/>
  <c r="B3375" i="1"/>
  <c r="A3375" i="1"/>
  <c r="J3374" i="1"/>
  <c r="I3374" i="1"/>
  <c r="H3374" i="1"/>
  <c r="G3374" i="1"/>
  <c r="F3374" i="1"/>
  <c r="D3374" i="1"/>
  <c r="B3374" i="1"/>
  <c r="A3374" i="1"/>
  <c r="J3373" i="1"/>
  <c r="I3373" i="1"/>
  <c r="H3373" i="1"/>
  <c r="G3373" i="1"/>
  <c r="F3373" i="1"/>
  <c r="D3373" i="1"/>
  <c r="B3373" i="1"/>
  <c r="A3373" i="1"/>
  <c r="J3372" i="1"/>
  <c r="I3372" i="1"/>
  <c r="H3372" i="1"/>
  <c r="G3372" i="1"/>
  <c r="F3372" i="1"/>
  <c r="D3372" i="1"/>
  <c r="B3372" i="1"/>
  <c r="A3372" i="1"/>
  <c r="J3371" i="1"/>
  <c r="I3371" i="1"/>
  <c r="H3371" i="1"/>
  <c r="G3371" i="1"/>
  <c r="F3371" i="1"/>
  <c r="D3371" i="1"/>
  <c r="B3371" i="1"/>
  <c r="A3371" i="1"/>
  <c r="J3370" i="1"/>
  <c r="I3370" i="1"/>
  <c r="H3370" i="1"/>
  <c r="G3370" i="1"/>
  <c r="F3370" i="1"/>
  <c r="D3370" i="1"/>
  <c r="B3370" i="1"/>
  <c r="A3370" i="1"/>
  <c r="J3369" i="1"/>
  <c r="I3369" i="1"/>
  <c r="H3369" i="1"/>
  <c r="G3369" i="1"/>
  <c r="F3369" i="1"/>
  <c r="D3369" i="1"/>
  <c r="B3369" i="1"/>
  <c r="A3369" i="1"/>
  <c r="J3368" i="1"/>
  <c r="I3368" i="1"/>
  <c r="H3368" i="1"/>
  <c r="G3368" i="1"/>
  <c r="F3368" i="1"/>
  <c r="D3368" i="1"/>
  <c r="B3368" i="1"/>
  <c r="A3368" i="1"/>
  <c r="J3367" i="1"/>
  <c r="I3367" i="1"/>
  <c r="H3367" i="1"/>
  <c r="G3367" i="1"/>
  <c r="F3367" i="1"/>
  <c r="D3367" i="1"/>
  <c r="B3367" i="1"/>
  <c r="A3367" i="1"/>
  <c r="J3366" i="1"/>
  <c r="I3366" i="1"/>
  <c r="H3366" i="1"/>
  <c r="G3366" i="1"/>
  <c r="F3366" i="1"/>
  <c r="D3366" i="1"/>
  <c r="B3366" i="1"/>
  <c r="A3366" i="1"/>
  <c r="J3365" i="1"/>
  <c r="I3365" i="1"/>
  <c r="H3365" i="1"/>
  <c r="G3365" i="1"/>
  <c r="F3365" i="1"/>
  <c r="D3365" i="1"/>
  <c r="B3365" i="1"/>
  <c r="A3365" i="1"/>
  <c r="J3364" i="1"/>
  <c r="I3364" i="1"/>
  <c r="H3364" i="1"/>
  <c r="G3364" i="1"/>
  <c r="F3364" i="1"/>
  <c r="D3364" i="1"/>
  <c r="B3364" i="1"/>
  <c r="A3364" i="1"/>
  <c r="J3363" i="1"/>
  <c r="I3363" i="1"/>
  <c r="H3363" i="1"/>
  <c r="G3363" i="1"/>
  <c r="F3363" i="1"/>
  <c r="D3363" i="1"/>
  <c r="B3363" i="1"/>
  <c r="A3363" i="1"/>
  <c r="J3362" i="1"/>
  <c r="I3362" i="1"/>
  <c r="H3362" i="1"/>
  <c r="G3362" i="1"/>
  <c r="F3362" i="1"/>
  <c r="D3362" i="1"/>
  <c r="B3362" i="1"/>
  <c r="A3362" i="1"/>
  <c r="J3361" i="1"/>
  <c r="I3361" i="1"/>
  <c r="H3361" i="1"/>
  <c r="G3361" i="1"/>
  <c r="F3361" i="1"/>
  <c r="D3361" i="1"/>
  <c r="B3361" i="1"/>
  <c r="A3361" i="1"/>
  <c r="J3360" i="1"/>
  <c r="I3360" i="1"/>
  <c r="H3360" i="1"/>
  <c r="G3360" i="1"/>
  <c r="F3360" i="1"/>
  <c r="D3360" i="1"/>
  <c r="B3360" i="1"/>
  <c r="A3360" i="1"/>
  <c r="J3359" i="1"/>
  <c r="I3359" i="1"/>
  <c r="H3359" i="1"/>
  <c r="G3359" i="1"/>
  <c r="F3359" i="1"/>
  <c r="D3359" i="1"/>
  <c r="B3359" i="1"/>
  <c r="A3359" i="1"/>
  <c r="J3358" i="1"/>
  <c r="I3358" i="1"/>
  <c r="H3358" i="1"/>
  <c r="G3358" i="1"/>
  <c r="F3358" i="1"/>
  <c r="D3358" i="1"/>
  <c r="B3358" i="1"/>
  <c r="A3358" i="1"/>
  <c r="J3357" i="1"/>
  <c r="I3357" i="1"/>
  <c r="H3357" i="1"/>
  <c r="G3357" i="1"/>
  <c r="F3357" i="1"/>
  <c r="D3357" i="1"/>
  <c r="B3357" i="1"/>
  <c r="A3357" i="1"/>
  <c r="J3356" i="1"/>
  <c r="I3356" i="1"/>
  <c r="H3356" i="1"/>
  <c r="G3356" i="1"/>
  <c r="F3356" i="1"/>
  <c r="D3356" i="1"/>
  <c r="B3356" i="1"/>
  <c r="A3356" i="1"/>
  <c r="J3355" i="1"/>
  <c r="I3355" i="1"/>
  <c r="H3355" i="1"/>
  <c r="G3355" i="1"/>
  <c r="F3355" i="1"/>
  <c r="D3355" i="1"/>
  <c r="B3355" i="1"/>
  <c r="A3355" i="1"/>
  <c r="J3354" i="1"/>
  <c r="I3354" i="1"/>
  <c r="H3354" i="1"/>
  <c r="G3354" i="1"/>
  <c r="F3354" i="1"/>
  <c r="D3354" i="1"/>
  <c r="B3354" i="1"/>
  <c r="A3354" i="1"/>
  <c r="J3353" i="1"/>
  <c r="I3353" i="1"/>
  <c r="H3353" i="1"/>
  <c r="G3353" i="1"/>
  <c r="F3353" i="1"/>
  <c r="D3353" i="1"/>
  <c r="B3353" i="1"/>
  <c r="A3353" i="1"/>
  <c r="J3352" i="1"/>
  <c r="I3352" i="1"/>
  <c r="H3352" i="1"/>
  <c r="G3352" i="1"/>
  <c r="F3352" i="1"/>
  <c r="D3352" i="1"/>
  <c r="B3352" i="1"/>
  <c r="A3352" i="1"/>
  <c r="J3351" i="1"/>
  <c r="I3351" i="1"/>
  <c r="H3351" i="1"/>
  <c r="G3351" i="1"/>
  <c r="F3351" i="1"/>
  <c r="D3351" i="1"/>
  <c r="B3351" i="1"/>
  <c r="A3351" i="1"/>
  <c r="J3350" i="1"/>
  <c r="I3350" i="1"/>
  <c r="H3350" i="1"/>
  <c r="G3350" i="1"/>
  <c r="F3350" i="1"/>
  <c r="D3350" i="1"/>
  <c r="B3350" i="1"/>
  <c r="A3350" i="1"/>
  <c r="J3349" i="1"/>
  <c r="I3349" i="1"/>
  <c r="H3349" i="1"/>
  <c r="G3349" i="1"/>
  <c r="F3349" i="1"/>
  <c r="D3349" i="1"/>
  <c r="B3349" i="1"/>
  <c r="A3349" i="1"/>
  <c r="J3348" i="1"/>
  <c r="I3348" i="1"/>
  <c r="H3348" i="1"/>
  <c r="G3348" i="1"/>
  <c r="F3348" i="1"/>
  <c r="D3348" i="1"/>
  <c r="B3348" i="1"/>
  <c r="A3348" i="1"/>
  <c r="J3347" i="1"/>
  <c r="I3347" i="1"/>
  <c r="H3347" i="1"/>
  <c r="G3347" i="1"/>
  <c r="F3347" i="1"/>
  <c r="D3347" i="1"/>
  <c r="B3347" i="1"/>
  <c r="A3347" i="1"/>
  <c r="J3346" i="1"/>
  <c r="I3346" i="1"/>
  <c r="H3346" i="1"/>
  <c r="G3346" i="1"/>
  <c r="F3346" i="1"/>
  <c r="D3346" i="1"/>
  <c r="B3346" i="1"/>
  <c r="A3346" i="1"/>
  <c r="J3345" i="1"/>
  <c r="I3345" i="1"/>
  <c r="H3345" i="1"/>
  <c r="G3345" i="1"/>
  <c r="F3345" i="1"/>
  <c r="D3345" i="1"/>
  <c r="B3345" i="1"/>
  <c r="A3345" i="1"/>
  <c r="J3344" i="1"/>
  <c r="I3344" i="1"/>
  <c r="H3344" i="1"/>
  <c r="G3344" i="1"/>
  <c r="F3344" i="1"/>
  <c r="D3344" i="1"/>
  <c r="B3344" i="1"/>
  <c r="A3344" i="1"/>
  <c r="J3343" i="1"/>
  <c r="I3343" i="1"/>
  <c r="H3343" i="1"/>
  <c r="G3343" i="1"/>
  <c r="F3343" i="1"/>
  <c r="D3343" i="1"/>
  <c r="B3343" i="1"/>
  <c r="A3343" i="1"/>
  <c r="J3342" i="1"/>
  <c r="I3342" i="1"/>
  <c r="H3342" i="1"/>
  <c r="G3342" i="1"/>
  <c r="F3342" i="1"/>
  <c r="D3342" i="1"/>
  <c r="B3342" i="1"/>
  <c r="A3342" i="1"/>
  <c r="J3341" i="1"/>
  <c r="I3341" i="1"/>
  <c r="H3341" i="1"/>
  <c r="G3341" i="1"/>
  <c r="F3341" i="1"/>
  <c r="D3341" i="1"/>
  <c r="B3341" i="1"/>
  <c r="A3341" i="1"/>
  <c r="J3340" i="1"/>
  <c r="I3340" i="1"/>
  <c r="H3340" i="1"/>
  <c r="G3340" i="1"/>
  <c r="F3340" i="1"/>
  <c r="D3340" i="1"/>
  <c r="B3340" i="1"/>
  <c r="A3340" i="1"/>
  <c r="J3339" i="1"/>
  <c r="I3339" i="1"/>
  <c r="H3339" i="1"/>
  <c r="G3339" i="1"/>
  <c r="F3339" i="1"/>
  <c r="D3339" i="1"/>
  <c r="B3339" i="1"/>
  <c r="A3339" i="1"/>
  <c r="J3338" i="1"/>
  <c r="I3338" i="1"/>
  <c r="H3338" i="1"/>
  <c r="G3338" i="1"/>
  <c r="F3338" i="1"/>
  <c r="D3338" i="1"/>
  <c r="B3338" i="1"/>
  <c r="A3338" i="1"/>
  <c r="J3337" i="1"/>
  <c r="I3337" i="1"/>
  <c r="H3337" i="1"/>
  <c r="G3337" i="1"/>
  <c r="F3337" i="1"/>
  <c r="D3337" i="1"/>
  <c r="B3337" i="1"/>
  <c r="A3337" i="1"/>
  <c r="J3336" i="1"/>
  <c r="I3336" i="1"/>
  <c r="H3336" i="1"/>
  <c r="G3336" i="1"/>
  <c r="F3336" i="1"/>
  <c r="D3336" i="1"/>
  <c r="B3336" i="1"/>
  <c r="A3336" i="1"/>
  <c r="J3335" i="1"/>
  <c r="I3335" i="1"/>
  <c r="H3335" i="1"/>
  <c r="G3335" i="1"/>
  <c r="F3335" i="1"/>
  <c r="D3335" i="1"/>
  <c r="B3335" i="1"/>
  <c r="A3335" i="1"/>
  <c r="J3334" i="1"/>
  <c r="I3334" i="1"/>
  <c r="H3334" i="1"/>
  <c r="G3334" i="1"/>
  <c r="F3334" i="1"/>
  <c r="D3334" i="1"/>
  <c r="B3334" i="1"/>
  <c r="A3334" i="1"/>
  <c r="J3333" i="1"/>
  <c r="I3333" i="1"/>
  <c r="H3333" i="1"/>
  <c r="G3333" i="1"/>
  <c r="F3333" i="1"/>
  <c r="D3333" i="1"/>
  <c r="B3333" i="1"/>
  <c r="A3333" i="1"/>
  <c r="J3332" i="1"/>
  <c r="I3332" i="1"/>
  <c r="H3332" i="1"/>
  <c r="G3332" i="1"/>
  <c r="F3332" i="1"/>
  <c r="D3332" i="1"/>
  <c r="B3332" i="1"/>
  <c r="A3332" i="1"/>
  <c r="J3331" i="1"/>
  <c r="I3331" i="1"/>
  <c r="H3331" i="1"/>
  <c r="G3331" i="1"/>
  <c r="F3331" i="1"/>
  <c r="D3331" i="1"/>
  <c r="B3331" i="1"/>
  <c r="A3331" i="1"/>
  <c r="J3330" i="1"/>
  <c r="I3330" i="1"/>
  <c r="H3330" i="1"/>
  <c r="G3330" i="1"/>
  <c r="F3330" i="1"/>
  <c r="D3330" i="1"/>
  <c r="B3330" i="1"/>
  <c r="A3330" i="1"/>
  <c r="J3329" i="1"/>
  <c r="I3329" i="1"/>
  <c r="H3329" i="1"/>
  <c r="G3329" i="1"/>
  <c r="F3329" i="1"/>
  <c r="D3329" i="1"/>
  <c r="B3329" i="1"/>
  <c r="A3329" i="1"/>
  <c r="J3328" i="1"/>
  <c r="I3328" i="1"/>
  <c r="H3328" i="1"/>
  <c r="G3328" i="1"/>
  <c r="F3328" i="1"/>
  <c r="D3328" i="1"/>
  <c r="B3328" i="1"/>
  <c r="A3328" i="1"/>
  <c r="J3327" i="1"/>
  <c r="I3327" i="1"/>
  <c r="H3327" i="1"/>
  <c r="G3327" i="1"/>
  <c r="F3327" i="1"/>
  <c r="D3327" i="1"/>
  <c r="B3327" i="1"/>
  <c r="A3327" i="1"/>
  <c r="J3326" i="1"/>
  <c r="I3326" i="1"/>
  <c r="H3326" i="1"/>
  <c r="G3326" i="1"/>
  <c r="F3326" i="1"/>
  <c r="D3326" i="1"/>
  <c r="B3326" i="1"/>
  <c r="A3326" i="1"/>
  <c r="J3325" i="1"/>
  <c r="I3325" i="1"/>
  <c r="H3325" i="1"/>
  <c r="G3325" i="1"/>
  <c r="F3325" i="1"/>
  <c r="D3325" i="1"/>
  <c r="B3325" i="1"/>
  <c r="A3325" i="1"/>
  <c r="J3324" i="1"/>
  <c r="I3324" i="1"/>
  <c r="H3324" i="1"/>
  <c r="G3324" i="1"/>
  <c r="F3324" i="1"/>
  <c r="D3324" i="1"/>
  <c r="B3324" i="1"/>
  <c r="A3324" i="1"/>
  <c r="J3323" i="1"/>
  <c r="I3323" i="1"/>
  <c r="H3323" i="1"/>
  <c r="G3323" i="1"/>
  <c r="F3323" i="1"/>
  <c r="D3323" i="1"/>
  <c r="B3323" i="1"/>
  <c r="A3323" i="1"/>
  <c r="J3322" i="1"/>
  <c r="I3322" i="1"/>
  <c r="H3322" i="1"/>
  <c r="G3322" i="1"/>
  <c r="F3322" i="1"/>
  <c r="D3322" i="1"/>
  <c r="B3322" i="1"/>
  <c r="A3322" i="1"/>
  <c r="J3321" i="1"/>
  <c r="I3321" i="1"/>
  <c r="H3321" i="1"/>
  <c r="G3321" i="1"/>
  <c r="F3321" i="1"/>
  <c r="D3321" i="1"/>
  <c r="B3321" i="1"/>
  <c r="A3321" i="1"/>
  <c r="J3320" i="1"/>
  <c r="I3320" i="1"/>
  <c r="H3320" i="1"/>
  <c r="G3320" i="1"/>
  <c r="F3320" i="1"/>
  <c r="D3320" i="1"/>
  <c r="B3320" i="1"/>
  <c r="A3320" i="1"/>
  <c r="J3319" i="1"/>
  <c r="I3319" i="1"/>
  <c r="H3319" i="1"/>
  <c r="G3319" i="1"/>
  <c r="F3319" i="1"/>
  <c r="D3319" i="1"/>
  <c r="B3319" i="1"/>
  <c r="A3319" i="1"/>
  <c r="J3318" i="1"/>
  <c r="I3318" i="1"/>
  <c r="H3318" i="1"/>
  <c r="G3318" i="1"/>
  <c r="F3318" i="1"/>
  <c r="D3318" i="1"/>
  <c r="B3318" i="1"/>
  <c r="A3318" i="1"/>
  <c r="J3317" i="1"/>
  <c r="I3317" i="1"/>
  <c r="H3317" i="1"/>
  <c r="G3317" i="1"/>
  <c r="F3317" i="1"/>
  <c r="D3317" i="1"/>
  <c r="B3317" i="1"/>
  <c r="A3317" i="1"/>
  <c r="J3316" i="1"/>
  <c r="I3316" i="1"/>
  <c r="H3316" i="1"/>
  <c r="G3316" i="1"/>
  <c r="F3316" i="1"/>
  <c r="D3316" i="1"/>
  <c r="B3316" i="1"/>
  <c r="A3316" i="1"/>
  <c r="J3315" i="1"/>
  <c r="I3315" i="1"/>
  <c r="H3315" i="1"/>
  <c r="G3315" i="1"/>
  <c r="F3315" i="1"/>
  <c r="D3315" i="1"/>
  <c r="B3315" i="1"/>
  <c r="A3315" i="1"/>
  <c r="J3314" i="1"/>
  <c r="I3314" i="1"/>
  <c r="H3314" i="1"/>
  <c r="G3314" i="1"/>
  <c r="F3314" i="1"/>
  <c r="D3314" i="1"/>
  <c r="B3314" i="1"/>
  <c r="A3314" i="1"/>
  <c r="J3313" i="1"/>
  <c r="I3313" i="1"/>
  <c r="H3313" i="1"/>
  <c r="G3313" i="1"/>
  <c r="F3313" i="1"/>
  <c r="D3313" i="1"/>
  <c r="B3313" i="1"/>
  <c r="A3313" i="1"/>
  <c r="J3312" i="1"/>
  <c r="I3312" i="1"/>
  <c r="H3312" i="1"/>
  <c r="G3312" i="1"/>
  <c r="F3312" i="1"/>
  <c r="D3312" i="1"/>
  <c r="B3312" i="1"/>
  <c r="A3312" i="1"/>
  <c r="J3311" i="1"/>
  <c r="I3311" i="1"/>
  <c r="H3311" i="1"/>
  <c r="G3311" i="1"/>
  <c r="F3311" i="1"/>
  <c r="D3311" i="1"/>
  <c r="B3311" i="1"/>
  <c r="A3311" i="1"/>
  <c r="J3310" i="1"/>
  <c r="I3310" i="1"/>
  <c r="H3310" i="1"/>
  <c r="G3310" i="1"/>
  <c r="F3310" i="1"/>
  <c r="D3310" i="1"/>
  <c r="B3310" i="1"/>
  <c r="A3310" i="1"/>
  <c r="J3309" i="1"/>
  <c r="I3309" i="1"/>
  <c r="H3309" i="1"/>
  <c r="G3309" i="1"/>
  <c r="F3309" i="1"/>
  <c r="D3309" i="1"/>
  <c r="B3309" i="1"/>
  <c r="A3309" i="1"/>
  <c r="J3308" i="1"/>
  <c r="I3308" i="1"/>
  <c r="H3308" i="1"/>
  <c r="G3308" i="1"/>
  <c r="F3308" i="1"/>
  <c r="D3308" i="1"/>
  <c r="B3308" i="1"/>
  <c r="A3308" i="1"/>
  <c r="J3307" i="1"/>
  <c r="I3307" i="1"/>
  <c r="H3307" i="1"/>
  <c r="G3307" i="1"/>
  <c r="F3307" i="1"/>
  <c r="D3307" i="1"/>
  <c r="B3307" i="1"/>
  <c r="A3307" i="1"/>
  <c r="J3306" i="1"/>
  <c r="I3306" i="1"/>
  <c r="H3306" i="1"/>
  <c r="G3306" i="1"/>
  <c r="F3306" i="1"/>
  <c r="D3306" i="1"/>
  <c r="B3306" i="1"/>
  <c r="A3306" i="1"/>
  <c r="J3305" i="1"/>
  <c r="I3305" i="1"/>
  <c r="H3305" i="1"/>
  <c r="G3305" i="1"/>
  <c r="F3305" i="1"/>
  <c r="D3305" i="1"/>
  <c r="B3305" i="1"/>
  <c r="A3305" i="1"/>
  <c r="J3304" i="1"/>
  <c r="I3304" i="1"/>
  <c r="H3304" i="1"/>
  <c r="G3304" i="1"/>
  <c r="F3304" i="1"/>
  <c r="D3304" i="1"/>
  <c r="B3304" i="1"/>
  <c r="A3304" i="1"/>
  <c r="J3303" i="1"/>
  <c r="I3303" i="1"/>
  <c r="H3303" i="1"/>
  <c r="G3303" i="1"/>
  <c r="F3303" i="1"/>
  <c r="D3303" i="1"/>
  <c r="B3303" i="1"/>
  <c r="A3303" i="1"/>
  <c r="J3302" i="1"/>
  <c r="I3302" i="1"/>
  <c r="H3302" i="1"/>
  <c r="G3302" i="1"/>
  <c r="F3302" i="1"/>
  <c r="D3302" i="1"/>
  <c r="B3302" i="1"/>
  <c r="A3302" i="1"/>
  <c r="J3301" i="1"/>
  <c r="I3301" i="1"/>
  <c r="H3301" i="1"/>
  <c r="G3301" i="1"/>
  <c r="F3301" i="1"/>
  <c r="D3301" i="1"/>
  <c r="B3301" i="1"/>
  <c r="A3301" i="1"/>
  <c r="J3300" i="1"/>
  <c r="I3300" i="1"/>
  <c r="H3300" i="1"/>
  <c r="G3300" i="1"/>
  <c r="F3300" i="1"/>
  <c r="D3300" i="1"/>
  <c r="B3300" i="1"/>
  <c r="A3300" i="1"/>
  <c r="J3299" i="1"/>
  <c r="I3299" i="1"/>
  <c r="H3299" i="1"/>
  <c r="G3299" i="1"/>
  <c r="F3299" i="1"/>
  <c r="D3299" i="1"/>
  <c r="B3299" i="1"/>
  <c r="A3299" i="1"/>
  <c r="J3298" i="1"/>
  <c r="I3298" i="1"/>
  <c r="H3298" i="1"/>
  <c r="G3298" i="1"/>
  <c r="F3298" i="1"/>
  <c r="D3298" i="1"/>
  <c r="B3298" i="1"/>
  <c r="A3298" i="1"/>
  <c r="J3297" i="1"/>
  <c r="I3297" i="1"/>
  <c r="H3297" i="1"/>
  <c r="G3297" i="1"/>
  <c r="F3297" i="1"/>
  <c r="D3297" i="1"/>
  <c r="B3297" i="1"/>
  <c r="A3297" i="1"/>
  <c r="J3296" i="1"/>
  <c r="I3296" i="1"/>
  <c r="H3296" i="1"/>
  <c r="G3296" i="1"/>
  <c r="F3296" i="1"/>
  <c r="D3296" i="1"/>
  <c r="B3296" i="1"/>
  <c r="A3296" i="1"/>
  <c r="J3295" i="1"/>
  <c r="I3295" i="1"/>
  <c r="H3295" i="1"/>
  <c r="G3295" i="1"/>
  <c r="F3295" i="1"/>
  <c r="D3295" i="1"/>
  <c r="B3295" i="1"/>
  <c r="A3295" i="1"/>
  <c r="J3294" i="1"/>
  <c r="I3294" i="1"/>
  <c r="H3294" i="1"/>
  <c r="G3294" i="1"/>
  <c r="F3294" i="1"/>
  <c r="D3294" i="1"/>
  <c r="B3294" i="1"/>
  <c r="A3294" i="1"/>
  <c r="J3293" i="1"/>
  <c r="I3293" i="1"/>
  <c r="H3293" i="1"/>
  <c r="G3293" i="1"/>
  <c r="F3293" i="1"/>
  <c r="D3293" i="1"/>
  <c r="B3293" i="1"/>
  <c r="A3293" i="1"/>
  <c r="J3292" i="1"/>
  <c r="I3292" i="1"/>
  <c r="H3292" i="1"/>
  <c r="G3292" i="1"/>
  <c r="F3292" i="1"/>
  <c r="D3292" i="1"/>
  <c r="B3292" i="1"/>
  <c r="A3292" i="1"/>
  <c r="J3291" i="1"/>
  <c r="I3291" i="1"/>
  <c r="H3291" i="1"/>
  <c r="G3291" i="1"/>
  <c r="F3291" i="1"/>
  <c r="D3291" i="1"/>
  <c r="B3291" i="1"/>
  <c r="A3291" i="1"/>
  <c r="J3290" i="1"/>
  <c r="I3290" i="1"/>
  <c r="H3290" i="1"/>
  <c r="G3290" i="1"/>
  <c r="F3290" i="1"/>
  <c r="D3290" i="1"/>
  <c r="B3290" i="1"/>
  <c r="A3290" i="1"/>
  <c r="J3289" i="1"/>
  <c r="I3289" i="1"/>
  <c r="H3289" i="1"/>
  <c r="G3289" i="1"/>
  <c r="F3289" i="1"/>
  <c r="D3289" i="1"/>
  <c r="B3289" i="1"/>
  <c r="A3289" i="1"/>
  <c r="J3288" i="1"/>
  <c r="I3288" i="1"/>
  <c r="H3288" i="1"/>
  <c r="G3288" i="1"/>
  <c r="F3288" i="1"/>
  <c r="D3288" i="1"/>
  <c r="B3288" i="1"/>
  <c r="A3288" i="1"/>
  <c r="J3287" i="1"/>
  <c r="I3287" i="1"/>
  <c r="H3287" i="1"/>
  <c r="G3287" i="1"/>
  <c r="F3287" i="1"/>
  <c r="D3287" i="1"/>
  <c r="B3287" i="1"/>
  <c r="A3287" i="1"/>
  <c r="J3286" i="1"/>
  <c r="I3286" i="1"/>
  <c r="H3286" i="1"/>
  <c r="G3286" i="1"/>
  <c r="F3286" i="1"/>
  <c r="D3286" i="1"/>
  <c r="B3286" i="1"/>
  <c r="A3286" i="1"/>
  <c r="J3285" i="1"/>
  <c r="I3285" i="1"/>
  <c r="H3285" i="1"/>
  <c r="G3285" i="1"/>
  <c r="F3285" i="1"/>
  <c r="D3285" i="1"/>
  <c r="B3285" i="1"/>
  <c r="A3285" i="1"/>
  <c r="J3284" i="1"/>
  <c r="I3284" i="1"/>
  <c r="H3284" i="1"/>
  <c r="G3284" i="1"/>
  <c r="F3284" i="1"/>
  <c r="D3284" i="1"/>
  <c r="B3284" i="1"/>
  <c r="A3284" i="1"/>
  <c r="J3283" i="1"/>
  <c r="I3283" i="1"/>
  <c r="H3283" i="1"/>
  <c r="G3283" i="1"/>
  <c r="F3283" i="1"/>
  <c r="D3283" i="1"/>
  <c r="B3283" i="1"/>
  <c r="A3283" i="1"/>
  <c r="J3282" i="1"/>
  <c r="I3282" i="1"/>
  <c r="H3282" i="1"/>
  <c r="G3282" i="1"/>
  <c r="F3282" i="1"/>
  <c r="D3282" i="1"/>
  <c r="B3282" i="1"/>
  <c r="A3282" i="1"/>
  <c r="J3281" i="1"/>
  <c r="I3281" i="1"/>
  <c r="H3281" i="1"/>
  <c r="G3281" i="1"/>
  <c r="F3281" i="1"/>
  <c r="D3281" i="1"/>
  <c r="B3281" i="1"/>
  <c r="A3281" i="1"/>
  <c r="J3280" i="1"/>
  <c r="I3280" i="1"/>
  <c r="H3280" i="1"/>
  <c r="G3280" i="1"/>
  <c r="F3280" i="1"/>
  <c r="D3280" i="1"/>
  <c r="B3280" i="1"/>
  <c r="A3280" i="1"/>
  <c r="J3279" i="1"/>
  <c r="I3279" i="1"/>
  <c r="H3279" i="1"/>
  <c r="G3279" i="1"/>
  <c r="F3279" i="1"/>
  <c r="D3279" i="1"/>
  <c r="B3279" i="1"/>
  <c r="A3279" i="1"/>
  <c r="J3278" i="1"/>
  <c r="I3278" i="1"/>
  <c r="H3278" i="1"/>
  <c r="G3278" i="1"/>
  <c r="F3278" i="1"/>
  <c r="D3278" i="1"/>
  <c r="B3278" i="1"/>
  <c r="A3278" i="1"/>
  <c r="J3277" i="1"/>
  <c r="I3277" i="1"/>
  <c r="H3277" i="1"/>
  <c r="G3277" i="1"/>
  <c r="F3277" i="1"/>
  <c r="D3277" i="1"/>
  <c r="B3277" i="1"/>
  <c r="A3277" i="1"/>
  <c r="J3276" i="1"/>
  <c r="I3276" i="1"/>
  <c r="H3276" i="1"/>
  <c r="G3276" i="1"/>
  <c r="F3276" i="1"/>
  <c r="D3276" i="1"/>
  <c r="B3276" i="1"/>
  <c r="A3276" i="1"/>
  <c r="J3275" i="1"/>
  <c r="I3275" i="1"/>
  <c r="H3275" i="1"/>
  <c r="G3275" i="1"/>
  <c r="F3275" i="1"/>
  <c r="D3275" i="1"/>
  <c r="B3275" i="1"/>
  <c r="A3275" i="1"/>
  <c r="J3274" i="1"/>
  <c r="I3274" i="1"/>
  <c r="H3274" i="1"/>
  <c r="G3274" i="1"/>
  <c r="F3274" i="1"/>
  <c r="D3274" i="1"/>
  <c r="B3274" i="1"/>
  <c r="A3274" i="1"/>
  <c r="J3273" i="1"/>
  <c r="I3273" i="1"/>
  <c r="H3273" i="1"/>
  <c r="G3273" i="1"/>
  <c r="F3273" i="1"/>
  <c r="D3273" i="1"/>
  <c r="B3273" i="1"/>
  <c r="A3273" i="1"/>
  <c r="J3272" i="1"/>
  <c r="I3272" i="1"/>
  <c r="H3272" i="1"/>
  <c r="G3272" i="1"/>
  <c r="F3272" i="1"/>
  <c r="D3272" i="1"/>
  <c r="B3272" i="1"/>
  <c r="A3272" i="1"/>
  <c r="J3271" i="1"/>
  <c r="I3271" i="1"/>
  <c r="H3271" i="1"/>
  <c r="G3271" i="1"/>
  <c r="F3271" i="1"/>
  <c r="D3271" i="1"/>
  <c r="B3271" i="1"/>
  <c r="A3271" i="1"/>
  <c r="J3270" i="1"/>
  <c r="I3270" i="1"/>
  <c r="H3270" i="1"/>
  <c r="G3270" i="1"/>
  <c r="F3270" i="1"/>
  <c r="D3270" i="1"/>
  <c r="B3270" i="1"/>
  <c r="A3270" i="1"/>
  <c r="J3269" i="1"/>
  <c r="I3269" i="1"/>
  <c r="H3269" i="1"/>
  <c r="G3269" i="1"/>
  <c r="F3269" i="1"/>
  <c r="D3269" i="1"/>
  <c r="B3269" i="1"/>
  <c r="A3269" i="1"/>
  <c r="J3268" i="1"/>
  <c r="I3268" i="1"/>
  <c r="H3268" i="1"/>
  <c r="G3268" i="1"/>
  <c r="F3268" i="1"/>
  <c r="D3268" i="1"/>
  <c r="B3268" i="1"/>
  <c r="A3268" i="1"/>
  <c r="J3267" i="1"/>
  <c r="I3267" i="1"/>
  <c r="H3267" i="1"/>
  <c r="G3267" i="1"/>
  <c r="F3267" i="1"/>
  <c r="D3267" i="1"/>
  <c r="B3267" i="1"/>
  <c r="A3267" i="1"/>
  <c r="J3266" i="1"/>
  <c r="I3266" i="1"/>
  <c r="H3266" i="1"/>
  <c r="G3266" i="1"/>
  <c r="F3266" i="1"/>
  <c r="D3266" i="1"/>
  <c r="B3266" i="1"/>
  <c r="A3266" i="1"/>
  <c r="J3265" i="1"/>
  <c r="I3265" i="1"/>
  <c r="H3265" i="1"/>
  <c r="G3265" i="1"/>
  <c r="F3265" i="1"/>
  <c r="D3265" i="1"/>
  <c r="B3265" i="1"/>
  <c r="A3265" i="1"/>
  <c r="J3264" i="1"/>
  <c r="I3264" i="1"/>
  <c r="H3264" i="1"/>
  <c r="G3264" i="1"/>
  <c r="F3264" i="1"/>
  <c r="D3264" i="1"/>
  <c r="B3264" i="1"/>
  <c r="A3264" i="1"/>
  <c r="J3263" i="1"/>
  <c r="I3263" i="1"/>
  <c r="H3263" i="1"/>
  <c r="G3263" i="1"/>
  <c r="F3263" i="1"/>
  <c r="D3263" i="1"/>
  <c r="B3263" i="1"/>
  <c r="A3263" i="1"/>
  <c r="J3262" i="1"/>
  <c r="I3262" i="1"/>
  <c r="H3262" i="1"/>
  <c r="G3262" i="1"/>
  <c r="F3262" i="1"/>
  <c r="D3262" i="1"/>
  <c r="B3262" i="1"/>
  <c r="A3262" i="1"/>
  <c r="J3261" i="1"/>
  <c r="I3261" i="1"/>
  <c r="H3261" i="1"/>
  <c r="G3261" i="1"/>
  <c r="F3261" i="1"/>
  <c r="D3261" i="1"/>
  <c r="B3261" i="1"/>
  <c r="A3261" i="1"/>
  <c r="J3260" i="1"/>
  <c r="I3260" i="1"/>
  <c r="H3260" i="1"/>
  <c r="G3260" i="1"/>
  <c r="F3260" i="1"/>
  <c r="D3260" i="1"/>
  <c r="B3260" i="1"/>
  <c r="A3260" i="1"/>
  <c r="J3259" i="1"/>
  <c r="I3259" i="1"/>
  <c r="H3259" i="1"/>
  <c r="G3259" i="1"/>
  <c r="F3259" i="1"/>
  <c r="D3259" i="1"/>
  <c r="B3259" i="1"/>
  <c r="A3259" i="1"/>
  <c r="J3258" i="1"/>
  <c r="I3258" i="1"/>
  <c r="H3258" i="1"/>
  <c r="G3258" i="1"/>
  <c r="F3258" i="1"/>
  <c r="D3258" i="1"/>
  <c r="B3258" i="1"/>
  <c r="A3258" i="1"/>
  <c r="J3257" i="1"/>
  <c r="I3257" i="1"/>
  <c r="H3257" i="1"/>
  <c r="G3257" i="1"/>
  <c r="F3257" i="1"/>
  <c r="D3257" i="1"/>
  <c r="B3257" i="1"/>
  <c r="A3257" i="1"/>
  <c r="J3256" i="1"/>
  <c r="I3256" i="1"/>
  <c r="H3256" i="1"/>
  <c r="G3256" i="1"/>
  <c r="F3256" i="1"/>
  <c r="D3256" i="1"/>
  <c r="B3256" i="1"/>
  <c r="A3256" i="1"/>
  <c r="J3255" i="1"/>
  <c r="I3255" i="1"/>
  <c r="H3255" i="1"/>
  <c r="G3255" i="1"/>
  <c r="F3255" i="1"/>
  <c r="D3255" i="1"/>
  <c r="B3255" i="1"/>
  <c r="A3255" i="1"/>
  <c r="J3254" i="1"/>
  <c r="I3254" i="1"/>
  <c r="H3254" i="1"/>
  <c r="G3254" i="1"/>
  <c r="F3254" i="1"/>
  <c r="D3254" i="1"/>
  <c r="B3254" i="1"/>
  <c r="A3254" i="1"/>
  <c r="J3253" i="1"/>
  <c r="I3253" i="1"/>
  <c r="H3253" i="1"/>
  <c r="G3253" i="1"/>
  <c r="F3253" i="1"/>
  <c r="D3253" i="1"/>
  <c r="B3253" i="1"/>
  <c r="A3253" i="1"/>
  <c r="J3252" i="1"/>
  <c r="I3252" i="1"/>
  <c r="H3252" i="1"/>
  <c r="G3252" i="1"/>
  <c r="F3252" i="1"/>
  <c r="D3252" i="1"/>
  <c r="B3252" i="1"/>
  <c r="A3252" i="1"/>
  <c r="J3251" i="1"/>
  <c r="I3251" i="1"/>
  <c r="H3251" i="1"/>
  <c r="G3251" i="1"/>
  <c r="F3251" i="1"/>
  <c r="D3251" i="1"/>
  <c r="B3251" i="1"/>
  <c r="A3251" i="1"/>
  <c r="J3250" i="1"/>
  <c r="I3250" i="1"/>
  <c r="H3250" i="1"/>
  <c r="G3250" i="1"/>
  <c r="F3250" i="1"/>
  <c r="D3250" i="1"/>
  <c r="B3250" i="1"/>
  <c r="A3250" i="1"/>
  <c r="J3249" i="1"/>
  <c r="I3249" i="1"/>
  <c r="H3249" i="1"/>
  <c r="G3249" i="1"/>
  <c r="F3249" i="1"/>
  <c r="D3249" i="1"/>
  <c r="B3249" i="1"/>
  <c r="A3249" i="1"/>
  <c r="J3248" i="1"/>
  <c r="I3248" i="1"/>
  <c r="H3248" i="1"/>
  <c r="G3248" i="1"/>
  <c r="F3248" i="1"/>
  <c r="D3248" i="1"/>
  <c r="B3248" i="1"/>
  <c r="A3248" i="1"/>
  <c r="J3247" i="1"/>
  <c r="I3247" i="1"/>
  <c r="H3247" i="1"/>
  <c r="G3247" i="1"/>
  <c r="F3247" i="1"/>
  <c r="D3247" i="1"/>
  <c r="B3247" i="1"/>
  <c r="A3247" i="1"/>
  <c r="J3246" i="1"/>
  <c r="I3246" i="1"/>
  <c r="H3246" i="1"/>
  <c r="G3246" i="1"/>
  <c r="F3246" i="1"/>
  <c r="D3246" i="1"/>
  <c r="B3246" i="1"/>
  <c r="A3246" i="1"/>
  <c r="J3245" i="1"/>
  <c r="I3245" i="1"/>
  <c r="H3245" i="1"/>
  <c r="G3245" i="1"/>
  <c r="F3245" i="1"/>
  <c r="D3245" i="1"/>
  <c r="B3245" i="1"/>
  <c r="A3245" i="1"/>
  <c r="J3244" i="1"/>
  <c r="I3244" i="1"/>
  <c r="H3244" i="1"/>
  <c r="G3244" i="1"/>
  <c r="F3244" i="1"/>
  <c r="D3244" i="1"/>
  <c r="B3244" i="1"/>
  <c r="A3244" i="1"/>
  <c r="J3243" i="1"/>
  <c r="I3243" i="1"/>
  <c r="H3243" i="1"/>
  <c r="G3243" i="1"/>
  <c r="F3243" i="1"/>
  <c r="D3243" i="1"/>
  <c r="B3243" i="1"/>
  <c r="A3243" i="1"/>
  <c r="J3242" i="1"/>
  <c r="I3242" i="1"/>
  <c r="H3242" i="1"/>
  <c r="G3242" i="1"/>
  <c r="F3242" i="1"/>
  <c r="D3242" i="1"/>
  <c r="B3242" i="1"/>
  <c r="A3242" i="1"/>
  <c r="J3241" i="1"/>
  <c r="I3241" i="1"/>
  <c r="H3241" i="1"/>
  <c r="G3241" i="1"/>
  <c r="F3241" i="1"/>
  <c r="D3241" i="1"/>
  <c r="B3241" i="1"/>
  <c r="A3241" i="1"/>
  <c r="J3240" i="1"/>
  <c r="I3240" i="1"/>
  <c r="H3240" i="1"/>
  <c r="G3240" i="1"/>
  <c r="F3240" i="1"/>
  <c r="D3240" i="1"/>
  <c r="B3240" i="1"/>
  <c r="A3240" i="1"/>
  <c r="J3239" i="1"/>
  <c r="I3239" i="1"/>
  <c r="H3239" i="1"/>
  <c r="G3239" i="1"/>
  <c r="F3239" i="1"/>
  <c r="D3239" i="1"/>
  <c r="B3239" i="1"/>
  <c r="A3239" i="1"/>
  <c r="J3238" i="1"/>
  <c r="I3238" i="1"/>
  <c r="H3238" i="1"/>
  <c r="G3238" i="1"/>
  <c r="F3238" i="1"/>
  <c r="D3238" i="1"/>
  <c r="B3238" i="1"/>
  <c r="A3238" i="1"/>
  <c r="J3237" i="1"/>
  <c r="I3237" i="1"/>
  <c r="H3237" i="1"/>
  <c r="G3237" i="1"/>
  <c r="F3237" i="1"/>
  <c r="D3237" i="1"/>
  <c r="B3237" i="1"/>
  <c r="A3237" i="1"/>
  <c r="J3236" i="1"/>
  <c r="I3236" i="1"/>
  <c r="H3236" i="1"/>
  <c r="G3236" i="1"/>
  <c r="F3236" i="1"/>
  <c r="D3236" i="1"/>
  <c r="B3236" i="1"/>
  <c r="A3236" i="1"/>
  <c r="J3235" i="1"/>
  <c r="I3235" i="1"/>
  <c r="H3235" i="1"/>
  <c r="G3235" i="1"/>
  <c r="F3235" i="1"/>
  <c r="D3235" i="1"/>
  <c r="B3235" i="1"/>
  <c r="A3235" i="1"/>
  <c r="J3234" i="1"/>
  <c r="I3234" i="1"/>
  <c r="H3234" i="1"/>
  <c r="G3234" i="1"/>
  <c r="F3234" i="1"/>
  <c r="D3234" i="1"/>
  <c r="B3234" i="1"/>
  <c r="A3234" i="1"/>
  <c r="J3233" i="1"/>
  <c r="I3233" i="1"/>
  <c r="H3233" i="1"/>
  <c r="G3233" i="1"/>
  <c r="F3233" i="1"/>
  <c r="D3233" i="1"/>
  <c r="B3233" i="1"/>
  <c r="A3233" i="1"/>
  <c r="J3232" i="1"/>
  <c r="I3232" i="1"/>
  <c r="H3232" i="1"/>
  <c r="G3232" i="1"/>
  <c r="F3232" i="1"/>
  <c r="D3232" i="1"/>
  <c r="B3232" i="1"/>
  <c r="A3232" i="1"/>
  <c r="J3231" i="1"/>
  <c r="I3231" i="1"/>
  <c r="H3231" i="1"/>
  <c r="G3231" i="1"/>
  <c r="F3231" i="1"/>
  <c r="D3231" i="1"/>
  <c r="B3231" i="1"/>
  <c r="A3231" i="1"/>
  <c r="J3230" i="1"/>
  <c r="I3230" i="1"/>
  <c r="H3230" i="1"/>
  <c r="G3230" i="1"/>
  <c r="F3230" i="1"/>
  <c r="D3230" i="1"/>
  <c r="B3230" i="1"/>
  <c r="A3230" i="1"/>
  <c r="J3229" i="1"/>
  <c r="I3229" i="1"/>
  <c r="H3229" i="1"/>
  <c r="G3229" i="1"/>
  <c r="F3229" i="1"/>
  <c r="D3229" i="1"/>
  <c r="B3229" i="1"/>
  <c r="A3229" i="1"/>
  <c r="J3228" i="1"/>
  <c r="I3228" i="1"/>
  <c r="H3228" i="1"/>
  <c r="G3228" i="1"/>
  <c r="F3228" i="1"/>
  <c r="D3228" i="1"/>
  <c r="B3228" i="1"/>
  <c r="A3228" i="1"/>
  <c r="J3227" i="1"/>
  <c r="I3227" i="1"/>
  <c r="H3227" i="1"/>
  <c r="G3227" i="1"/>
  <c r="F3227" i="1"/>
  <c r="D3227" i="1"/>
  <c r="B3227" i="1"/>
  <c r="A3227" i="1"/>
  <c r="J3226" i="1"/>
  <c r="I3226" i="1"/>
  <c r="H3226" i="1"/>
  <c r="G3226" i="1"/>
  <c r="F3226" i="1"/>
  <c r="D3226" i="1"/>
  <c r="B3226" i="1"/>
  <c r="A3226" i="1"/>
  <c r="J3225" i="1"/>
  <c r="I3225" i="1"/>
  <c r="H3225" i="1"/>
  <c r="G3225" i="1"/>
  <c r="F3225" i="1"/>
  <c r="D3225" i="1"/>
  <c r="B3225" i="1"/>
  <c r="A3225" i="1"/>
  <c r="J3224" i="1"/>
  <c r="I3224" i="1"/>
  <c r="H3224" i="1"/>
  <c r="G3224" i="1"/>
  <c r="F3224" i="1"/>
  <c r="D3224" i="1"/>
  <c r="B3224" i="1"/>
  <c r="A3224" i="1"/>
  <c r="J3223" i="1"/>
  <c r="I3223" i="1"/>
  <c r="H3223" i="1"/>
  <c r="G3223" i="1"/>
  <c r="F3223" i="1"/>
  <c r="D3223" i="1"/>
  <c r="B3223" i="1"/>
  <c r="A3223" i="1"/>
  <c r="J3222" i="1"/>
  <c r="I3222" i="1"/>
  <c r="H3222" i="1"/>
  <c r="G3222" i="1"/>
  <c r="F3222" i="1"/>
  <c r="D3222" i="1"/>
  <c r="B3222" i="1"/>
  <c r="A3222" i="1"/>
  <c r="J3221" i="1"/>
  <c r="I3221" i="1"/>
  <c r="H3221" i="1"/>
  <c r="G3221" i="1"/>
  <c r="F3221" i="1"/>
  <c r="D3221" i="1"/>
  <c r="B3221" i="1"/>
  <c r="A3221" i="1"/>
  <c r="J3220" i="1"/>
  <c r="I3220" i="1"/>
  <c r="H3220" i="1"/>
  <c r="G3220" i="1"/>
  <c r="F3220" i="1"/>
  <c r="D3220" i="1"/>
  <c r="B3220" i="1"/>
  <c r="A3220" i="1"/>
  <c r="J3219" i="1"/>
  <c r="I3219" i="1"/>
  <c r="H3219" i="1"/>
  <c r="G3219" i="1"/>
  <c r="F3219" i="1"/>
  <c r="D3219" i="1"/>
  <c r="B3219" i="1"/>
  <c r="A3219" i="1"/>
  <c r="J3218" i="1"/>
  <c r="I3218" i="1"/>
  <c r="H3218" i="1"/>
  <c r="G3218" i="1"/>
  <c r="F3218" i="1"/>
  <c r="D3218" i="1"/>
  <c r="B3218" i="1"/>
  <c r="A3218" i="1"/>
  <c r="J3217" i="1"/>
  <c r="I3217" i="1"/>
  <c r="H3217" i="1"/>
  <c r="G3217" i="1"/>
  <c r="F3217" i="1"/>
  <c r="D3217" i="1"/>
  <c r="B3217" i="1"/>
  <c r="A3217" i="1"/>
  <c r="J3216" i="1"/>
  <c r="I3216" i="1"/>
  <c r="H3216" i="1"/>
  <c r="G3216" i="1"/>
  <c r="F3216" i="1"/>
  <c r="D3216" i="1"/>
  <c r="B3216" i="1"/>
  <c r="A3216" i="1"/>
  <c r="J3215" i="1"/>
  <c r="I3215" i="1"/>
  <c r="H3215" i="1"/>
  <c r="G3215" i="1"/>
  <c r="F3215" i="1"/>
  <c r="D3215" i="1"/>
  <c r="B3215" i="1"/>
  <c r="A3215" i="1"/>
  <c r="J3214" i="1"/>
  <c r="I3214" i="1"/>
  <c r="H3214" i="1"/>
  <c r="G3214" i="1"/>
  <c r="F3214" i="1"/>
  <c r="D3214" i="1"/>
  <c r="B3214" i="1"/>
  <c r="A3214" i="1"/>
  <c r="J3213" i="1"/>
  <c r="I3213" i="1"/>
  <c r="H3213" i="1"/>
  <c r="G3213" i="1"/>
  <c r="F3213" i="1"/>
  <c r="D3213" i="1"/>
  <c r="B3213" i="1"/>
  <c r="A3213" i="1"/>
  <c r="J3212" i="1"/>
  <c r="I3212" i="1"/>
  <c r="H3212" i="1"/>
  <c r="G3212" i="1"/>
  <c r="F3212" i="1"/>
  <c r="D3212" i="1"/>
  <c r="B3212" i="1"/>
  <c r="A3212" i="1"/>
  <c r="J3211" i="1"/>
  <c r="I3211" i="1"/>
  <c r="H3211" i="1"/>
  <c r="G3211" i="1"/>
  <c r="F3211" i="1"/>
  <c r="D3211" i="1"/>
  <c r="B3211" i="1"/>
  <c r="A3211" i="1"/>
  <c r="J3210" i="1"/>
  <c r="I3210" i="1"/>
  <c r="H3210" i="1"/>
  <c r="G3210" i="1"/>
  <c r="F3210" i="1"/>
  <c r="D3210" i="1"/>
  <c r="B3210" i="1"/>
  <c r="A3210" i="1"/>
  <c r="J3209" i="1"/>
  <c r="I3209" i="1"/>
  <c r="H3209" i="1"/>
  <c r="G3209" i="1"/>
  <c r="F3209" i="1"/>
  <c r="D3209" i="1"/>
  <c r="B3209" i="1"/>
  <c r="A3209" i="1"/>
  <c r="J3208" i="1"/>
  <c r="I3208" i="1"/>
  <c r="H3208" i="1"/>
  <c r="G3208" i="1"/>
  <c r="F3208" i="1"/>
  <c r="D3208" i="1"/>
  <c r="B3208" i="1"/>
  <c r="A3208" i="1"/>
  <c r="J3207" i="1"/>
  <c r="I3207" i="1"/>
  <c r="H3207" i="1"/>
  <c r="G3207" i="1"/>
  <c r="F3207" i="1"/>
  <c r="D3207" i="1"/>
  <c r="B3207" i="1"/>
  <c r="A3207" i="1"/>
  <c r="J3206" i="1"/>
  <c r="I3206" i="1"/>
  <c r="H3206" i="1"/>
  <c r="G3206" i="1"/>
  <c r="F3206" i="1"/>
  <c r="D3206" i="1"/>
  <c r="B3206" i="1"/>
  <c r="A3206" i="1"/>
  <c r="J3205" i="1"/>
  <c r="I3205" i="1"/>
  <c r="H3205" i="1"/>
  <c r="G3205" i="1"/>
  <c r="F3205" i="1"/>
  <c r="D3205" i="1"/>
  <c r="B3205" i="1"/>
  <c r="A3205" i="1"/>
  <c r="J3204" i="1"/>
  <c r="I3204" i="1"/>
  <c r="H3204" i="1"/>
  <c r="G3204" i="1"/>
  <c r="F3204" i="1"/>
  <c r="D3204" i="1"/>
  <c r="B3204" i="1"/>
  <c r="A3204" i="1"/>
  <c r="J3203" i="1"/>
  <c r="I3203" i="1"/>
  <c r="H3203" i="1"/>
  <c r="G3203" i="1"/>
  <c r="F3203" i="1"/>
  <c r="D3203" i="1"/>
  <c r="B3203" i="1"/>
  <c r="A3203" i="1"/>
  <c r="J3202" i="1"/>
  <c r="I3202" i="1"/>
  <c r="H3202" i="1"/>
  <c r="G3202" i="1"/>
  <c r="F3202" i="1"/>
  <c r="D3202" i="1"/>
  <c r="B3202" i="1"/>
  <c r="A3202" i="1"/>
  <c r="J3201" i="1"/>
  <c r="I3201" i="1"/>
  <c r="H3201" i="1"/>
  <c r="G3201" i="1"/>
  <c r="F3201" i="1"/>
  <c r="D3201" i="1"/>
  <c r="B3201" i="1"/>
  <c r="A3201" i="1"/>
  <c r="J3200" i="1"/>
  <c r="I3200" i="1"/>
  <c r="H3200" i="1"/>
  <c r="G3200" i="1"/>
  <c r="F3200" i="1"/>
  <c r="D3200" i="1"/>
  <c r="B3200" i="1"/>
  <c r="A3200" i="1"/>
  <c r="J3199" i="1"/>
  <c r="I3199" i="1"/>
  <c r="H3199" i="1"/>
  <c r="G3199" i="1"/>
  <c r="F3199" i="1"/>
  <c r="D3199" i="1"/>
  <c r="B3199" i="1"/>
  <c r="A3199" i="1"/>
  <c r="J3198" i="1"/>
  <c r="I3198" i="1"/>
  <c r="H3198" i="1"/>
  <c r="G3198" i="1"/>
  <c r="F3198" i="1"/>
  <c r="D3198" i="1"/>
  <c r="B3198" i="1"/>
  <c r="A3198" i="1"/>
  <c r="J3197" i="1"/>
  <c r="I3197" i="1"/>
  <c r="H3197" i="1"/>
  <c r="G3197" i="1"/>
  <c r="F3197" i="1"/>
  <c r="D3197" i="1"/>
  <c r="B3197" i="1"/>
  <c r="A3197" i="1"/>
  <c r="J3196" i="1"/>
  <c r="I3196" i="1"/>
  <c r="H3196" i="1"/>
  <c r="G3196" i="1"/>
  <c r="F3196" i="1"/>
  <c r="D3196" i="1"/>
  <c r="B3196" i="1"/>
  <c r="A3196" i="1"/>
  <c r="J3195" i="1"/>
  <c r="I3195" i="1"/>
  <c r="H3195" i="1"/>
  <c r="G3195" i="1"/>
  <c r="F3195" i="1"/>
  <c r="D3195" i="1"/>
  <c r="B3195" i="1"/>
  <c r="A3195" i="1"/>
  <c r="J3194" i="1"/>
  <c r="I3194" i="1"/>
  <c r="H3194" i="1"/>
  <c r="G3194" i="1"/>
  <c r="F3194" i="1"/>
  <c r="D3194" i="1"/>
  <c r="B3194" i="1"/>
  <c r="A3194" i="1"/>
  <c r="J3193" i="1"/>
  <c r="I3193" i="1"/>
  <c r="H3193" i="1"/>
  <c r="G3193" i="1"/>
  <c r="F3193" i="1"/>
  <c r="D3193" i="1"/>
  <c r="B3193" i="1"/>
  <c r="A3193" i="1"/>
  <c r="J3192" i="1"/>
  <c r="I3192" i="1"/>
  <c r="H3192" i="1"/>
  <c r="G3192" i="1"/>
  <c r="F3192" i="1"/>
  <c r="D3192" i="1"/>
  <c r="B3192" i="1"/>
  <c r="A3192" i="1"/>
  <c r="J3191" i="1"/>
  <c r="I3191" i="1"/>
  <c r="H3191" i="1"/>
  <c r="G3191" i="1"/>
  <c r="F3191" i="1"/>
  <c r="D3191" i="1"/>
  <c r="B3191" i="1"/>
  <c r="A3191" i="1"/>
  <c r="J3190" i="1"/>
  <c r="I3190" i="1"/>
  <c r="H3190" i="1"/>
  <c r="G3190" i="1"/>
  <c r="F3190" i="1"/>
  <c r="D3190" i="1"/>
  <c r="B3190" i="1"/>
  <c r="A3190" i="1"/>
  <c r="J3189" i="1"/>
  <c r="I3189" i="1"/>
  <c r="H3189" i="1"/>
  <c r="G3189" i="1"/>
  <c r="F3189" i="1"/>
  <c r="D3189" i="1"/>
  <c r="B3189" i="1"/>
  <c r="A3189" i="1"/>
  <c r="J3188" i="1"/>
  <c r="I3188" i="1"/>
  <c r="H3188" i="1"/>
  <c r="G3188" i="1"/>
  <c r="F3188" i="1"/>
  <c r="D3188" i="1"/>
  <c r="B3188" i="1"/>
  <c r="A3188" i="1"/>
  <c r="J3187" i="1"/>
  <c r="I3187" i="1"/>
  <c r="H3187" i="1"/>
  <c r="G3187" i="1"/>
  <c r="F3187" i="1"/>
  <c r="D3187" i="1"/>
  <c r="B3187" i="1"/>
  <c r="A3187" i="1"/>
  <c r="J3186" i="1"/>
  <c r="I3186" i="1"/>
  <c r="H3186" i="1"/>
  <c r="G3186" i="1"/>
  <c r="F3186" i="1"/>
  <c r="D3186" i="1"/>
  <c r="B3186" i="1"/>
  <c r="A3186" i="1"/>
  <c r="J3185" i="1"/>
  <c r="I3185" i="1"/>
  <c r="H3185" i="1"/>
  <c r="G3185" i="1"/>
  <c r="F3185" i="1"/>
  <c r="D3185" i="1"/>
  <c r="B3185" i="1"/>
  <c r="A3185" i="1"/>
  <c r="J3184" i="1"/>
  <c r="I3184" i="1"/>
  <c r="H3184" i="1"/>
  <c r="G3184" i="1"/>
  <c r="F3184" i="1"/>
  <c r="D3184" i="1"/>
  <c r="B3184" i="1"/>
  <c r="A3184" i="1"/>
  <c r="J3183" i="1"/>
  <c r="I3183" i="1"/>
  <c r="H3183" i="1"/>
  <c r="G3183" i="1"/>
  <c r="F3183" i="1"/>
  <c r="D3183" i="1"/>
  <c r="B3183" i="1"/>
  <c r="A3183" i="1"/>
  <c r="J3182" i="1"/>
  <c r="I3182" i="1"/>
  <c r="H3182" i="1"/>
  <c r="G3182" i="1"/>
  <c r="F3182" i="1"/>
  <c r="D3182" i="1"/>
  <c r="B3182" i="1"/>
  <c r="A3182" i="1"/>
  <c r="J3181" i="1"/>
  <c r="I3181" i="1"/>
  <c r="H3181" i="1"/>
  <c r="G3181" i="1"/>
  <c r="F3181" i="1"/>
  <c r="D3181" i="1"/>
  <c r="B3181" i="1"/>
  <c r="A3181" i="1"/>
  <c r="J3180" i="1"/>
  <c r="I3180" i="1"/>
  <c r="H3180" i="1"/>
  <c r="G3180" i="1"/>
  <c r="F3180" i="1"/>
  <c r="D3180" i="1"/>
  <c r="B3180" i="1"/>
  <c r="A3180" i="1"/>
  <c r="J3179" i="1"/>
  <c r="I3179" i="1"/>
  <c r="H3179" i="1"/>
  <c r="G3179" i="1"/>
  <c r="F3179" i="1"/>
  <c r="D3179" i="1"/>
  <c r="B3179" i="1"/>
  <c r="A3179" i="1"/>
  <c r="J3178" i="1"/>
  <c r="I3178" i="1"/>
  <c r="H3178" i="1"/>
  <c r="G3178" i="1"/>
  <c r="F3178" i="1"/>
  <c r="D3178" i="1"/>
  <c r="B3178" i="1"/>
  <c r="A3178" i="1"/>
  <c r="J3177" i="1"/>
  <c r="I3177" i="1"/>
  <c r="H3177" i="1"/>
  <c r="G3177" i="1"/>
  <c r="F3177" i="1"/>
  <c r="D3177" i="1"/>
  <c r="B3177" i="1"/>
  <c r="A3177" i="1"/>
  <c r="J3176" i="1"/>
  <c r="I3176" i="1"/>
  <c r="H3176" i="1"/>
  <c r="G3176" i="1"/>
  <c r="F3176" i="1"/>
  <c r="D3176" i="1"/>
  <c r="B3176" i="1"/>
  <c r="A3176" i="1"/>
  <c r="J3175" i="1"/>
  <c r="I3175" i="1"/>
  <c r="H3175" i="1"/>
  <c r="G3175" i="1"/>
  <c r="F3175" i="1"/>
  <c r="D3175" i="1"/>
  <c r="B3175" i="1"/>
  <c r="A3175" i="1"/>
  <c r="J3174" i="1"/>
  <c r="I3174" i="1"/>
  <c r="H3174" i="1"/>
  <c r="G3174" i="1"/>
  <c r="F3174" i="1"/>
  <c r="D3174" i="1"/>
  <c r="B3174" i="1"/>
  <c r="A3174" i="1"/>
  <c r="J3173" i="1"/>
  <c r="I3173" i="1"/>
  <c r="H3173" i="1"/>
  <c r="G3173" i="1"/>
  <c r="F3173" i="1"/>
  <c r="D3173" i="1"/>
  <c r="B3173" i="1"/>
  <c r="A3173" i="1"/>
  <c r="J3172" i="1"/>
  <c r="I3172" i="1"/>
  <c r="H3172" i="1"/>
  <c r="G3172" i="1"/>
  <c r="F3172" i="1"/>
  <c r="D3172" i="1"/>
  <c r="B3172" i="1"/>
  <c r="A3172" i="1"/>
  <c r="J3171" i="1"/>
  <c r="I3171" i="1"/>
  <c r="H3171" i="1"/>
  <c r="G3171" i="1"/>
  <c r="F3171" i="1"/>
  <c r="D3171" i="1"/>
  <c r="B3171" i="1"/>
  <c r="A3171" i="1"/>
  <c r="J3170" i="1"/>
  <c r="I3170" i="1"/>
  <c r="H3170" i="1"/>
  <c r="G3170" i="1"/>
  <c r="F3170" i="1"/>
  <c r="D3170" i="1"/>
  <c r="B3170" i="1"/>
  <c r="A3170" i="1"/>
  <c r="J3169" i="1"/>
  <c r="I3169" i="1"/>
  <c r="H3169" i="1"/>
  <c r="G3169" i="1"/>
  <c r="F3169" i="1"/>
  <c r="D3169" i="1"/>
  <c r="B3169" i="1"/>
  <c r="A3169" i="1"/>
  <c r="J3168" i="1"/>
  <c r="I3168" i="1"/>
  <c r="H3168" i="1"/>
  <c r="G3168" i="1"/>
  <c r="F3168" i="1"/>
  <c r="D3168" i="1"/>
  <c r="B3168" i="1"/>
  <c r="A3168" i="1"/>
  <c r="J3167" i="1"/>
  <c r="I3167" i="1"/>
  <c r="H3167" i="1"/>
  <c r="G3167" i="1"/>
  <c r="F3167" i="1"/>
  <c r="D3167" i="1"/>
  <c r="B3167" i="1"/>
  <c r="A3167" i="1"/>
  <c r="J3166" i="1"/>
  <c r="I3166" i="1"/>
  <c r="H3166" i="1"/>
  <c r="G3166" i="1"/>
  <c r="F3166" i="1"/>
  <c r="D3166" i="1"/>
  <c r="B3166" i="1"/>
  <c r="A3166" i="1"/>
  <c r="J3165" i="1"/>
  <c r="I3165" i="1"/>
  <c r="H3165" i="1"/>
  <c r="G3165" i="1"/>
  <c r="F3165" i="1"/>
  <c r="D3165" i="1"/>
  <c r="B3165" i="1"/>
  <c r="A3165" i="1"/>
  <c r="J3164" i="1"/>
  <c r="I3164" i="1"/>
  <c r="H3164" i="1"/>
  <c r="G3164" i="1"/>
  <c r="F3164" i="1"/>
  <c r="D3164" i="1"/>
  <c r="B3164" i="1"/>
  <c r="A3164" i="1"/>
  <c r="J3163" i="1"/>
  <c r="I3163" i="1"/>
  <c r="H3163" i="1"/>
  <c r="G3163" i="1"/>
  <c r="F3163" i="1"/>
  <c r="D3163" i="1"/>
  <c r="B3163" i="1"/>
  <c r="A3163" i="1"/>
  <c r="J3162" i="1"/>
  <c r="I3162" i="1"/>
  <c r="H3162" i="1"/>
  <c r="G3162" i="1"/>
  <c r="F3162" i="1"/>
  <c r="D3162" i="1"/>
  <c r="B3162" i="1"/>
  <c r="A3162" i="1"/>
  <c r="J3161" i="1"/>
  <c r="I3161" i="1"/>
  <c r="H3161" i="1"/>
  <c r="G3161" i="1"/>
  <c r="F3161" i="1"/>
  <c r="D3161" i="1"/>
  <c r="B3161" i="1"/>
  <c r="A3161" i="1"/>
  <c r="J3160" i="1"/>
  <c r="I3160" i="1"/>
  <c r="H3160" i="1"/>
  <c r="G3160" i="1"/>
  <c r="F3160" i="1"/>
  <c r="D3160" i="1"/>
  <c r="B3160" i="1"/>
  <c r="A3160" i="1"/>
  <c r="J3159" i="1"/>
  <c r="I3159" i="1"/>
  <c r="H3159" i="1"/>
  <c r="G3159" i="1"/>
  <c r="F3159" i="1"/>
  <c r="D3159" i="1"/>
  <c r="B3159" i="1"/>
  <c r="A3159" i="1"/>
  <c r="J3158" i="1"/>
  <c r="I3158" i="1"/>
  <c r="H3158" i="1"/>
  <c r="G3158" i="1"/>
  <c r="F3158" i="1"/>
  <c r="D3158" i="1"/>
  <c r="B3158" i="1"/>
  <c r="A3158" i="1"/>
  <c r="J3157" i="1"/>
  <c r="I3157" i="1"/>
  <c r="H3157" i="1"/>
  <c r="G3157" i="1"/>
  <c r="F3157" i="1"/>
  <c r="D3157" i="1"/>
  <c r="B3157" i="1"/>
  <c r="A3157" i="1"/>
  <c r="J3156" i="1"/>
  <c r="I3156" i="1"/>
  <c r="H3156" i="1"/>
  <c r="G3156" i="1"/>
  <c r="F3156" i="1"/>
  <c r="D3156" i="1"/>
  <c r="B3156" i="1"/>
  <c r="A3156" i="1"/>
  <c r="J3155" i="1"/>
  <c r="I3155" i="1"/>
  <c r="H3155" i="1"/>
  <c r="G3155" i="1"/>
  <c r="F3155" i="1"/>
  <c r="D3155" i="1"/>
  <c r="B3155" i="1"/>
  <c r="A3155" i="1"/>
  <c r="J3154" i="1"/>
  <c r="I3154" i="1"/>
  <c r="H3154" i="1"/>
  <c r="G3154" i="1"/>
  <c r="F3154" i="1"/>
  <c r="D3154" i="1"/>
  <c r="B3154" i="1"/>
  <c r="A3154" i="1"/>
  <c r="J3153" i="1"/>
  <c r="I3153" i="1"/>
  <c r="H3153" i="1"/>
  <c r="G3153" i="1"/>
  <c r="F3153" i="1"/>
  <c r="D3153" i="1"/>
  <c r="B3153" i="1"/>
  <c r="A3153" i="1"/>
  <c r="J3152" i="1"/>
  <c r="I3152" i="1"/>
  <c r="H3152" i="1"/>
  <c r="G3152" i="1"/>
  <c r="F3152" i="1"/>
  <c r="D3152" i="1"/>
  <c r="B3152" i="1"/>
  <c r="A3152" i="1"/>
  <c r="J3151" i="1"/>
  <c r="I3151" i="1"/>
  <c r="H3151" i="1"/>
  <c r="G3151" i="1"/>
  <c r="F3151" i="1"/>
  <c r="D3151" i="1"/>
  <c r="B3151" i="1"/>
  <c r="A3151" i="1"/>
  <c r="J3150" i="1"/>
  <c r="I3150" i="1"/>
  <c r="H3150" i="1"/>
  <c r="G3150" i="1"/>
  <c r="F3150" i="1"/>
  <c r="D3150" i="1"/>
  <c r="B3150" i="1"/>
  <c r="A3150" i="1"/>
  <c r="J3149" i="1"/>
  <c r="I3149" i="1"/>
  <c r="H3149" i="1"/>
  <c r="G3149" i="1"/>
  <c r="F3149" i="1"/>
  <c r="D3149" i="1"/>
  <c r="B3149" i="1"/>
  <c r="A3149" i="1"/>
  <c r="J3148" i="1"/>
  <c r="I3148" i="1"/>
  <c r="H3148" i="1"/>
  <c r="G3148" i="1"/>
  <c r="F3148" i="1"/>
  <c r="D3148" i="1"/>
  <c r="B3148" i="1"/>
  <c r="A3148" i="1"/>
  <c r="J3147" i="1"/>
  <c r="I3147" i="1"/>
  <c r="H3147" i="1"/>
  <c r="G3147" i="1"/>
  <c r="F3147" i="1"/>
  <c r="D3147" i="1"/>
  <c r="B3147" i="1"/>
  <c r="A3147" i="1"/>
  <c r="J3146" i="1"/>
  <c r="I3146" i="1"/>
  <c r="H3146" i="1"/>
  <c r="G3146" i="1"/>
  <c r="F3146" i="1"/>
  <c r="D3146" i="1"/>
  <c r="B3146" i="1"/>
  <c r="A3146" i="1"/>
  <c r="J3145" i="1"/>
  <c r="I3145" i="1"/>
  <c r="H3145" i="1"/>
  <c r="G3145" i="1"/>
  <c r="F3145" i="1"/>
  <c r="D3145" i="1"/>
  <c r="B3145" i="1"/>
  <c r="A3145" i="1"/>
  <c r="J3144" i="1"/>
  <c r="I3144" i="1"/>
  <c r="H3144" i="1"/>
  <c r="G3144" i="1"/>
  <c r="F3144" i="1"/>
  <c r="D3144" i="1"/>
  <c r="B3144" i="1"/>
  <c r="A3144" i="1"/>
  <c r="J3143" i="1"/>
  <c r="I3143" i="1"/>
  <c r="H3143" i="1"/>
  <c r="G3143" i="1"/>
  <c r="F3143" i="1"/>
  <c r="D3143" i="1"/>
  <c r="B3143" i="1"/>
  <c r="A3143" i="1"/>
  <c r="J3142" i="1"/>
  <c r="I3142" i="1"/>
  <c r="H3142" i="1"/>
  <c r="G3142" i="1"/>
  <c r="F3142" i="1"/>
  <c r="D3142" i="1"/>
  <c r="B3142" i="1"/>
  <c r="A3142" i="1"/>
  <c r="J3141" i="1"/>
  <c r="I3141" i="1"/>
  <c r="H3141" i="1"/>
  <c r="G3141" i="1"/>
  <c r="F3141" i="1"/>
  <c r="D3141" i="1"/>
  <c r="B3141" i="1"/>
  <c r="A3141" i="1"/>
  <c r="J3140" i="1"/>
  <c r="I3140" i="1"/>
  <c r="H3140" i="1"/>
  <c r="G3140" i="1"/>
  <c r="F3140" i="1"/>
  <c r="D3140" i="1"/>
  <c r="B3140" i="1"/>
  <c r="A3140" i="1"/>
  <c r="J3139" i="1"/>
  <c r="I3139" i="1"/>
  <c r="H3139" i="1"/>
  <c r="G3139" i="1"/>
  <c r="F3139" i="1"/>
  <c r="D3139" i="1"/>
  <c r="B3139" i="1"/>
  <c r="A3139" i="1"/>
  <c r="J3138" i="1"/>
  <c r="I3138" i="1"/>
  <c r="H3138" i="1"/>
  <c r="G3138" i="1"/>
  <c r="F3138" i="1"/>
  <c r="D3138" i="1"/>
  <c r="B3138" i="1"/>
  <c r="A3138" i="1"/>
  <c r="J3137" i="1"/>
  <c r="I3137" i="1"/>
  <c r="H3137" i="1"/>
  <c r="G3137" i="1"/>
  <c r="F3137" i="1"/>
  <c r="D3137" i="1"/>
  <c r="B3137" i="1"/>
  <c r="A3137" i="1"/>
  <c r="J3136" i="1"/>
  <c r="I3136" i="1"/>
  <c r="H3136" i="1"/>
  <c r="G3136" i="1"/>
  <c r="F3136" i="1"/>
  <c r="D3136" i="1"/>
  <c r="B3136" i="1"/>
  <c r="A3136" i="1"/>
  <c r="J3135" i="1"/>
  <c r="I3135" i="1"/>
  <c r="H3135" i="1"/>
  <c r="G3135" i="1"/>
  <c r="F3135" i="1"/>
  <c r="D3135" i="1"/>
  <c r="B3135" i="1"/>
  <c r="A3135" i="1"/>
  <c r="J3134" i="1"/>
  <c r="I3134" i="1"/>
  <c r="H3134" i="1"/>
  <c r="G3134" i="1"/>
  <c r="F3134" i="1"/>
  <c r="D3134" i="1"/>
  <c r="B3134" i="1"/>
  <c r="A3134" i="1"/>
  <c r="J3133" i="1"/>
  <c r="I3133" i="1"/>
  <c r="H3133" i="1"/>
  <c r="G3133" i="1"/>
  <c r="F3133" i="1"/>
  <c r="D3133" i="1"/>
  <c r="B3133" i="1"/>
  <c r="A3133" i="1"/>
  <c r="J3132" i="1"/>
  <c r="I3132" i="1"/>
  <c r="H3132" i="1"/>
  <c r="G3132" i="1"/>
  <c r="F3132" i="1"/>
  <c r="D3132" i="1"/>
  <c r="B3132" i="1"/>
  <c r="A3132" i="1"/>
  <c r="J3131" i="1"/>
  <c r="I3131" i="1"/>
  <c r="H3131" i="1"/>
  <c r="G3131" i="1"/>
  <c r="F3131" i="1"/>
  <c r="D3131" i="1"/>
  <c r="B3131" i="1"/>
  <c r="A3131" i="1"/>
  <c r="J3130" i="1"/>
  <c r="I3130" i="1"/>
  <c r="H3130" i="1"/>
  <c r="G3130" i="1"/>
  <c r="F3130" i="1"/>
  <c r="D3130" i="1"/>
  <c r="B3130" i="1"/>
  <c r="A3130" i="1"/>
  <c r="J3129" i="1"/>
  <c r="I3129" i="1"/>
  <c r="H3129" i="1"/>
  <c r="G3129" i="1"/>
  <c r="F3129" i="1"/>
  <c r="D3129" i="1"/>
  <c r="B3129" i="1"/>
  <c r="A3129" i="1"/>
  <c r="J3128" i="1"/>
  <c r="I3128" i="1"/>
  <c r="H3128" i="1"/>
  <c r="G3128" i="1"/>
  <c r="F3128" i="1"/>
  <c r="D3128" i="1"/>
  <c r="B3128" i="1"/>
  <c r="A3128" i="1"/>
  <c r="J3127" i="1"/>
  <c r="I3127" i="1"/>
  <c r="H3127" i="1"/>
  <c r="G3127" i="1"/>
  <c r="F3127" i="1"/>
  <c r="D3127" i="1"/>
  <c r="B3127" i="1"/>
  <c r="A3127" i="1"/>
  <c r="J3126" i="1"/>
  <c r="I3126" i="1"/>
  <c r="H3126" i="1"/>
  <c r="G3126" i="1"/>
  <c r="F3126" i="1"/>
  <c r="D3126" i="1"/>
  <c r="B3126" i="1"/>
  <c r="A3126" i="1"/>
  <c r="J3125" i="1"/>
  <c r="I3125" i="1"/>
  <c r="H3125" i="1"/>
  <c r="G3125" i="1"/>
  <c r="F3125" i="1"/>
  <c r="D3125" i="1"/>
  <c r="B3125" i="1"/>
  <c r="A3125" i="1"/>
  <c r="J3124" i="1"/>
  <c r="I3124" i="1"/>
  <c r="H3124" i="1"/>
  <c r="G3124" i="1"/>
  <c r="F3124" i="1"/>
  <c r="D3124" i="1"/>
  <c r="B3124" i="1"/>
  <c r="A3124" i="1"/>
  <c r="J3123" i="1"/>
  <c r="I3123" i="1"/>
  <c r="H3123" i="1"/>
  <c r="G3123" i="1"/>
  <c r="F3123" i="1"/>
  <c r="D3123" i="1"/>
  <c r="B3123" i="1"/>
  <c r="A3123" i="1"/>
  <c r="J3122" i="1"/>
  <c r="I3122" i="1"/>
  <c r="H3122" i="1"/>
  <c r="G3122" i="1"/>
  <c r="F3122" i="1"/>
  <c r="D3122" i="1"/>
  <c r="B3122" i="1"/>
  <c r="A3122" i="1"/>
  <c r="J3121" i="1"/>
  <c r="I3121" i="1"/>
  <c r="H3121" i="1"/>
  <c r="G3121" i="1"/>
  <c r="F3121" i="1"/>
  <c r="D3121" i="1"/>
  <c r="B3121" i="1"/>
  <c r="A3121" i="1"/>
  <c r="J3120" i="1"/>
  <c r="I3120" i="1"/>
  <c r="H3120" i="1"/>
  <c r="G3120" i="1"/>
  <c r="F3120" i="1"/>
  <c r="D3120" i="1"/>
  <c r="B3120" i="1"/>
  <c r="A3120" i="1"/>
  <c r="J3119" i="1"/>
  <c r="I3119" i="1"/>
  <c r="H3119" i="1"/>
  <c r="G3119" i="1"/>
  <c r="F3119" i="1"/>
  <c r="D3119" i="1"/>
  <c r="B3119" i="1"/>
  <c r="A3119" i="1"/>
  <c r="J3118" i="1"/>
  <c r="I3118" i="1"/>
  <c r="H3118" i="1"/>
  <c r="G3118" i="1"/>
  <c r="F3118" i="1"/>
  <c r="D3118" i="1"/>
  <c r="B3118" i="1"/>
  <c r="A3118" i="1"/>
  <c r="J3117" i="1"/>
  <c r="I3117" i="1"/>
  <c r="H3117" i="1"/>
  <c r="G3117" i="1"/>
  <c r="F3117" i="1"/>
  <c r="D3117" i="1"/>
  <c r="B3117" i="1"/>
  <c r="A3117" i="1"/>
  <c r="J3116" i="1"/>
  <c r="I3116" i="1"/>
  <c r="H3116" i="1"/>
  <c r="G3116" i="1"/>
  <c r="F3116" i="1"/>
  <c r="D3116" i="1"/>
  <c r="B3116" i="1"/>
  <c r="A3116" i="1"/>
  <c r="J3115" i="1"/>
  <c r="I3115" i="1"/>
  <c r="H3115" i="1"/>
  <c r="G3115" i="1"/>
  <c r="F3115" i="1"/>
  <c r="D3115" i="1"/>
  <c r="B3115" i="1"/>
  <c r="A3115" i="1"/>
  <c r="J3114" i="1"/>
  <c r="I3114" i="1"/>
  <c r="H3114" i="1"/>
  <c r="G3114" i="1"/>
  <c r="F3114" i="1"/>
  <c r="D3114" i="1"/>
  <c r="B3114" i="1"/>
  <c r="A3114" i="1"/>
  <c r="J3113" i="1"/>
  <c r="I3113" i="1"/>
  <c r="H3113" i="1"/>
  <c r="G3113" i="1"/>
  <c r="F3113" i="1"/>
  <c r="D3113" i="1"/>
  <c r="B3113" i="1"/>
  <c r="A3113" i="1"/>
  <c r="J3112" i="1"/>
  <c r="I3112" i="1"/>
  <c r="H3112" i="1"/>
  <c r="G3112" i="1"/>
  <c r="F3112" i="1"/>
  <c r="D3112" i="1"/>
  <c r="B3112" i="1"/>
  <c r="A3112" i="1"/>
  <c r="J3111" i="1"/>
  <c r="I3111" i="1"/>
  <c r="H3111" i="1"/>
  <c r="G3111" i="1"/>
  <c r="F3111" i="1"/>
  <c r="D3111" i="1"/>
  <c r="B3111" i="1"/>
  <c r="A3111" i="1"/>
  <c r="J3110" i="1"/>
  <c r="I3110" i="1"/>
  <c r="H3110" i="1"/>
  <c r="G3110" i="1"/>
  <c r="F3110" i="1"/>
  <c r="D3110" i="1"/>
  <c r="B3110" i="1"/>
  <c r="A3110" i="1"/>
  <c r="J3109" i="1"/>
  <c r="I3109" i="1"/>
  <c r="H3109" i="1"/>
  <c r="G3109" i="1"/>
  <c r="F3109" i="1"/>
  <c r="D3109" i="1"/>
  <c r="B3109" i="1"/>
  <c r="A3109" i="1"/>
  <c r="J3108" i="1"/>
  <c r="I3108" i="1"/>
  <c r="H3108" i="1"/>
  <c r="G3108" i="1"/>
  <c r="F3108" i="1"/>
  <c r="D3108" i="1"/>
  <c r="B3108" i="1"/>
  <c r="A3108" i="1"/>
  <c r="J3107" i="1"/>
  <c r="I3107" i="1"/>
  <c r="H3107" i="1"/>
  <c r="G3107" i="1"/>
  <c r="F3107" i="1"/>
  <c r="D3107" i="1"/>
  <c r="B3107" i="1"/>
  <c r="A3107" i="1"/>
  <c r="J3106" i="1"/>
  <c r="I3106" i="1"/>
  <c r="H3106" i="1"/>
  <c r="G3106" i="1"/>
  <c r="F3106" i="1"/>
  <c r="D3106" i="1"/>
  <c r="B3106" i="1"/>
  <c r="A3106" i="1"/>
  <c r="J3105" i="1"/>
  <c r="I3105" i="1"/>
  <c r="H3105" i="1"/>
  <c r="G3105" i="1"/>
  <c r="F3105" i="1"/>
  <c r="D3105" i="1"/>
  <c r="B3105" i="1"/>
  <c r="A3105" i="1"/>
  <c r="J3104" i="1"/>
  <c r="I3104" i="1"/>
  <c r="H3104" i="1"/>
  <c r="G3104" i="1"/>
  <c r="F3104" i="1"/>
  <c r="D3104" i="1"/>
  <c r="B3104" i="1"/>
  <c r="A3104" i="1"/>
  <c r="J3103" i="1"/>
  <c r="I3103" i="1"/>
  <c r="H3103" i="1"/>
  <c r="G3103" i="1"/>
  <c r="F3103" i="1"/>
  <c r="D3103" i="1"/>
  <c r="B3103" i="1"/>
  <c r="A3103" i="1"/>
  <c r="J3102" i="1"/>
  <c r="I3102" i="1"/>
  <c r="H3102" i="1"/>
  <c r="G3102" i="1"/>
  <c r="F3102" i="1"/>
  <c r="D3102" i="1"/>
  <c r="B3102" i="1"/>
  <c r="A3102" i="1"/>
  <c r="J3101" i="1"/>
  <c r="I3101" i="1"/>
  <c r="H3101" i="1"/>
  <c r="G3101" i="1"/>
  <c r="F3101" i="1"/>
  <c r="D3101" i="1"/>
  <c r="B3101" i="1"/>
  <c r="A3101" i="1"/>
  <c r="J3100" i="1"/>
  <c r="I3100" i="1"/>
  <c r="H3100" i="1"/>
  <c r="G3100" i="1"/>
  <c r="F3100" i="1"/>
  <c r="D3100" i="1"/>
  <c r="B3100" i="1"/>
  <c r="A3100" i="1"/>
  <c r="J3099" i="1"/>
  <c r="I3099" i="1"/>
  <c r="H3099" i="1"/>
  <c r="G3099" i="1"/>
  <c r="F3099" i="1"/>
  <c r="D3099" i="1"/>
  <c r="B3099" i="1"/>
  <c r="A3099" i="1"/>
  <c r="J3098" i="1"/>
  <c r="I3098" i="1"/>
  <c r="H3098" i="1"/>
  <c r="G3098" i="1"/>
  <c r="F3098" i="1"/>
  <c r="D3098" i="1"/>
  <c r="B3098" i="1"/>
  <c r="A3098" i="1"/>
  <c r="J3097" i="1"/>
  <c r="I3097" i="1"/>
  <c r="H3097" i="1"/>
  <c r="G3097" i="1"/>
  <c r="F3097" i="1"/>
  <c r="D3097" i="1"/>
  <c r="B3097" i="1"/>
  <c r="A3097" i="1"/>
  <c r="J3096" i="1"/>
  <c r="I3096" i="1"/>
  <c r="H3096" i="1"/>
  <c r="G3096" i="1"/>
  <c r="F3096" i="1"/>
  <c r="D3096" i="1"/>
  <c r="B3096" i="1"/>
  <c r="A3096" i="1"/>
  <c r="J3095" i="1"/>
  <c r="I3095" i="1"/>
  <c r="H3095" i="1"/>
  <c r="G3095" i="1"/>
  <c r="F3095" i="1"/>
  <c r="D3095" i="1"/>
  <c r="B3095" i="1"/>
  <c r="A3095" i="1"/>
  <c r="J3094" i="1"/>
  <c r="I3094" i="1"/>
  <c r="H3094" i="1"/>
  <c r="G3094" i="1"/>
  <c r="F3094" i="1"/>
  <c r="D3094" i="1"/>
  <c r="B3094" i="1"/>
  <c r="A3094" i="1"/>
  <c r="J3093" i="1"/>
  <c r="I3093" i="1"/>
  <c r="H3093" i="1"/>
  <c r="G3093" i="1"/>
  <c r="F3093" i="1"/>
  <c r="D3093" i="1"/>
  <c r="B3093" i="1"/>
  <c r="A3093" i="1"/>
  <c r="J3092" i="1"/>
  <c r="I3092" i="1"/>
  <c r="H3092" i="1"/>
  <c r="G3092" i="1"/>
  <c r="F3092" i="1"/>
  <c r="D3092" i="1"/>
  <c r="B3092" i="1"/>
  <c r="A3092" i="1"/>
  <c r="J3091" i="1"/>
  <c r="I3091" i="1"/>
  <c r="H3091" i="1"/>
  <c r="G3091" i="1"/>
  <c r="F3091" i="1"/>
  <c r="D3091" i="1"/>
  <c r="B3091" i="1"/>
  <c r="A3091" i="1"/>
  <c r="J3090" i="1"/>
  <c r="I3090" i="1"/>
  <c r="H3090" i="1"/>
  <c r="G3090" i="1"/>
  <c r="F3090" i="1"/>
  <c r="D3090" i="1"/>
  <c r="B3090" i="1"/>
  <c r="A3090" i="1"/>
  <c r="J3089" i="1"/>
  <c r="I3089" i="1"/>
  <c r="H3089" i="1"/>
  <c r="G3089" i="1"/>
  <c r="F3089" i="1"/>
  <c r="D3089" i="1"/>
  <c r="B3089" i="1"/>
  <c r="A3089" i="1"/>
  <c r="J3088" i="1"/>
  <c r="I3088" i="1"/>
  <c r="H3088" i="1"/>
  <c r="G3088" i="1"/>
  <c r="F3088" i="1"/>
  <c r="D3088" i="1"/>
  <c r="B3088" i="1"/>
  <c r="A3088" i="1"/>
  <c r="J3087" i="1"/>
  <c r="I3087" i="1"/>
  <c r="H3087" i="1"/>
  <c r="G3087" i="1"/>
  <c r="F3087" i="1"/>
  <c r="D3087" i="1"/>
  <c r="B3087" i="1"/>
  <c r="A3087" i="1"/>
  <c r="J3086" i="1"/>
  <c r="I3086" i="1"/>
  <c r="H3086" i="1"/>
  <c r="G3086" i="1"/>
  <c r="F3086" i="1"/>
  <c r="D3086" i="1"/>
  <c r="B3086" i="1"/>
  <c r="A3086" i="1"/>
  <c r="J3085" i="1"/>
  <c r="I3085" i="1"/>
  <c r="H3085" i="1"/>
  <c r="G3085" i="1"/>
  <c r="F3085" i="1"/>
  <c r="D3085" i="1"/>
  <c r="B3085" i="1"/>
  <c r="A3085" i="1"/>
  <c r="J3084" i="1"/>
  <c r="I3084" i="1"/>
  <c r="H3084" i="1"/>
  <c r="G3084" i="1"/>
  <c r="F3084" i="1"/>
  <c r="D3084" i="1"/>
  <c r="B3084" i="1"/>
  <c r="A3084" i="1"/>
  <c r="J3083" i="1"/>
  <c r="I3083" i="1"/>
  <c r="H3083" i="1"/>
  <c r="G3083" i="1"/>
  <c r="F3083" i="1"/>
  <c r="D3083" i="1"/>
  <c r="B3083" i="1"/>
  <c r="A3083" i="1"/>
  <c r="J3082" i="1"/>
  <c r="I3082" i="1"/>
  <c r="H3082" i="1"/>
  <c r="G3082" i="1"/>
  <c r="F3082" i="1"/>
  <c r="D3082" i="1"/>
  <c r="B3082" i="1"/>
  <c r="A3082" i="1"/>
  <c r="J3081" i="1"/>
  <c r="I3081" i="1"/>
  <c r="H3081" i="1"/>
  <c r="G3081" i="1"/>
  <c r="F3081" i="1"/>
  <c r="D3081" i="1"/>
  <c r="B3081" i="1"/>
  <c r="A3081" i="1"/>
  <c r="J3080" i="1"/>
  <c r="I3080" i="1"/>
  <c r="H3080" i="1"/>
  <c r="G3080" i="1"/>
  <c r="F3080" i="1"/>
  <c r="D3080" i="1"/>
  <c r="B3080" i="1"/>
  <c r="A3080" i="1"/>
  <c r="J3079" i="1"/>
  <c r="I3079" i="1"/>
  <c r="H3079" i="1"/>
  <c r="G3079" i="1"/>
  <c r="F3079" i="1"/>
  <c r="D3079" i="1"/>
  <c r="B3079" i="1"/>
  <c r="A3079" i="1"/>
  <c r="J3078" i="1"/>
  <c r="I3078" i="1"/>
  <c r="H3078" i="1"/>
  <c r="G3078" i="1"/>
  <c r="F3078" i="1"/>
  <c r="D3078" i="1"/>
  <c r="B3078" i="1"/>
  <c r="A3078" i="1"/>
  <c r="J3077" i="1"/>
  <c r="I3077" i="1"/>
  <c r="H3077" i="1"/>
  <c r="G3077" i="1"/>
  <c r="F3077" i="1"/>
  <c r="D3077" i="1"/>
  <c r="B3077" i="1"/>
  <c r="A3077" i="1"/>
  <c r="J3076" i="1"/>
  <c r="I3076" i="1"/>
  <c r="H3076" i="1"/>
  <c r="G3076" i="1"/>
  <c r="F3076" i="1"/>
  <c r="D3076" i="1"/>
  <c r="B3076" i="1"/>
  <c r="A3076" i="1"/>
  <c r="J3075" i="1"/>
  <c r="I3075" i="1"/>
  <c r="H3075" i="1"/>
  <c r="G3075" i="1"/>
  <c r="F3075" i="1"/>
  <c r="D3075" i="1"/>
  <c r="B3075" i="1"/>
  <c r="A3075" i="1"/>
  <c r="J3074" i="1"/>
  <c r="I3074" i="1"/>
  <c r="H3074" i="1"/>
  <c r="G3074" i="1"/>
  <c r="F3074" i="1"/>
  <c r="D3074" i="1"/>
  <c r="B3074" i="1"/>
  <c r="A3074" i="1"/>
  <c r="J3073" i="1"/>
  <c r="I3073" i="1"/>
  <c r="H3073" i="1"/>
  <c r="G3073" i="1"/>
  <c r="F3073" i="1"/>
  <c r="D3073" i="1"/>
  <c r="B3073" i="1"/>
  <c r="A3073" i="1"/>
  <c r="J3072" i="1"/>
  <c r="I3072" i="1"/>
  <c r="H3072" i="1"/>
  <c r="G3072" i="1"/>
  <c r="F3072" i="1"/>
  <c r="D3072" i="1"/>
  <c r="B3072" i="1"/>
  <c r="A3072" i="1"/>
  <c r="J3071" i="1"/>
  <c r="I3071" i="1"/>
  <c r="H3071" i="1"/>
  <c r="G3071" i="1"/>
  <c r="F3071" i="1"/>
  <c r="D3071" i="1"/>
  <c r="B3071" i="1"/>
  <c r="A3071" i="1"/>
  <c r="J3070" i="1"/>
  <c r="I3070" i="1"/>
  <c r="H3070" i="1"/>
  <c r="G3070" i="1"/>
  <c r="F3070" i="1"/>
  <c r="D3070" i="1"/>
  <c r="B3070" i="1"/>
  <c r="A3070" i="1"/>
  <c r="J3069" i="1"/>
  <c r="I3069" i="1"/>
  <c r="H3069" i="1"/>
  <c r="G3069" i="1"/>
  <c r="F3069" i="1"/>
  <c r="D3069" i="1"/>
  <c r="B3069" i="1"/>
  <c r="A3069" i="1"/>
  <c r="J3068" i="1"/>
  <c r="I3068" i="1"/>
  <c r="H3068" i="1"/>
  <c r="G3068" i="1"/>
  <c r="F3068" i="1"/>
  <c r="D3068" i="1"/>
  <c r="B3068" i="1"/>
  <c r="A3068" i="1"/>
  <c r="J3067" i="1"/>
  <c r="I3067" i="1"/>
  <c r="H3067" i="1"/>
  <c r="G3067" i="1"/>
  <c r="F3067" i="1"/>
  <c r="D3067" i="1"/>
  <c r="B3067" i="1"/>
  <c r="A3067" i="1"/>
  <c r="J3066" i="1"/>
  <c r="I3066" i="1"/>
  <c r="H3066" i="1"/>
  <c r="G3066" i="1"/>
  <c r="F3066" i="1"/>
  <c r="D3066" i="1"/>
  <c r="B3066" i="1"/>
  <c r="A3066" i="1"/>
  <c r="J3065" i="1"/>
  <c r="I3065" i="1"/>
  <c r="H3065" i="1"/>
  <c r="G3065" i="1"/>
  <c r="F3065" i="1"/>
  <c r="D3065" i="1"/>
  <c r="B3065" i="1"/>
  <c r="A3065" i="1"/>
  <c r="J3064" i="1"/>
  <c r="I3064" i="1"/>
  <c r="H3064" i="1"/>
  <c r="G3064" i="1"/>
  <c r="F3064" i="1"/>
  <c r="D3064" i="1"/>
  <c r="B3064" i="1"/>
  <c r="A3064" i="1"/>
  <c r="J3063" i="1"/>
  <c r="I3063" i="1"/>
  <c r="H3063" i="1"/>
  <c r="G3063" i="1"/>
  <c r="F3063" i="1"/>
  <c r="D3063" i="1"/>
  <c r="B3063" i="1"/>
  <c r="A3063" i="1"/>
  <c r="J3062" i="1"/>
  <c r="I3062" i="1"/>
  <c r="H3062" i="1"/>
  <c r="G3062" i="1"/>
  <c r="F3062" i="1"/>
  <c r="D3062" i="1"/>
  <c r="B3062" i="1"/>
  <c r="A3062" i="1"/>
  <c r="J3061" i="1"/>
  <c r="I3061" i="1"/>
  <c r="H3061" i="1"/>
  <c r="G3061" i="1"/>
  <c r="F3061" i="1"/>
  <c r="D3061" i="1"/>
  <c r="B3061" i="1"/>
  <c r="A3061" i="1"/>
  <c r="J3060" i="1"/>
  <c r="I3060" i="1"/>
  <c r="H3060" i="1"/>
  <c r="G3060" i="1"/>
  <c r="F3060" i="1"/>
  <c r="D3060" i="1"/>
  <c r="B3060" i="1"/>
  <c r="A3060" i="1"/>
  <c r="J3059" i="1"/>
  <c r="I3059" i="1"/>
  <c r="H3059" i="1"/>
  <c r="G3059" i="1"/>
  <c r="F3059" i="1"/>
  <c r="D3059" i="1"/>
  <c r="B3059" i="1"/>
  <c r="A3059" i="1"/>
  <c r="J3058" i="1"/>
  <c r="I3058" i="1"/>
  <c r="H3058" i="1"/>
  <c r="G3058" i="1"/>
  <c r="F3058" i="1"/>
  <c r="D3058" i="1"/>
  <c r="B3058" i="1"/>
  <c r="A3058" i="1"/>
  <c r="J3057" i="1"/>
  <c r="I3057" i="1"/>
  <c r="H3057" i="1"/>
  <c r="G3057" i="1"/>
  <c r="F3057" i="1"/>
  <c r="D3057" i="1"/>
  <c r="B3057" i="1"/>
  <c r="A3057" i="1"/>
  <c r="J3056" i="1"/>
  <c r="I3056" i="1"/>
  <c r="H3056" i="1"/>
  <c r="G3056" i="1"/>
  <c r="F3056" i="1"/>
  <c r="D3056" i="1"/>
  <c r="B3056" i="1"/>
  <c r="A3056" i="1"/>
  <c r="J3055" i="1"/>
  <c r="I3055" i="1"/>
  <c r="H3055" i="1"/>
  <c r="G3055" i="1"/>
  <c r="F3055" i="1"/>
  <c r="D3055" i="1"/>
  <c r="B3055" i="1"/>
  <c r="A3055" i="1"/>
  <c r="J3054" i="1"/>
  <c r="I3054" i="1"/>
  <c r="H3054" i="1"/>
  <c r="G3054" i="1"/>
  <c r="F3054" i="1"/>
  <c r="D3054" i="1"/>
  <c r="B3054" i="1"/>
  <c r="A3054" i="1"/>
  <c r="J3053" i="1"/>
  <c r="I3053" i="1"/>
  <c r="H3053" i="1"/>
  <c r="G3053" i="1"/>
  <c r="F3053" i="1"/>
  <c r="D3053" i="1"/>
  <c r="B3053" i="1"/>
  <c r="A3053" i="1"/>
  <c r="J3052" i="1"/>
  <c r="I3052" i="1"/>
  <c r="H3052" i="1"/>
  <c r="G3052" i="1"/>
  <c r="F3052" i="1"/>
  <c r="D3052" i="1"/>
  <c r="B3052" i="1"/>
  <c r="A3052" i="1"/>
  <c r="J3051" i="1"/>
  <c r="I3051" i="1"/>
  <c r="H3051" i="1"/>
  <c r="G3051" i="1"/>
  <c r="F3051" i="1"/>
  <c r="D3051" i="1"/>
  <c r="B3051" i="1"/>
  <c r="A3051" i="1"/>
  <c r="J3050" i="1"/>
  <c r="I3050" i="1"/>
  <c r="H3050" i="1"/>
  <c r="G3050" i="1"/>
  <c r="F3050" i="1"/>
  <c r="D3050" i="1"/>
  <c r="B3050" i="1"/>
  <c r="A3050" i="1"/>
  <c r="J3049" i="1"/>
  <c r="I3049" i="1"/>
  <c r="H3049" i="1"/>
  <c r="G3049" i="1"/>
  <c r="F3049" i="1"/>
  <c r="D3049" i="1"/>
  <c r="B3049" i="1"/>
  <c r="A3049" i="1"/>
  <c r="J3048" i="1"/>
  <c r="I3048" i="1"/>
  <c r="H3048" i="1"/>
  <c r="G3048" i="1"/>
  <c r="F3048" i="1"/>
  <c r="D3048" i="1"/>
  <c r="B3048" i="1"/>
  <c r="A3048" i="1"/>
  <c r="J3047" i="1"/>
  <c r="I3047" i="1"/>
  <c r="H3047" i="1"/>
  <c r="G3047" i="1"/>
  <c r="F3047" i="1"/>
  <c r="D3047" i="1"/>
  <c r="B3047" i="1"/>
  <c r="A3047" i="1"/>
  <c r="J3046" i="1"/>
  <c r="I3046" i="1"/>
  <c r="H3046" i="1"/>
  <c r="G3046" i="1"/>
  <c r="F3046" i="1"/>
  <c r="D3046" i="1"/>
  <c r="B3046" i="1"/>
  <c r="A3046" i="1"/>
  <c r="J3045" i="1"/>
  <c r="I3045" i="1"/>
  <c r="H3045" i="1"/>
  <c r="G3045" i="1"/>
  <c r="F3045" i="1"/>
  <c r="D3045" i="1"/>
  <c r="B3045" i="1"/>
  <c r="A3045" i="1"/>
  <c r="J3044" i="1"/>
  <c r="I3044" i="1"/>
  <c r="H3044" i="1"/>
  <c r="G3044" i="1"/>
  <c r="F3044" i="1"/>
  <c r="D3044" i="1"/>
  <c r="B3044" i="1"/>
  <c r="A3044" i="1"/>
  <c r="J3043" i="1"/>
  <c r="I3043" i="1"/>
  <c r="H3043" i="1"/>
  <c r="G3043" i="1"/>
  <c r="F3043" i="1"/>
  <c r="D3043" i="1"/>
  <c r="B3043" i="1"/>
  <c r="A3043" i="1"/>
  <c r="J3042" i="1"/>
  <c r="I3042" i="1"/>
  <c r="H3042" i="1"/>
  <c r="G3042" i="1"/>
  <c r="F3042" i="1"/>
  <c r="D3042" i="1"/>
  <c r="B3042" i="1"/>
  <c r="A3042" i="1"/>
  <c r="J3041" i="1"/>
  <c r="I3041" i="1"/>
  <c r="H3041" i="1"/>
  <c r="G3041" i="1"/>
  <c r="F3041" i="1"/>
  <c r="D3041" i="1"/>
  <c r="B3041" i="1"/>
  <c r="A3041" i="1"/>
  <c r="J3040" i="1"/>
  <c r="I3040" i="1"/>
  <c r="H3040" i="1"/>
  <c r="G3040" i="1"/>
  <c r="F3040" i="1"/>
  <c r="D3040" i="1"/>
  <c r="B3040" i="1"/>
  <c r="A3040" i="1"/>
  <c r="J3039" i="1"/>
  <c r="I3039" i="1"/>
  <c r="H3039" i="1"/>
  <c r="G3039" i="1"/>
  <c r="F3039" i="1"/>
  <c r="D3039" i="1"/>
  <c r="B3039" i="1"/>
  <c r="A3039" i="1"/>
  <c r="J3038" i="1"/>
  <c r="I3038" i="1"/>
  <c r="H3038" i="1"/>
  <c r="G3038" i="1"/>
  <c r="F3038" i="1"/>
  <c r="D3038" i="1"/>
  <c r="B3038" i="1"/>
  <c r="A3038" i="1"/>
  <c r="J3037" i="1"/>
  <c r="I3037" i="1"/>
  <c r="H3037" i="1"/>
  <c r="G3037" i="1"/>
  <c r="F3037" i="1"/>
  <c r="D3037" i="1"/>
  <c r="B3037" i="1"/>
  <c r="A3037" i="1"/>
  <c r="J3036" i="1"/>
  <c r="I3036" i="1"/>
  <c r="H3036" i="1"/>
  <c r="G3036" i="1"/>
  <c r="F3036" i="1"/>
  <c r="D3036" i="1"/>
  <c r="B3036" i="1"/>
  <c r="A3036" i="1"/>
  <c r="J3035" i="1"/>
  <c r="I3035" i="1"/>
  <c r="H3035" i="1"/>
  <c r="G3035" i="1"/>
  <c r="F3035" i="1"/>
  <c r="D3035" i="1"/>
  <c r="B3035" i="1"/>
  <c r="A3035" i="1"/>
  <c r="J3034" i="1"/>
  <c r="I3034" i="1"/>
  <c r="H3034" i="1"/>
  <c r="G3034" i="1"/>
  <c r="F3034" i="1"/>
  <c r="D3034" i="1"/>
  <c r="B3034" i="1"/>
  <c r="A3034" i="1"/>
  <c r="J3033" i="1"/>
  <c r="I3033" i="1"/>
  <c r="H3033" i="1"/>
  <c r="G3033" i="1"/>
  <c r="F3033" i="1"/>
  <c r="D3033" i="1"/>
  <c r="B3033" i="1"/>
  <c r="A3033" i="1"/>
  <c r="J3032" i="1"/>
  <c r="I3032" i="1"/>
  <c r="H3032" i="1"/>
  <c r="G3032" i="1"/>
  <c r="F3032" i="1"/>
  <c r="D3032" i="1"/>
  <c r="B3032" i="1"/>
  <c r="A3032" i="1"/>
  <c r="J3031" i="1"/>
  <c r="I3031" i="1"/>
  <c r="H3031" i="1"/>
  <c r="G3031" i="1"/>
  <c r="F3031" i="1"/>
  <c r="D3031" i="1"/>
  <c r="B3031" i="1"/>
  <c r="A3031" i="1"/>
  <c r="J3030" i="1"/>
  <c r="I3030" i="1"/>
  <c r="H3030" i="1"/>
  <c r="G3030" i="1"/>
  <c r="F3030" i="1"/>
  <c r="D3030" i="1"/>
  <c r="B3030" i="1"/>
  <c r="A3030" i="1"/>
  <c r="J3029" i="1"/>
  <c r="I3029" i="1"/>
  <c r="H3029" i="1"/>
  <c r="G3029" i="1"/>
  <c r="F3029" i="1"/>
  <c r="D3029" i="1"/>
  <c r="B3029" i="1"/>
  <c r="A3029" i="1"/>
  <c r="J3028" i="1"/>
  <c r="I3028" i="1"/>
  <c r="H3028" i="1"/>
  <c r="G3028" i="1"/>
  <c r="F3028" i="1"/>
  <c r="D3028" i="1"/>
  <c r="B3028" i="1"/>
  <c r="A3028" i="1"/>
  <c r="J3027" i="1"/>
  <c r="I3027" i="1"/>
  <c r="H3027" i="1"/>
  <c r="G3027" i="1"/>
  <c r="F3027" i="1"/>
  <c r="D3027" i="1"/>
  <c r="B3027" i="1"/>
  <c r="A3027" i="1"/>
  <c r="J3026" i="1"/>
  <c r="I3026" i="1"/>
  <c r="H3026" i="1"/>
  <c r="G3026" i="1"/>
  <c r="F3026" i="1"/>
  <c r="D3026" i="1"/>
  <c r="B3026" i="1"/>
  <c r="A3026" i="1"/>
  <c r="J3025" i="1"/>
  <c r="I3025" i="1"/>
  <c r="H3025" i="1"/>
  <c r="G3025" i="1"/>
  <c r="F3025" i="1"/>
  <c r="D3025" i="1"/>
  <c r="B3025" i="1"/>
  <c r="A3025" i="1"/>
  <c r="J3024" i="1"/>
  <c r="I3024" i="1"/>
  <c r="H3024" i="1"/>
  <c r="G3024" i="1"/>
  <c r="F3024" i="1"/>
  <c r="D3024" i="1"/>
  <c r="B3024" i="1"/>
  <c r="A3024" i="1"/>
  <c r="J3023" i="1"/>
  <c r="I3023" i="1"/>
  <c r="H3023" i="1"/>
  <c r="G3023" i="1"/>
  <c r="F3023" i="1"/>
  <c r="D3023" i="1"/>
  <c r="B3023" i="1"/>
  <c r="A3023" i="1"/>
  <c r="J3022" i="1"/>
  <c r="I3022" i="1"/>
  <c r="H3022" i="1"/>
  <c r="G3022" i="1"/>
  <c r="F3022" i="1"/>
  <c r="D3022" i="1"/>
  <c r="B3022" i="1"/>
  <c r="A3022" i="1"/>
  <c r="J3021" i="1"/>
  <c r="I3021" i="1"/>
  <c r="H3021" i="1"/>
  <c r="G3021" i="1"/>
  <c r="F3021" i="1"/>
  <c r="D3021" i="1"/>
  <c r="B3021" i="1"/>
  <c r="A3021" i="1"/>
  <c r="J3020" i="1"/>
  <c r="I3020" i="1"/>
  <c r="H3020" i="1"/>
  <c r="G3020" i="1"/>
  <c r="F3020" i="1"/>
  <c r="D3020" i="1"/>
  <c r="B3020" i="1"/>
  <c r="A3020" i="1"/>
  <c r="J3019" i="1"/>
  <c r="I3019" i="1"/>
  <c r="H3019" i="1"/>
  <c r="G3019" i="1"/>
  <c r="F3019" i="1"/>
  <c r="D3019" i="1"/>
  <c r="B3019" i="1"/>
  <c r="A3019" i="1"/>
  <c r="J3018" i="1"/>
  <c r="I3018" i="1"/>
  <c r="H3018" i="1"/>
  <c r="G3018" i="1"/>
  <c r="F3018" i="1"/>
  <c r="D3018" i="1"/>
  <c r="B3018" i="1"/>
  <c r="A3018" i="1"/>
  <c r="J3017" i="1"/>
  <c r="I3017" i="1"/>
  <c r="H3017" i="1"/>
  <c r="G3017" i="1"/>
  <c r="F3017" i="1"/>
  <c r="D3017" i="1"/>
  <c r="B3017" i="1"/>
  <c r="A3017" i="1"/>
  <c r="J3016" i="1"/>
  <c r="I3016" i="1"/>
  <c r="H3016" i="1"/>
  <c r="G3016" i="1"/>
  <c r="F3016" i="1"/>
  <c r="D3016" i="1"/>
  <c r="B3016" i="1"/>
  <c r="A3016" i="1"/>
  <c r="J3015" i="1"/>
  <c r="I3015" i="1"/>
  <c r="H3015" i="1"/>
  <c r="G3015" i="1"/>
  <c r="F3015" i="1"/>
  <c r="D3015" i="1"/>
  <c r="B3015" i="1"/>
  <c r="A3015" i="1"/>
  <c r="J3014" i="1"/>
  <c r="I3014" i="1"/>
  <c r="H3014" i="1"/>
  <c r="G3014" i="1"/>
  <c r="F3014" i="1"/>
  <c r="D3014" i="1"/>
  <c r="B3014" i="1"/>
  <c r="A3014" i="1"/>
  <c r="J3013" i="1"/>
  <c r="I3013" i="1"/>
  <c r="H3013" i="1"/>
  <c r="G3013" i="1"/>
  <c r="F3013" i="1"/>
  <c r="D3013" i="1"/>
  <c r="B3013" i="1"/>
  <c r="A3013" i="1"/>
  <c r="J3012" i="1"/>
  <c r="I3012" i="1"/>
  <c r="H3012" i="1"/>
  <c r="G3012" i="1"/>
  <c r="F3012" i="1"/>
  <c r="D3012" i="1"/>
  <c r="B3012" i="1"/>
  <c r="A3012" i="1"/>
  <c r="J3011" i="1"/>
  <c r="I3011" i="1"/>
  <c r="H3011" i="1"/>
  <c r="G3011" i="1"/>
  <c r="F3011" i="1"/>
  <c r="D3011" i="1"/>
  <c r="B3011" i="1"/>
  <c r="A3011" i="1"/>
  <c r="J3010" i="1"/>
  <c r="I3010" i="1"/>
  <c r="H3010" i="1"/>
  <c r="G3010" i="1"/>
  <c r="F3010" i="1"/>
  <c r="D3010" i="1"/>
  <c r="B3010" i="1"/>
  <c r="A3010" i="1"/>
  <c r="J3009" i="1"/>
  <c r="I3009" i="1"/>
  <c r="H3009" i="1"/>
  <c r="G3009" i="1"/>
  <c r="F3009" i="1"/>
  <c r="D3009" i="1"/>
  <c r="B3009" i="1"/>
  <c r="A3009" i="1"/>
  <c r="J3008" i="1"/>
  <c r="I3008" i="1"/>
  <c r="H3008" i="1"/>
  <c r="G3008" i="1"/>
  <c r="F3008" i="1"/>
  <c r="D3008" i="1"/>
  <c r="B3008" i="1"/>
  <c r="A3008" i="1"/>
  <c r="J3007" i="1"/>
  <c r="I3007" i="1"/>
  <c r="H3007" i="1"/>
  <c r="G3007" i="1"/>
  <c r="F3007" i="1"/>
  <c r="D3007" i="1"/>
  <c r="B3007" i="1"/>
  <c r="A3007" i="1"/>
  <c r="J3006" i="1"/>
  <c r="I3006" i="1"/>
  <c r="H3006" i="1"/>
  <c r="G3006" i="1"/>
  <c r="F3006" i="1"/>
  <c r="D3006" i="1"/>
  <c r="B3006" i="1"/>
  <c r="A3006" i="1"/>
  <c r="J3005" i="1"/>
  <c r="I3005" i="1"/>
  <c r="H3005" i="1"/>
  <c r="G3005" i="1"/>
  <c r="F3005" i="1"/>
  <c r="D3005" i="1"/>
  <c r="B3005" i="1"/>
  <c r="A3005" i="1"/>
  <c r="J3004" i="1"/>
  <c r="I3004" i="1"/>
  <c r="H3004" i="1"/>
  <c r="G3004" i="1"/>
  <c r="F3004" i="1"/>
  <c r="D3004" i="1"/>
  <c r="B3004" i="1"/>
  <c r="A3004" i="1"/>
  <c r="J3003" i="1"/>
  <c r="I3003" i="1"/>
  <c r="H3003" i="1"/>
  <c r="G3003" i="1"/>
  <c r="F3003" i="1"/>
  <c r="D3003" i="1"/>
  <c r="B3003" i="1"/>
  <c r="A3003" i="1"/>
  <c r="J3002" i="1"/>
  <c r="I3002" i="1"/>
  <c r="H3002" i="1"/>
  <c r="G3002" i="1"/>
  <c r="F3002" i="1"/>
  <c r="D3002" i="1"/>
  <c r="B3002" i="1"/>
  <c r="A3002" i="1"/>
  <c r="J3001" i="1"/>
  <c r="I3001" i="1"/>
  <c r="H3001" i="1"/>
  <c r="G3001" i="1"/>
  <c r="F3001" i="1"/>
  <c r="D3001" i="1"/>
  <c r="B3001" i="1"/>
  <c r="A3001" i="1"/>
  <c r="J3000" i="1"/>
  <c r="I3000" i="1"/>
  <c r="H3000" i="1"/>
  <c r="G3000" i="1"/>
  <c r="F3000" i="1"/>
  <c r="D3000" i="1"/>
  <c r="B3000" i="1"/>
  <c r="A3000" i="1"/>
  <c r="J2999" i="1"/>
  <c r="I2999" i="1"/>
  <c r="H2999" i="1"/>
  <c r="G2999" i="1"/>
  <c r="F2999" i="1"/>
  <c r="D2999" i="1"/>
  <c r="B2999" i="1"/>
  <c r="A2999" i="1"/>
  <c r="J2998" i="1"/>
  <c r="I2998" i="1"/>
  <c r="H2998" i="1"/>
  <c r="G2998" i="1"/>
  <c r="F2998" i="1"/>
  <c r="D2998" i="1"/>
  <c r="B2998" i="1"/>
  <c r="A2998" i="1"/>
  <c r="J2997" i="1"/>
  <c r="I2997" i="1"/>
  <c r="H2997" i="1"/>
  <c r="G2997" i="1"/>
  <c r="F2997" i="1"/>
  <c r="D2997" i="1"/>
  <c r="B2997" i="1"/>
  <c r="A2997" i="1"/>
  <c r="J2996" i="1"/>
  <c r="I2996" i="1"/>
  <c r="H2996" i="1"/>
  <c r="G2996" i="1"/>
  <c r="F2996" i="1"/>
  <c r="D2996" i="1"/>
  <c r="B2996" i="1"/>
  <c r="A2996" i="1"/>
  <c r="J2995" i="1"/>
  <c r="I2995" i="1"/>
  <c r="H2995" i="1"/>
  <c r="G2995" i="1"/>
  <c r="F2995" i="1"/>
  <c r="D2995" i="1"/>
  <c r="B2995" i="1"/>
  <c r="A2995" i="1"/>
  <c r="J2994" i="1"/>
  <c r="I2994" i="1"/>
  <c r="H2994" i="1"/>
  <c r="G2994" i="1"/>
  <c r="F2994" i="1"/>
  <c r="D2994" i="1"/>
  <c r="B2994" i="1"/>
  <c r="A2994" i="1"/>
  <c r="J2993" i="1"/>
  <c r="I2993" i="1"/>
  <c r="H2993" i="1"/>
  <c r="G2993" i="1"/>
  <c r="F2993" i="1"/>
  <c r="D2993" i="1"/>
  <c r="B2993" i="1"/>
  <c r="A2993" i="1"/>
  <c r="J2992" i="1"/>
  <c r="I2992" i="1"/>
  <c r="H2992" i="1"/>
  <c r="G2992" i="1"/>
  <c r="F2992" i="1"/>
  <c r="D2992" i="1"/>
  <c r="B2992" i="1"/>
  <c r="A2992" i="1"/>
  <c r="J2991" i="1"/>
  <c r="I2991" i="1"/>
  <c r="H2991" i="1"/>
  <c r="G2991" i="1"/>
  <c r="F2991" i="1"/>
  <c r="D2991" i="1"/>
  <c r="B2991" i="1"/>
  <c r="A2991" i="1"/>
  <c r="J2990" i="1"/>
  <c r="I2990" i="1"/>
  <c r="H2990" i="1"/>
  <c r="G2990" i="1"/>
  <c r="F2990" i="1"/>
  <c r="D2990" i="1"/>
  <c r="B2990" i="1"/>
  <c r="A2990" i="1"/>
  <c r="J2989" i="1"/>
  <c r="I2989" i="1"/>
  <c r="H2989" i="1"/>
  <c r="G2989" i="1"/>
  <c r="F2989" i="1"/>
  <c r="D2989" i="1"/>
  <c r="B2989" i="1"/>
  <c r="A2989" i="1"/>
  <c r="J2988" i="1"/>
  <c r="I2988" i="1"/>
  <c r="H2988" i="1"/>
  <c r="G2988" i="1"/>
  <c r="F2988" i="1"/>
  <c r="D2988" i="1"/>
  <c r="B2988" i="1"/>
  <c r="A2988" i="1"/>
  <c r="J2987" i="1"/>
  <c r="I2987" i="1"/>
  <c r="H2987" i="1"/>
  <c r="G2987" i="1"/>
  <c r="F2987" i="1"/>
  <c r="D2987" i="1"/>
  <c r="B2987" i="1"/>
  <c r="A2987" i="1"/>
  <c r="J2986" i="1"/>
  <c r="I2986" i="1"/>
  <c r="H2986" i="1"/>
  <c r="G2986" i="1"/>
  <c r="F2986" i="1"/>
  <c r="D2986" i="1"/>
  <c r="B2986" i="1"/>
  <c r="A2986" i="1"/>
  <c r="J2985" i="1"/>
  <c r="I2985" i="1"/>
  <c r="H2985" i="1"/>
  <c r="G2985" i="1"/>
  <c r="F2985" i="1"/>
  <c r="D2985" i="1"/>
  <c r="B2985" i="1"/>
  <c r="A2985" i="1"/>
  <c r="J2984" i="1"/>
  <c r="I2984" i="1"/>
  <c r="H2984" i="1"/>
  <c r="G2984" i="1"/>
  <c r="F2984" i="1"/>
  <c r="D2984" i="1"/>
  <c r="B2984" i="1"/>
  <c r="A2984" i="1"/>
  <c r="J2983" i="1"/>
  <c r="I2983" i="1"/>
  <c r="H2983" i="1"/>
  <c r="G2983" i="1"/>
  <c r="F2983" i="1"/>
  <c r="D2983" i="1"/>
  <c r="B2983" i="1"/>
  <c r="A2983" i="1"/>
  <c r="J2982" i="1"/>
  <c r="I2982" i="1"/>
  <c r="H2982" i="1"/>
  <c r="G2982" i="1"/>
  <c r="F2982" i="1"/>
  <c r="D2982" i="1"/>
  <c r="B2982" i="1"/>
  <c r="A2982" i="1"/>
  <c r="J2981" i="1"/>
  <c r="I2981" i="1"/>
  <c r="H2981" i="1"/>
  <c r="G2981" i="1"/>
  <c r="F2981" i="1"/>
  <c r="D2981" i="1"/>
  <c r="B2981" i="1"/>
  <c r="A2981" i="1"/>
  <c r="J2980" i="1"/>
  <c r="I2980" i="1"/>
  <c r="H2980" i="1"/>
  <c r="G2980" i="1"/>
  <c r="F2980" i="1"/>
  <c r="D2980" i="1"/>
  <c r="B2980" i="1"/>
  <c r="A2980" i="1"/>
  <c r="J2979" i="1"/>
  <c r="I2979" i="1"/>
  <c r="H2979" i="1"/>
  <c r="G2979" i="1"/>
  <c r="F2979" i="1"/>
  <c r="D2979" i="1"/>
  <c r="B2979" i="1"/>
  <c r="A2979" i="1"/>
  <c r="J2978" i="1"/>
  <c r="I2978" i="1"/>
  <c r="H2978" i="1"/>
  <c r="G2978" i="1"/>
  <c r="F2978" i="1"/>
  <c r="D2978" i="1"/>
  <c r="B2978" i="1"/>
  <c r="A2978" i="1"/>
  <c r="J2977" i="1"/>
  <c r="I2977" i="1"/>
  <c r="H2977" i="1"/>
  <c r="G2977" i="1"/>
  <c r="F2977" i="1"/>
  <c r="D2977" i="1"/>
  <c r="B2977" i="1"/>
  <c r="A2977" i="1"/>
  <c r="J2976" i="1"/>
  <c r="I2976" i="1"/>
  <c r="H2976" i="1"/>
  <c r="G2976" i="1"/>
  <c r="F2976" i="1"/>
  <c r="D2976" i="1"/>
  <c r="B2976" i="1"/>
  <c r="A2976" i="1"/>
  <c r="J2975" i="1"/>
  <c r="I2975" i="1"/>
  <c r="H2975" i="1"/>
  <c r="G2975" i="1"/>
  <c r="F2975" i="1"/>
  <c r="D2975" i="1"/>
  <c r="B2975" i="1"/>
  <c r="A2975" i="1"/>
  <c r="J2974" i="1"/>
  <c r="I2974" i="1"/>
  <c r="H2974" i="1"/>
  <c r="G2974" i="1"/>
  <c r="F2974" i="1"/>
  <c r="D2974" i="1"/>
  <c r="B2974" i="1"/>
  <c r="A2974" i="1"/>
  <c r="J2973" i="1"/>
  <c r="I2973" i="1"/>
  <c r="H2973" i="1"/>
  <c r="G2973" i="1"/>
  <c r="F2973" i="1"/>
  <c r="D2973" i="1"/>
  <c r="B2973" i="1"/>
  <c r="A2973" i="1"/>
  <c r="J2972" i="1"/>
  <c r="I2972" i="1"/>
  <c r="H2972" i="1"/>
  <c r="G2972" i="1"/>
  <c r="F2972" i="1"/>
  <c r="D2972" i="1"/>
  <c r="B2972" i="1"/>
  <c r="A2972" i="1"/>
  <c r="J2971" i="1"/>
  <c r="I2971" i="1"/>
  <c r="H2971" i="1"/>
  <c r="G2971" i="1"/>
  <c r="F2971" i="1"/>
  <c r="D2971" i="1"/>
  <c r="B2971" i="1"/>
  <c r="A2971" i="1"/>
  <c r="J2970" i="1"/>
  <c r="I2970" i="1"/>
  <c r="H2970" i="1"/>
  <c r="G2970" i="1"/>
  <c r="F2970" i="1"/>
  <c r="D2970" i="1"/>
  <c r="B2970" i="1"/>
  <c r="A2970" i="1"/>
  <c r="J2969" i="1"/>
  <c r="I2969" i="1"/>
  <c r="H2969" i="1"/>
  <c r="G2969" i="1"/>
  <c r="F2969" i="1"/>
  <c r="D2969" i="1"/>
  <c r="B2969" i="1"/>
  <c r="A2969" i="1"/>
  <c r="J2968" i="1"/>
  <c r="I2968" i="1"/>
  <c r="H2968" i="1"/>
  <c r="G2968" i="1"/>
  <c r="F2968" i="1"/>
  <c r="D2968" i="1"/>
  <c r="B2968" i="1"/>
  <c r="A2968" i="1"/>
  <c r="J2967" i="1"/>
  <c r="I2967" i="1"/>
  <c r="H2967" i="1"/>
  <c r="G2967" i="1"/>
  <c r="F2967" i="1"/>
  <c r="D2967" i="1"/>
  <c r="B2967" i="1"/>
  <c r="A2967" i="1"/>
  <c r="J2966" i="1"/>
  <c r="I2966" i="1"/>
  <c r="H2966" i="1"/>
  <c r="G2966" i="1"/>
  <c r="F2966" i="1"/>
  <c r="D2966" i="1"/>
  <c r="B2966" i="1"/>
  <c r="A2966" i="1"/>
  <c r="J2965" i="1"/>
  <c r="I2965" i="1"/>
  <c r="H2965" i="1"/>
  <c r="G2965" i="1"/>
  <c r="F2965" i="1"/>
  <c r="D2965" i="1"/>
  <c r="B2965" i="1"/>
  <c r="A2965" i="1"/>
  <c r="J2964" i="1"/>
  <c r="I2964" i="1"/>
  <c r="H2964" i="1"/>
  <c r="G2964" i="1"/>
  <c r="F2964" i="1"/>
  <c r="D2964" i="1"/>
  <c r="B2964" i="1"/>
  <c r="A2964" i="1"/>
  <c r="J2963" i="1"/>
  <c r="I2963" i="1"/>
  <c r="H2963" i="1"/>
  <c r="G2963" i="1"/>
  <c r="F2963" i="1"/>
  <c r="D2963" i="1"/>
  <c r="B2963" i="1"/>
  <c r="A2963" i="1"/>
  <c r="J2962" i="1"/>
  <c r="I2962" i="1"/>
  <c r="H2962" i="1"/>
  <c r="G2962" i="1"/>
  <c r="F2962" i="1"/>
  <c r="D2962" i="1"/>
  <c r="B2962" i="1"/>
  <c r="A2962" i="1"/>
  <c r="J2961" i="1"/>
  <c r="I2961" i="1"/>
  <c r="H2961" i="1"/>
  <c r="G2961" i="1"/>
  <c r="F2961" i="1"/>
  <c r="D2961" i="1"/>
  <c r="B2961" i="1"/>
  <c r="A2961" i="1"/>
  <c r="J2960" i="1"/>
  <c r="I2960" i="1"/>
  <c r="H2960" i="1"/>
  <c r="G2960" i="1"/>
  <c r="F2960" i="1"/>
  <c r="D2960" i="1"/>
  <c r="B2960" i="1"/>
  <c r="A2960" i="1"/>
  <c r="J2959" i="1"/>
  <c r="I2959" i="1"/>
  <c r="H2959" i="1"/>
  <c r="G2959" i="1"/>
  <c r="F2959" i="1"/>
  <c r="D2959" i="1"/>
  <c r="B2959" i="1"/>
  <c r="A2959" i="1"/>
  <c r="J2958" i="1"/>
  <c r="I2958" i="1"/>
  <c r="H2958" i="1"/>
  <c r="G2958" i="1"/>
  <c r="F2958" i="1"/>
  <c r="D2958" i="1"/>
  <c r="B2958" i="1"/>
  <c r="A2958" i="1"/>
  <c r="J2957" i="1"/>
  <c r="I2957" i="1"/>
  <c r="H2957" i="1"/>
  <c r="G2957" i="1"/>
  <c r="F2957" i="1"/>
  <c r="D2957" i="1"/>
  <c r="B2957" i="1"/>
  <c r="A2957" i="1"/>
  <c r="J2956" i="1"/>
  <c r="I2956" i="1"/>
  <c r="H2956" i="1"/>
  <c r="G2956" i="1"/>
  <c r="F2956" i="1"/>
  <c r="D2956" i="1"/>
  <c r="B2956" i="1"/>
  <c r="A2956" i="1"/>
  <c r="J2955" i="1"/>
  <c r="I2955" i="1"/>
  <c r="H2955" i="1"/>
  <c r="G2955" i="1"/>
  <c r="F2955" i="1"/>
  <c r="D2955" i="1"/>
  <c r="B2955" i="1"/>
  <c r="A2955" i="1"/>
  <c r="J2954" i="1"/>
  <c r="I2954" i="1"/>
  <c r="H2954" i="1"/>
  <c r="G2954" i="1"/>
  <c r="F2954" i="1"/>
  <c r="D2954" i="1"/>
  <c r="B2954" i="1"/>
  <c r="A2954" i="1"/>
  <c r="J2953" i="1"/>
  <c r="I2953" i="1"/>
  <c r="H2953" i="1"/>
  <c r="G2953" i="1"/>
  <c r="F2953" i="1"/>
  <c r="D2953" i="1"/>
  <c r="B2953" i="1"/>
  <c r="A2953" i="1"/>
  <c r="J2952" i="1"/>
  <c r="I2952" i="1"/>
  <c r="H2952" i="1"/>
  <c r="G2952" i="1"/>
  <c r="F2952" i="1"/>
  <c r="D2952" i="1"/>
  <c r="B2952" i="1"/>
  <c r="A2952" i="1"/>
  <c r="J2951" i="1"/>
  <c r="I2951" i="1"/>
  <c r="H2951" i="1"/>
  <c r="G2951" i="1"/>
  <c r="F2951" i="1"/>
  <c r="D2951" i="1"/>
  <c r="B2951" i="1"/>
  <c r="A2951" i="1"/>
  <c r="J2950" i="1"/>
  <c r="I2950" i="1"/>
  <c r="H2950" i="1"/>
  <c r="G2950" i="1"/>
  <c r="F2950" i="1"/>
  <c r="D2950" i="1"/>
  <c r="B2950" i="1"/>
  <c r="A2950" i="1"/>
  <c r="J2949" i="1"/>
  <c r="I2949" i="1"/>
  <c r="H2949" i="1"/>
  <c r="G2949" i="1"/>
  <c r="F2949" i="1"/>
  <c r="D2949" i="1"/>
  <c r="B2949" i="1"/>
  <c r="A2949" i="1"/>
  <c r="J2948" i="1"/>
  <c r="I2948" i="1"/>
  <c r="H2948" i="1"/>
  <c r="G2948" i="1"/>
  <c r="F2948" i="1"/>
  <c r="D2948" i="1"/>
  <c r="B2948" i="1"/>
  <c r="A2948" i="1"/>
  <c r="J2947" i="1"/>
  <c r="I2947" i="1"/>
  <c r="H2947" i="1"/>
  <c r="G2947" i="1"/>
  <c r="F2947" i="1"/>
  <c r="D2947" i="1"/>
  <c r="B2947" i="1"/>
  <c r="A2947" i="1"/>
  <c r="J2946" i="1"/>
  <c r="I2946" i="1"/>
  <c r="H2946" i="1"/>
  <c r="G2946" i="1"/>
  <c r="F2946" i="1"/>
  <c r="D2946" i="1"/>
  <c r="B2946" i="1"/>
  <c r="A2946" i="1"/>
  <c r="J2945" i="1"/>
  <c r="I2945" i="1"/>
  <c r="H2945" i="1"/>
  <c r="G2945" i="1"/>
  <c r="F2945" i="1"/>
  <c r="D2945" i="1"/>
  <c r="B2945" i="1"/>
  <c r="A2945" i="1"/>
  <c r="J2944" i="1"/>
  <c r="I2944" i="1"/>
  <c r="H2944" i="1"/>
  <c r="G2944" i="1"/>
  <c r="F2944" i="1"/>
  <c r="D2944" i="1"/>
  <c r="B2944" i="1"/>
  <c r="A2944" i="1"/>
  <c r="J2943" i="1"/>
  <c r="I2943" i="1"/>
  <c r="H2943" i="1"/>
  <c r="G2943" i="1"/>
  <c r="F2943" i="1"/>
  <c r="D2943" i="1"/>
  <c r="B2943" i="1"/>
  <c r="A2943" i="1"/>
  <c r="J2942" i="1"/>
  <c r="I2942" i="1"/>
  <c r="H2942" i="1"/>
  <c r="G2942" i="1"/>
  <c r="F2942" i="1"/>
  <c r="D2942" i="1"/>
  <c r="B2942" i="1"/>
  <c r="A2942" i="1"/>
  <c r="J2941" i="1"/>
  <c r="I2941" i="1"/>
  <c r="H2941" i="1"/>
  <c r="G2941" i="1"/>
  <c r="F2941" i="1"/>
  <c r="D2941" i="1"/>
  <c r="B2941" i="1"/>
  <c r="A2941" i="1"/>
  <c r="J2940" i="1"/>
  <c r="I2940" i="1"/>
  <c r="H2940" i="1"/>
  <c r="G2940" i="1"/>
  <c r="F2940" i="1"/>
  <c r="D2940" i="1"/>
  <c r="B2940" i="1"/>
  <c r="A2940" i="1"/>
  <c r="J2939" i="1"/>
  <c r="I2939" i="1"/>
  <c r="H2939" i="1"/>
  <c r="G2939" i="1"/>
  <c r="F2939" i="1"/>
  <c r="D2939" i="1"/>
  <c r="B2939" i="1"/>
  <c r="A2939" i="1"/>
  <c r="J2938" i="1"/>
  <c r="I2938" i="1"/>
  <c r="H2938" i="1"/>
  <c r="G2938" i="1"/>
  <c r="F2938" i="1"/>
  <c r="D2938" i="1"/>
  <c r="B2938" i="1"/>
  <c r="A2938" i="1"/>
  <c r="J2937" i="1"/>
  <c r="I2937" i="1"/>
  <c r="H2937" i="1"/>
  <c r="G2937" i="1"/>
  <c r="F2937" i="1"/>
  <c r="D2937" i="1"/>
  <c r="B2937" i="1"/>
  <c r="A2937" i="1"/>
  <c r="J2936" i="1"/>
  <c r="I2936" i="1"/>
  <c r="H2936" i="1"/>
  <c r="G2936" i="1"/>
  <c r="F2936" i="1"/>
  <c r="D2936" i="1"/>
  <c r="B2936" i="1"/>
  <c r="A2936" i="1"/>
  <c r="J2935" i="1"/>
  <c r="I2935" i="1"/>
  <c r="H2935" i="1"/>
  <c r="G2935" i="1"/>
  <c r="F2935" i="1"/>
  <c r="D2935" i="1"/>
  <c r="B2935" i="1"/>
  <c r="A2935" i="1"/>
  <c r="J2934" i="1"/>
  <c r="I2934" i="1"/>
  <c r="H2934" i="1"/>
  <c r="G2934" i="1"/>
  <c r="F2934" i="1"/>
  <c r="D2934" i="1"/>
  <c r="B2934" i="1"/>
  <c r="A2934" i="1"/>
  <c r="J2933" i="1"/>
  <c r="I2933" i="1"/>
  <c r="H2933" i="1"/>
  <c r="G2933" i="1"/>
  <c r="F2933" i="1"/>
  <c r="D2933" i="1"/>
  <c r="B2933" i="1"/>
  <c r="A2933" i="1"/>
  <c r="J2932" i="1"/>
  <c r="I2932" i="1"/>
  <c r="H2932" i="1"/>
  <c r="G2932" i="1"/>
  <c r="F2932" i="1"/>
  <c r="D2932" i="1"/>
  <c r="B2932" i="1"/>
  <c r="A2932" i="1"/>
  <c r="J2931" i="1"/>
  <c r="I2931" i="1"/>
  <c r="H2931" i="1"/>
  <c r="G2931" i="1"/>
  <c r="F2931" i="1"/>
  <c r="D2931" i="1"/>
  <c r="B2931" i="1"/>
  <c r="A2931" i="1"/>
  <c r="J2930" i="1"/>
  <c r="I2930" i="1"/>
  <c r="H2930" i="1"/>
  <c r="G2930" i="1"/>
  <c r="F2930" i="1"/>
  <c r="D2930" i="1"/>
  <c r="B2930" i="1"/>
  <c r="A2930" i="1"/>
  <c r="J2929" i="1"/>
  <c r="I2929" i="1"/>
  <c r="H2929" i="1"/>
  <c r="G2929" i="1"/>
  <c r="F2929" i="1"/>
  <c r="D2929" i="1"/>
  <c r="B2929" i="1"/>
  <c r="A2929" i="1"/>
  <c r="J2928" i="1"/>
  <c r="I2928" i="1"/>
  <c r="H2928" i="1"/>
  <c r="G2928" i="1"/>
  <c r="F2928" i="1"/>
  <c r="D2928" i="1"/>
  <c r="B2928" i="1"/>
  <c r="A2928" i="1"/>
  <c r="J2927" i="1"/>
  <c r="I2927" i="1"/>
  <c r="H2927" i="1"/>
  <c r="G2927" i="1"/>
  <c r="F2927" i="1"/>
  <c r="D2927" i="1"/>
  <c r="B2927" i="1"/>
  <c r="A2927" i="1"/>
  <c r="J2926" i="1"/>
  <c r="I2926" i="1"/>
  <c r="H2926" i="1"/>
  <c r="G2926" i="1"/>
  <c r="F2926" i="1"/>
  <c r="D2926" i="1"/>
  <c r="B2926" i="1"/>
  <c r="A2926" i="1"/>
  <c r="J2925" i="1"/>
  <c r="I2925" i="1"/>
  <c r="H2925" i="1"/>
  <c r="G2925" i="1"/>
  <c r="F2925" i="1"/>
  <c r="D2925" i="1"/>
  <c r="B2925" i="1"/>
  <c r="A2925" i="1"/>
  <c r="J2924" i="1"/>
  <c r="I2924" i="1"/>
  <c r="H2924" i="1"/>
  <c r="G2924" i="1"/>
  <c r="F2924" i="1"/>
  <c r="D2924" i="1"/>
  <c r="B2924" i="1"/>
  <c r="A2924" i="1"/>
  <c r="J2923" i="1"/>
  <c r="I2923" i="1"/>
  <c r="H2923" i="1"/>
  <c r="G2923" i="1"/>
  <c r="F2923" i="1"/>
  <c r="D2923" i="1"/>
  <c r="B2923" i="1"/>
  <c r="A2923" i="1"/>
  <c r="J2922" i="1"/>
  <c r="I2922" i="1"/>
  <c r="H2922" i="1"/>
  <c r="G2922" i="1"/>
  <c r="F2922" i="1"/>
  <c r="D2922" i="1"/>
  <c r="B2922" i="1"/>
  <c r="A2922" i="1"/>
  <c r="J2921" i="1"/>
  <c r="I2921" i="1"/>
  <c r="H2921" i="1"/>
  <c r="G2921" i="1"/>
  <c r="F2921" i="1"/>
  <c r="D2921" i="1"/>
  <c r="B2921" i="1"/>
  <c r="A2921" i="1"/>
  <c r="J2920" i="1"/>
  <c r="I2920" i="1"/>
  <c r="H2920" i="1"/>
  <c r="G2920" i="1"/>
  <c r="F2920" i="1"/>
  <c r="D2920" i="1"/>
  <c r="B2920" i="1"/>
  <c r="A2920" i="1"/>
  <c r="J2919" i="1"/>
  <c r="I2919" i="1"/>
  <c r="H2919" i="1"/>
  <c r="G2919" i="1"/>
  <c r="F2919" i="1"/>
  <c r="D2919" i="1"/>
  <c r="B2919" i="1"/>
  <c r="A2919" i="1"/>
  <c r="J2918" i="1"/>
  <c r="I2918" i="1"/>
  <c r="H2918" i="1"/>
  <c r="G2918" i="1"/>
  <c r="F2918" i="1"/>
  <c r="D2918" i="1"/>
  <c r="B2918" i="1"/>
  <c r="A2918" i="1"/>
  <c r="J2917" i="1"/>
  <c r="I2917" i="1"/>
  <c r="H2917" i="1"/>
  <c r="G2917" i="1"/>
  <c r="F2917" i="1"/>
  <c r="D2917" i="1"/>
  <c r="B2917" i="1"/>
  <c r="A2917" i="1"/>
  <c r="J2916" i="1"/>
  <c r="I2916" i="1"/>
  <c r="H2916" i="1"/>
  <c r="G2916" i="1"/>
  <c r="F2916" i="1"/>
  <c r="D2916" i="1"/>
  <c r="B2916" i="1"/>
  <c r="A2916" i="1"/>
  <c r="J2915" i="1"/>
  <c r="I2915" i="1"/>
  <c r="H2915" i="1"/>
  <c r="G2915" i="1"/>
  <c r="F2915" i="1"/>
  <c r="D2915" i="1"/>
  <c r="B2915" i="1"/>
  <c r="A2915" i="1"/>
  <c r="J2914" i="1"/>
  <c r="I2914" i="1"/>
  <c r="H2914" i="1"/>
  <c r="G2914" i="1"/>
  <c r="F2914" i="1"/>
  <c r="D2914" i="1"/>
  <c r="B2914" i="1"/>
  <c r="A2914" i="1"/>
  <c r="J2913" i="1"/>
  <c r="I2913" i="1"/>
  <c r="H2913" i="1"/>
  <c r="G2913" i="1"/>
  <c r="F2913" i="1"/>
  <c r="D2913" i="1"/>
  <c r="B2913" i="1"/>
  <c r="A2913" i="1"/>
  <c r="J2912" i="1"/>
  <c r="I2912" i="1"/>
  <c r="H2912" i="1"/>
  <c r="G2912" i="1"/>
  <c r="F2912" i="1"/>
  <c r="D2912" i="1"/>
  <c r="B2912" i="1"/>
  <c r="A2912" i="1"/>
  <c r="J2911" i="1"/>
  <c r="I2911" i="1"/>
  <c r="H2911" i="1"/>
  <c r="G2911" i="1"/>
  <c r="F2911" i="1"/>
  <c r="D2911" i="1"/>
  <c r="B2911" i="1"/>
  <c r="A2911" i="1"/>
  <c r="J2910" i="1"/>
  <c r="I2910" i="1"/>
  <c r="H2910" i="1"/>
  <c r="G2910" i="1"/>
  <c r="F2910" i="1"/>
  <c r="D2910" i="1"/>
  <c r="B2910" i="1"/>
  <c r="A2910" i="1"/>
  <c r="J2909" i="1"/>
  <c r="I2909" i="1"/>
  <c r="H2909" i="1"/>
  <c r="G2909" i="1"/>
  <c r="F2909" i="1"/>
  <c r="D2909" i="1"/>
  <c r="B2909" i="1"/>
  <c r="A2909" i="1"/>
  <c r="J2908" i="1"/>
  <c r="I2908" i="1"/>
  <c r="H2908" i="1"/>
  <c r="G2908" i="1"/>
  <c r="F2908" i="1"/>
  <c r="D2908" i="1"/>
  <c r="B2908" i="1"/>
  <c r="A2908" i="1"/>
  <c r="J2907" i="1"/>
  <c r="I2907" i="1"/>
  <c r="H2907" i="1"/>
  <c r="G2907" i="1"/>
  <c r="F2907" i="1"/>
  <c r="D2907" i="1"/>
  <c r="B2907" i="1"/>
  <c r="A2907" i="1"/>
  <c r="J2906" i="1"/>
  <c r="I2906" i="1"/>
  <c r="H2906" i="1"/>
  <c r="G2906" i="1"/>
  <c r="F2906" i="1"/>
  <c r="D2906" i="1"/>
  <c r="B2906" i="1"/>
  <c r="A2906" i="1"/>
  <c r="J2905" i="1"/>
  <c r="I2905" i="1"/>
  <c r="H2905" i="1"/>
  <c r="G2905" i="1"/>
  <c r="F2905" i="1"/>
  <c r="D2905" i="1"/>
  <c r="B2905" i="1"/>
  <c r="A2905" i="1"/>
  <c r="J2904" i="1"/>
  <c r="I2904" i="1"/>
  <c r="H2904" i="1"/>
  <c r="G2904" i="1"/>
  <c r="F2904" i="1"/>
  <c r="D2904" i="1"/>
  <c r="B2904" i="1"/>
  <c r="A2904" i="1"/>
  <c r="J2903" i="1"/>
  <c r="I2903" i="1"/>
  <c r="H2903" i="1"/>
  <c r="G2903" i="1"/>
  <c r="F2903" i="1"/>
  <c r="D2903" i="1"/>
  <c r="B2903" i="1"/>
  <c r="A2903" i="1"/>
  <c r="J2902" i="1"/>
  <c r="I2902" i="1"/>
  <c r="H2902" i="1"/>
  <c r="G2902" i="1"/>
  <c r="F2902" i="1"/>
  <c r="D2902" i="1"/>
  <c r="B2902" i="1"/>
  <c r="A2902" i="1"/>
  <c r="J2901" i="1"/>
  <c r="I2901" i="1"/>
  <c r="H2901" i="1"/>
  <c r="G2901" i="1"/>
  <c r="F2901" i="1"/>
  <c r="D2901" i="1"/>
  <c r="B2901" i="1"/>
  <c r="A2901" i="1"/>
  <c r="J2900" i="1"/>
  <c r="I2900" i="1"/>
  <c r="H2900" i="1"/>
  <c r="G2900" i="1"/>
  <c r="F2900" i="1"/>
  <c r="D2900" i="1"/>
  <c r="B2900" i="1"/>
  <c r="A2900" i="1"/>
  <c r="J2899" i="1"/>
  <c r="I2899" i="1"/>
  <c r="H2899" i="1"/>
  <c r="G2899" i="1"/>
  <c r="F2899" i="1"/>
  <c r="D2899" i="1"/>
  <c r="B2899" i="1"/>
  <c r="A2899" i="1"/>
  <c r="J2898" i="1"/>
  <c r="I2898" i="1"/>
  <c r="H2898" i="1"/>
  <c r="G2898" i="1"/>
  <c r="F2898" i="1"/>
  <c r="D2898" i="1"/>
  <c r="B2898" i="1"/>
  <c r="A2898" i="1"/>
  <c r="J2897" i="1"/>
  <c r="I2897" i="1"/>
  <c r="H2897" i="1"/>
  <c r="G2897" i="1"/>
  <c r="F2897" i="1"/>
  <c r="D2897" i="1"/>
  <c r="B2897" i="1"/>
  <c r="A2897" i="1"/>
  <c r="J2896" i="1"/>
  <c r="I2896" i="1"/>
  <c r="H2896" i="1"/>
  <c r="G2896" i="1"/>
  <c r="F2896" i="1"/>
  <c r="D2896" i="1"/>
  <c r="B2896" i="1"/>
  <c r="A2896" i="1"/>
  <c r="J2895" i="1"/>
  <c r="I2895" i="1"/>
  <c r="H2895" i="1"/>
  <c r="G2895" i="1"/>
  <c r="F2895" i="1"/>
  <c r="D2895" i="1"/>
  <c r="B2895" i="1"/>
  <c r="A2895" i="1"/>
  <c r="J2894" i="1"/>
  <c r="I2894" i="1"/>
  <c r="H2894" i="1"/>
  <c r="G2894" i="1"/>
  <c r="F2894" i="1"/>
  <c r="D2894" i="1"/>
  <c r="B2894" i="1"/>
  <c r="A2894" i="1"/>
  <c r="J2893" i="1"/>
  <c r="I2893" i="1"/>
  <c r="H2893" i="1"/>
  <c r="G2893" i="1"/>
  <c r="F2893" i="1"/>
  <c r="D2893" i="1"/>
  <c r="B2893" i="1"/>
  <c r="A2893" i="1"/>
  <c r="J2892" i="1"/>
  <c r="I2892" i="1"/>
  <c r="H2892" i="1"/>
  <c r="G2892" i="1"/>
  <c r="F2892" i="1"/>
  <c r="D2892" i="1"/>
  <c r="B2892" i="1"/>
  <c r="A2892" i="1"/>
  <c r="J2891" i="1"/>
  <c r="I2891" i="1"/>
  <c r="H2891" i="1"/>
  <c r="G2891" i="1"/>
  <c r="F2891" i="1"/>
  <c r="D2891" i="1"/>
  <c r="B2891" i="1"/>
  <c r="A2891" i="1"/>
  <c r="J2890" i="1"/>
  <c r="I2890" i="1"/>
  <c r="H2890" i="1"/>
  <c r="G2890" i="1"/>
  <c r="F2890" i="1"/>
  <c r="D2890" i="1"/>
  <c r="B2890" i="1"/>
  <c r="A2890" i="1"/>
  <c r="J2889" i="1"/>
  <c r="I2889" i="1"/>
  <c r="H2889" i="1"/>
  <c r="G2889" i="1"/>
  <c r="F2889" i="1"/>
  <c r="D2889" i="1"/>
  <c r="B2889" i="1"/>
  <c r="A2889" i="1"/>
  <c r="J2888" i="1"/>
  <c r="I2888" i="1"/>
  <c r="H2888" i="1"/>
  <c r="G2888" i="1"/>
  <c r="F2888" i="1"/>
  <c r="D2888" i="1"/>
  <c r="B2888" i="1"/>
  <c r="A2888" i="1"/>
  <c r="J2887" i="1"/>
  <c r="I2887" i="1"/>
  <c r="H2887" i="1"/>
  <c r="G2887" i="1"/>
  <c r="F2887" i="1"/>
  <c r="D2887" i="1"/>
  <c r="B2887" i="1"/>
  <c r="A2887" i="1"/>
  <c r="J2886" i="1"/>
  <c r="I2886" i="1"/>
  <c r="H2886" i="1"/>
  <c r="G2886" i="1"/>
  <c r="F2886" i="1"/>
  <c r="D2886" i="1"/>
  <c r="B2886" i="1"/>
  <c r="A2886" i="1"/>
  <c r="J2885" i="1"/>
  <c r="I2885" i="1"/>
  <c r="H2885" i="1"/>
  <c r="G2885" i="1"/>
  <c r="F2885" i="1"/>
  <c r="D2885" i="1"/>
  <c r="B2885" i="1"/>
  <c r="A2885" i="1"/>
  <c r="J2884" i="1"/>
  <c r="I2884" i="1"/>
  <c r="H2884" i="1"/>
  <c r="G2884" i="1"/>
  <c r="F2884" i="1"/>
  <c r="D2884" i="1"/>
  <c r="B2884" i="1"/>
  <c r="A2884" i="1"/>
  <c r="J2883" i="1"/>
  <c r="I2883" i="1"/>
  <c r="H2883" i="1"/>
  <c r="G2883" i="1"/>
  <c r="F2883" i="1"/>
  <c r="D2883" i="1"/>
  <c r="B2883" i="1"/>
  <c r="A2883" i="1"/>
  <c r="J2882" i="1"/>
  <c r="I2882" i="1"/>
  <c r="H2882" i="1"/>
  <c r="G2882" i="1"/>
  <c r="F2882" i="1"/>
  <c r="D2882" i="1"/>
  <c r="B2882" i="1"/>
  <c r="A2882" i="1"/>
  <c r="J2881" i="1"/>
  <c r="I2881" i="1"/>
  <c r="H2881" i="1"/>
  <c r="G2881" i="1"/>
  <c r="F2881" i="1"/>
  <c r="D2881" i="1"/>
  <c r="B2881" i="1"/>
  <c r="A2881" i="1"/>
  <c r="J2880" i="1"/>
  <c r="I2880" i="1"/>
  <c r="H2880" i="1"/>
  <c r="G2880" i="1"/>
  <c r="F2880" i="1"/>
  <c r="D2880" i="1"/>
  <c r="B2880" i="1"/>
  <c r="A2880" i="1"/>
  <c r="J2879" i="1"/>
  <c r="I2879" i="1"/>
  <c r="H2879" i="1"/>
  <c r="G2879" i="1"/>
  <c r="F2879" i="1"/>
  <c r="D2879" i="1"/>
  <c r="B2879" i="1"/>
  <c r="A2879" i="1"/>
  <c r="J2878" i="1"/>
  <c r="I2878" i="1"/>
  <c r="H2878" i="1"/>
  <c r="G2878" i="1"/>
  <c r="F2878" i="1"/>
  <c r="D2878" i="1"/>
  <c r="B2878" i="1"/>
  <c r="A2878" i="1"/>
  <c r="J2877" i="1"/>
  <c r="I2877" i="1"/>
  <c r="H2877" i="1"/>
  <c r="G2877" i="1"/>
  <c r="F2877" i="1"/>
  <c r="D2877" i="1"/>
  <c r="B2877" i="1"/>
  <c r="A2877" i="1"/>
  <c r="J2876" i="1"/>
  <c r="I2876" i="1"/>
  <c r="H2876" i="1"/>
  <c r="G2876" i="1"/>
  <c r="F2876" i="1"/>
  <c r="D2876" i="1"/>
  <c r="B2876" i="1"/>
  <c r="A2876" i="1"/>
  <c r="J2875" i="1"/>
  <c r="I2875" i="1"/>
  <c r="H2875" i="1"/>
  <c r="G2875" i="1"/>
  <c r="F2875" i="1"/>
  <c r="D2875" i="1"/>
  <c r="B2875" i="1"/>
  <c r="A2875" i="1"/>
  <c r="J2874" i="1"/>
  <c r="I2874" i="1"/>
  <c r="H2874" i="1"/>
  <c r="G2874" i="1"/>
  <c r="F2874" i="1"/>
  <c r="D2874" i="1"/>
  <c r="B2874" i="1"/>
  <c r="A2874" i="1"/>
  <c r="J2873" i="1"/>
  <c r="I2873" i="1"/>
  <c r="H2873" i="1"/>
  <c r="G2873" i="1"/>
  <c r="F2873" i="1"/>
  <c r="D2873" i="1"/>
  <c r="B2873" i="1"/>
  <c r="A2873" i="1"/>
  <c r="J2872" i="1"/>
  <c r="I2872" i="1"/>
  <c r="H2872" i="1"/>
  <c r="G2872" i="1"/>
  <c r="F2872" i="1"/>
  <c r="D2872" i="1"/>
  <c r="B2872" i="1"/>
  <c r="A2872" i="1"/>
  <c r="J2871" i="1"/>
  <c r="I2871" i="1"/>
  <c r="H2871" i="1"/>
  <c r="G2871" i="1"/>
  <c r="F2871" i="1"/>
  <c r="D2871" i="1"/>
  <c r="B2871" i="1"/>
  <c r="A2871" i="1"/>
  <c r="J2870" i="1"/>
  <c r="I2870" i="1"/>
  <c r="H2870" i="1"/>
  <c r="G2870" i="1"/>
  <c r="F2870" i="1"/>
  <c r="D2870" i="1"/>
  <c r="B2870" i="1"/>
  <c r="A2870" i="1"/>
  <c r="J2869" i="1"/>
  <c r="I2869" i="1"/>
  <c r="H2869" i="1"/>
  <c r="G2869" i="1"/>
  <c r="F2869" i="1"/>
  <c r="D2869" i="1"/>
  <c r="B2869" i="1"/>
  <c r="A2869" i="1"/>
  <c r="J2868" i="1"/>
  <c r="I2868" i="1"/>
  <c r="H2868" i="1"/>
  <c r="G2868" i="1"/>
  <c r="F2868" i="1"/>
  <c r="D2868" i="1"/>
  <c r="B2868" i="1"/>
  <c r="A2868" i="1"/>
  <c r="J2867" i="1"/>
  <c r="I2867" i="1"/>
  <c r="H2867" i="1"/>
  <c r="G2867" i="1"/>
  <c r="F2867" i="1"/>
  <c r="D2867" i="1"/>
  <c r="B2867" i="1"/>
  <c r="A2867" i="1"/>
  <c r="J2866" i="1"/>
  <c r="I2866" i="1"/>
  <c r="H2866" i="1"/>
  <c r="G2866" i="1"/>
  <c r="F2866" i="1"/>
  <c r="D2866" i="1"/>
  <c r="B2866" i="1"/>
  <c r="A2866" i="1"/>
  <c r="J2865" i="1"/>
  <c r="I2865" i="1"/>
  <c r="H2865" i="1"/>
  <c r="G2865" i="1"/>
  <c r="F2865" i="1"/>
  <c r="D2865" i="1"/>
  <c r="B2865" i="1"/>
  <c r="A2865" i="1"/>
  <c r="J2864" i="1"/>
  <c r="I2864" i="1"/>
  <c r="H2864" i="1"/>
  <c r="G2864" i="1"/>
  <c r="F2864" i="1"/>
  <c r="D2864" i="1"/>
  <c r="B2864" i="1"/>
  <c r="A2864" i="1"/>
  <c r="J2863" i="1"/>
  <c r="I2863" i="1"/>
  <c r="H2863" i="1"/>
  <c r="G2863" i="1"/>
  <c r="F2863" i="1"/>
  <c r="D2863" i="1"/>
  <c r="B2863" i="1"/>
  <c r="A2863" i="1"/>
  <c r="J2862" i="1"/>
  <c r="I2862" i="1"/>
  <c r="H2862" i="1"/>
  <c r="G2862" i="1"/>
  <c r="F2862" i="1"/>
  <c r="D2862" i="1"/>
  <c r="B2862" i="1"/>
  <c r="A2862" i="1"/>
  <c r="J2861" i="1"/>
  <c r="I2861" i="1"/>
  <c r="H2861" i="1"/>
  <c r="G2861" i="1"/>
  <c r="F2861" i="1"/>
  <c r="D2861" i="1"/>
  <c r="B2861" i="1"/>
  <c r="A2861" i="1"/>
  <c r="J2860" i="1"/>
  <c r="I2860" i="1"/>
  <c r="H2860" i="1"/>
  <c r="G2860" i="1"/>
  <c r="F2860" i="1"/>
  <c r="D2860" i="1"/>
  <c r="B2860" i="1"/>
  <c r="A2860" i="1"/>
  <c r="J2859" i="1"/>
  <c r="I2859" i="1"/>
  <c r="H2859" i="1"/>
  <c r="G2859" i="1"/>
  <c r="F2859" i="1"/>
  <c r="D2859" i="1"/>
  <c r="B2859" i="1"/>
  <c r="A2859" i="1"/>
  <c r="J2858" i="1"/>
  <c r="I2858" i="1"/>
  <c r="H2858" i="1"/>
  <c r="G2858" i="1"/>
  <c r="F2858" i="1"/>
  <c r="D2858" i="1"/>
  <c r="B2858" i="1"/>
  <c r="A2858" i="1"/>
  <c r="J2857" i="1"/>
  <c r="I2857" i="1"/>
  <c r="H2857" i="1"/>
  <c r="G2857" i="1"/>
  <c r="F2857" i="1"/>
  <c r="D2857" i="1"/>
  <c r="B2857" i="1"/>
  <c r="A2857" i="1"/>
  <c r="J2856" i="1"/>
  <c r="I2856" i="1"/>
  <c r="H2856" i="1"/>
  <c r="G2856" i="1"/>
  <c r="F2856" i="1"/>
  <c r="D2856" i="1"/>
  <c r="B2856" i="1"/>
  <c r="A2856" i="1"/>
  <c r="J2855" i="1"/>
  <c r="I2855" i="1"/>
  <c r="H2855" i="1"/>
  <c r="G2855" i="1"/>
  <c r="F2855" i="1"/>
  <c r="D2855" i="1"/>
  <c r="B2855" i="1"/>
  <c r="A2855" i="1"/>
  <c r="J2854" i="1"/>
  <c r="I2854" i="1"/>
  <c r="H2854" i="1"/>
  <c r="G2854" i="1"/>
  <c r="F2854" i="1"/>
  <c r="D2854" i="1"/>
  <c r="B2854" i="1"/>
  <c r="A2854" i="1"/>
  <c r="J2853" i="1"/>
  <c r="I2853" i="1"/>
  <c r="H2853" i="1"/>
  <c r="G2853" i="1"/>
  <c r="F2853" i="1"/>
  <c r="D2853" i="1"/>
  <c r="B2853" i="1"/>
  <c r="A2853" i="1"/>
  <c r="J2852" i="1"/>
  <c r="I2852" i="1"/>
  <c r="H2852" i="1"/>
  <c r="G2852" i="1"/>
  <c r="F2852" i="1"/>
  <c r="D2852" i="1"/>
  <c r="B2852" i="1"/>
  <c r="A2852" i="1"/>
  <c r="J2851" i="1"/>
  <c r="I2851" i="1"/>
  <c r="H2851" i="1"/>
  <c r="G2851" i="1"/>
  <c r="F2851" i="1"/>
  <c r="D2851" i="1"/>
  <c r="B2851" i="1"/>
  <c r="A2851" i="1"/>
  <c r="J2850" i="1"/>
  <c r="I2850" i="1"/>
  <c r="H2850" i="1"/>
  <c r="G2850" i="1"/>
  <c r="F2850" i="1"/>
  <c r="D2850" i="1"/>
  <c r="B2850" i="1"/>
  <c r="A2850" i="1"/>
  <c r="J2849" i="1"/>
  <c r="I2849" i="1"/>
  <c r="H2849" i="1"/>
  <c r="G2849" i="1"/>
  <c r="F2849" i="1"/>
  <c r="D2849" i="1"/>
  <c r="B2849" i="1"/>
  <c r="A2849" i="1"/>
  <c r="J2848" i="1"/>
  <c r="I2848" i="1"/>
  <c r="H2848" i="1"/>
  <c r="G2848" i="1"/>
  <c r="F2848" i="1"/>
  <c r="D2848" i="1"/>
  <c r="B2848" i="1"/>
  <c r="A2848" i="1"/>
  <c r="J2847" i="1"/>
  <c r="I2847" i="1"/>
  <c r="H2847" i="1"/>
  <c r="G2847" i="1"/>
  <c r="F2847" i="1"/>
  <c r="D2847" i="1"/>
  <c r="B2847" i="1"/>
  <c r="A2847" i="1"/>
  <c r="J2846" i="1"/>
  <c r="I2846" i="1"/>
  <c r="H2846" i="1"/>
  <c r="G2846" i="1"/>
  <c r="F2846" i="1"/>
  <c r="D2846" i="1"/>
  <c r="B2846" i="1"/>
  <c r="A2846" i="1"/>
  <c r="J2845" i="1"/>
  <c r="I2845" i="1"/>
  <c r="H2845" i="1"/>
  <c r="G2845" i="1"/>
  <c r="F2845" i="1"/>
  <c r="D2845" i="1"/>
  <c r="B2845" i="1"/>
  <c r="A2845" i="1"/>
  <c r="J2844" i="1"/>
  <c r="I2844" i="1"/>
  <c r="H2844" i="1"/>
  <c r="G2844" i="1"/>
  <c r="F2844" i="1"/>
  <c r="D2844" i="1"/>
  <c r="B2844" i="1"/>
  <c r="A2844" i="1"/>
  <c r="J2843" i="1"/>
  <c r="I2843" i="1"/>
  <c r="H2843" i="1"/>
  <c r="G2843" i="1"/>
  <c r="F2843" i="1"/>
  <c r="D2843" i="1"/>
  <c r="B2843" i="1"/>
  <c r="A2843" i="1"/>
  <c r="J2842" i="1"/>
  <c r="I2842" i="1"/>
  <c r="H2842" i="1"/>
  <c r="G2842" i="1"/>
  <c r="F2842" i="1"/>
  <c r="D2842" i="1"/>
  <c r="B2842" i="1"/>
  <c r="A2842" i="1"/>
  <c r="J2841" i="1"/>
  <c r="I2841" i="1"/>
  <c r="H2841" i="1"/>
  <c r="G2841" i="1"/>
  <c r="F2841" i="1"/>
  <c r="D2841" i="1"/>
  <c r="B2841" i="1"/>
  <c r="A2841" i="1"/>
  <c r="J2840" i="1"/>
  <c r="I2840" i="1"/>
  <c r="H2840" i="1"/>
  <c r="G2840" i="1"/>
  <c r="F2840" i="1"/>
  <c r="D2840" i="1"/>
  <c r="B2840" i="1"/>
  <c r="A2840" i="1"/>
  <c r="J2839" i="1"/>
  <c r="I2839" i="1"/>
  <c r="H2839" i="1"/>
  <c r="G2839" i="1"/>
  <c r="F2839" i="1"/>
  <c r="D2839" i="1"/>
  <c r="B2839" i="1"/>
  <c r="A2839" i="1"/>
  <c r="J2838" i="1"/>
  <c r="I2838" i="1"/>
  <c r="H2838" i="1"/>
  <c r="G2838" i="1"/>
  <c r="F2838" i="1"/>
  <c r="D2838" i="1"/>
  <c r="B2838" i="1"/>
  <c r="A2838" i="1"/>
  <c r="J2837" i="1"/>
  <c r="I2837" i="1"/>
  <c r="H2837" i="1"/>
  <c r="G2837" i="1"/>
  <c r="F2837" i="1"/>
  <c r="D2837" i="1"/>
  <c r="B2837" i="1"/>
  <c r="A2837" i="1"/>
  <c r="J2836" i="1"/>
  <c r="I2836" i="1"/>
  <c r="H2836" i="1"/>
  <c r="G2836" i="1"/>
  <c r="F2836" i="1"/>
  <c r="D2836" i="1"/>
  <c r="B2836" i="1"/>
  <c r="A2836" i="1"/>
  <c r="J2835" i="1"/>
  <c r="I2835" i="1"/>
  <c r="H2835" i="1"/>
  <c r="G2835" i="1"/>
  <c r="F2835" i="1"/>
  <c r="D2835" i="1"/>
  <c r="B2835" i="1"/>
  <c r="A2835" i="1"/>
  <c r="J2834" i="1"/>
  <c r="I2834" i="1"/>
  <c r="H2834" i="1"/>
  <c r="G2834" i="1"/>
  <c r="F2834" i="1"/>
  <c r="D2834" i="1"/>
  <c r="B2834" i="1"/>
  <c r="A2834" i="1"/>
  <c r="J2833" i="1"/>
  <c r="I2833" i="1"/>
  <c r="H2833" i="1"/>
  <c r="G2833" i="1"/>
  <c r="F2833" i="1"/>
  <c r="D2833" i="1"/>
  <c r="B2833" i="1"/>
  <c r="A2833" i="1"/>
  <c r="J2832" i="1"/>
  <c r="I2832" i="1"/>
  <c r="H2832" i="1"/>
  <c r="G2832" i="1"/>
  <c r="F2832" i="1"/>
  <c r="D2832" i="1"/>
  <c r="B2832" i="1"/>
  <c r="A2832" i="1"/>
  <c r="J2831" i="1"/>
  <c r="I2831" i="1"/>
  <c r="H2831" i="1"/>
  <c r="G2831" i="1"/>
  <c r="F2831" i="1"/>
  <c r="D2831" i="1"/>
  <c r="B2831" i="1"/>
  <c r="A2831" i="1"/>
  <c r="J2830" i="1"/>
  <c r="I2830" i="1"/>
  <c r="H2830" i="1"/>
  <c r="G2830" i="1"/>
  <c r="F2830" i="1"/>
  <c r="D2830" i="1"/>
  <c r="B2830" i="1"/>
  <c r="A2830" i="1"/>
  <c r="J2829" i="1"/>
  <c r="I2829" i="1"/>
  <c r="H2829" i="1"/>
  <c r="G2829" i="1"/>
  <c r="F2829" i="1"/>
  <c r="D2829" i="1"/>
  <c r="B2829" i="1"/>
  <c r="A2829" i="1"/>
  <c r="J2828" i="1"/>
  <c r="I2828" i="1"/>
  <c r="H2828" i="1"/>
  <c r="G2828" i="1"/>
  <c r="F2828" i="1"/>
  <c r="D2828" i="1"/>
  <c r="B2828" i="1"/>
  <c r="A2828" i="1"/>
  <c r="J2827" i="1"/>
  <c r="I2827" i="1"/>
  <c r="H2827" i="1"/>
  <c r="G2827" i="1"/>
  <c r="F2827" i="1"/>
  <c r="D2827" i="1"/>
  <c r="B2827" i="1"/>
  <c r="A2827" i="1"/>
  <c r="J2826" i="1"/>
  <c r="I2826" i="1"/>
  <c r="H2826" i="1"/>
  <c r="G2826" i="1"/>
  <c r="F2826" i="1"/>
  <c r="D2826" i="1"/>
  <c r="B2826" i="1"/>
  <c r="A2826" i="1"/>
  <c r="J2825" i="1"/>
  <c r="I2825" i="1"/>
  <c r="H2825" i="1"/>
  <c r="G2825" i="1"/>
  <c r="F2825" i="1"/>
  <c r="D2825" i="1"/>
  <c r="B2825" i="1"/>
  <c r="A2825" i="1"/>
  <c r="J2824" i="1"/>
  <c r="I2824" i="1"/>
  <c r="H2824" i="1"/>
  <c r="G2824" i="1"/>
  <c r="F2824" i="1"/>
  <c r="D2824" i="1"/>
  <c r="B2824" i="1"/>
  <c r="A2824" i="1"/>
  <c r="J2823" i="1"/>
  <c r="I2823" i="1"/>
  <c r="H2823" i="1"/>
  <c r="G2823" i="1"/>
  <c r="F2823" i="1"/>
  <c r="D2823" i="1"/>
  <c r="B2823" i="1"/>
  <c r="A2823" i="1"/>
  <c r="J2822" i="1"/>
  <c r="I2822" i="1"/>
  <c r="H2822" i="1"/>
  <c r="G2822" i="1"/>
  <c r="F2822" i="1"/>
  <c r="D2822" i="1"/>
  <c r="B2822" i="1"/>
  <c r="A2822" i="1"/>
  <c r="J2821" i="1"/>
  <c r="I2821" i="1"/>
  <c r="H2821" i="1"/>
  <c r="G2821" i="1"/>
  <c r="F2821" i="1"/>
  <c r="D2821" i="1"/>
  <c r="B2821" i="1"/>
  <c r="A2821" i="1"/>
  <c r="J2820" i="1"/>
  <c r="I2820" i="1"/>
  <c r="H2820" i="1"/>
  <c r="G2820" i="1"/>
  <c r="F2820" i="1"/>
  <c r="D2820" i="1"/>
  <c r="B2820" i="1"/>
  <c r="A2820" i="1"/>
  <c r="J2819" i="1"/>
  <c r="I2819" i="1"/>
  <c r="H2819" i="1"/>
  <c r="G2819" i="1"/>
  <c r="F2819" i="1"/>
  <c r="D2819" i="1"/>
  <c r="B2819" i="1"/>
  <c r="A2819" i="1"/>
  <c r="J2818" i="1"/>
  <c r="I2818" i="1"/>
  <c r="H2818" i="1"/>
  <c r="G2818" i="1"/>
  <c r="F2818" i="1"/>
  <c r="D2818" i="1"/>
  <c r="B2818" i="1"/>
  <c r="A2818" i="1"/>
  <c r="J2817" i="1"/>
  <c r="I2817" i="1"/>
  <c r="H2817" i="1"/>
  <c r="G2817" i="1"/>
  <c r="F2817" i="1"/>
  <c r="D2817" i="1"/>
  <c r="B2817" i="1"/>
  <c r="A2817" i="1"/>
  <c r="J2816" i="1"/>
  <c r="I2816" i="1"/>
  <c r="H2816" i="1"/>
  <c r="G2816" i="1"/>
  <c r="F2816" i="1"/>
  <c r="D2816" i="1"/>
  <c r="B2816" i="1"/>
  <c r="A2816" i="1"/>
  <c r="J2815" i="1"/>
  <c r="I2815" i="1"/>
  <c r="H2815" i="1"/>
  <c r="G2815" i="1"/>
  <c r="F2815" i="1"/>
  <c r="D2815" i="1"/>
  <c r="B2815" i="1"/>
  <c r="A2815" i="1"/>
  <c r="J2814" i="1"/>
  <c r="I2814" i="1"/>
  <c r="H2814" i="1"/>
  <c r="G2814" i="1"/>
  <c r="F2814" i="1"/>
  <c r="D2814" i="1"/>
  <c r="B2814" i="1"/>
  <c r="A2814" i="1"/>
  <c r="J2813" i="1"/>
  <c r="I2813" i="1"/>
  <c r="H2813" i="1"/>
  <c r="G2813" i="1"/>
  <c r="F2813" i="1"/>
  <c r="D2813" i="1"/>
  <c r="B2813" i="1"/>
  <c r="A2813" i="1"/>
  <c r="J2812" i="1"/>
  <c r="I2812" i="1"/>
  <c r="H2812" i="1"/>
  <c r="G2812" i="1"/>
  <c r="F2812" i="1"/>
  <c r="D2812" i="1"/>
  <c r="B2812" i="1"/>
  <c r="A2812" i="1"/>
  <c r="J2811" i="1"/>
  <c r="I2811" i="1"/>
  <c r="H2811" i="1"/>
  <c r="G2811" i="1"/>
  <c r="F2811" i="1"/>
  <c r="D2811" i="1"/>
  <c r="B2811" i="1"/>
  <c r="A2811" i="1"/>
  <c r="J2810" i="1"/>
  <c r="I2810" i="1"/>
  <c r="H2810" i="1"/>
  <c r="G2810" i="1"/>
  <c r="F2810" i="1"/>
  <c r="D2810" i="1"/>
  <c r="B2810" i="1"/>
  <c r="A2810" i="1"/>
  <c r="J2809" i="1"/>
  <c r="I2809" i="1"/>
  <c r="H2809" i="1"/>
  <c r="G2809" i="1"/>
  <c r="F2809" i="1"/>
  <c r="D2809" i="1"/>
  <c r="B2809" i="1"/>
  <c r="A2809" i="1"/>
  <c r="J2808" i="1"/>
  <c r="I2808" i="1"/>
  <c r="H2808" i="1"/>
  <c r="G2808" i="1"/>
  <c r="F2808" i="1"/>
  <c r="D2808" i="1"/>
  <c r="B2808" i="1"/>
  <c r="A2808" i="1"/>
  <c r="J2807" i="1"/>
  <c r="I2807" i="1"/>
  <c r="H2807" i="1"/>
  <c r="G2807" i="1"/>
  <c r="F2807" i="1"/>
  <c r="D2807" i="1"/>
  <c r="B2807" i="1"/>
  <c r="A2807" i="1"/>
  <c r="J2806" i="1"/>
  <c r="I2806" i="1"/>
  <c r="H2806" i="1"/>
  <c r="G2806" i="1"/>
  <c r="F2806" i="1"/>
  <c r="D2806" i="1"/>
  <c r="B2806" i="1"/>
  <c r="A2806" i="1"/>
  <c r="J2805" i="1"/>
  <c r="I2805" i="1"/>
  <c r="H2805" i="1"/>
  <c r="G2805" i="1"/>
  <c r="F2805" i="1"/>
  <c r="D2805" i="1"/>
  <c r="B2805" i="1"/>
  <c r="A2805" i="1"/>
  <c r="J2804" i="1"/>
  <c r="I2804" i="1"/>
  <c r="H2804" i="1"/>
  <c r="G2804" i="1"/>
  <c r="F2804" i="1"/>
  <c r="D2804" i="1"/>
  <c r="B2804" i="1"/>
  <c r="A2804" i="1"/>
  <c r="J2803" i="1"/>
  <c r="I2803" i="1"/>
  <c r="H2803" i="1"/>
  <c r="G2803" i="1"/>
  <c r="F2803" i="1"/>
  <c r="D2803" i="1"/>
  <c r="B2803" i="1"/>
  <c r="A2803" i="1"/>
  <c r="J2802" i="1"/>
  <c r="I2802" i="1"/>
  <c r="H2802" i="1"/>
  <c r="G2802" i="1"/>
  <c r="F2802" i="1"/>
  <c r="D2802" i="1"/>
  <c r="B2802" i="1"/>
  <c r="A2802" i="1"/>
  <c r="J2801" i="1"/>
  <c r="I2801" i="1"/>
  <c r="H2801" i="1"/>
  <c r="G2801" i="1"/>
  <c r="F2801" i="1"/>
  <c r="D2801" i="1"/>
  <c r="B2801" i="1"/>
  <c r="A2801" i="1"/>
  <c r="J2800" i="1"/>
  <c r="I2800" i="1"/>
  <c r="H2800" i="1"/>
  <c r="G2800" i="1"/>
  <c r="F2800" i="1"/>
  <c r="D2800" i="1"/>
  <c r="B2800" i="1"/>
  <c r="A2800" i="1"/>
  <c r="J2799" i="1"/>
  <c r="I2799" i="1"/>
  <c r="H2799" i="1"/>
  <c r="G2799" i="1"/>
  <c r="F2799" i="1"/>
  <c r="D2799" i="1"/>
  <c r="B2799" i="1"/>
  <c r="A2799" i="1"/>
  <c r="J2798" i="1"/>
  <c r="I2798" i="1"/>
  <c r="H2798" i="1"/>
  <c r="G2798" i="1"/>
  <c r="F2798" i="1"/>
  <c r="D2798" i="1"/>
  <c r="B2798" i="1"/>
  <c r="A2798" i="1"/>
  <c r="J2797" i="1"/>
  <c r="I2797" i="1"/>
  <c r="H2797" i="1"/>
  <c r="G2797" i="1"/>
  <c r="F2797" i="1"/>
  <c r="D2797" i="1"/>
  <c r="B2797" i="1"/>
  <c r="A2797" i="1"/>
  <c r="J2796" i="1"/>
  <c r="I2796" i="1"/>
  <c r="H2796" i="1"/>
  <c r="G2796" i="1"/>
  <c r="F2796" i="1"/>
  <c r="D2796" i="1"/>
  <c r="B2796" i="1"/>
  <c r="A2796" i="1"/>
  <c r="J2795" i="1"/>
  <c r="I2795" i="1"/>
  <c r="H2795" i="1"/>
  <c r="G2795" i="1"/>
  <c r="F2795" i="1"/>
  <c r="D2795" i="1"/>
  <c r="B2795" i="1"/>
  <c r="A2795" i="1"/>
  <c r="J2794" i="1"/>
  <c r="I2794" i="1"/>
  <c r="H2794" i="1"/>
  <c r="G2794" i="1"/>
  <c r="F2794" i="1"/>
  <c r="D2794" i="1"/>
  <c r="B2794" i="1"/>
  <c r="A2794" i="1"/>
  <c r="J2793" i="1"/>
  <c r="I2793" i="1"/>
  <c r="H2793" i="1"/>
  <c r="G2793" i="1"/>
  <c r="F2793" i="1"/>
  <c r="D2793" i="1"/>
  <c r="B2793" i="1"/>
  <c r="A2793" i="1"/>
  <c r="J2792" i="1"/>
  <c r="I2792" i="1"/>
  <c r="H2792" i="1"/>
  <c r="G2792" i="1"/>
  <c r="F2792" i="1"/>
  <c r="D2792" i="1"/>
  <c r="B2792" i="1"/>
  <c r="A2792" i="1"/>
  <c r="J2791" i="1"/>
  <c r="I2791" i="1"/>
  <c r="H2791" i="1"/>
  <c r="G2791" i="1"/>
  <c r="F2791" i="1"/>
  <c r="D2791" i="1"/>
  <c r="B2791" i="1"/>
  <c r="A2791" i="1"/>
  <c r="J2790" i="1"/>
  <c r="I2790" i="1"/>
  <c r="H2790" i="1"/>
  <c r="G2790" i="1"/>
  <c r="F2790" i="1"/>
  <c r="D2790" i="1"/>
  <c r="B2790" i="1"/>
  <c r="A2790" i="1"/>
  <c r="J2789" i="1"/>
  <c r="I2789" i="1"/>
  <c r="H2789" i="1"/>
  <c r="G2789" i="1"/>
  <c r="F2789" i="1"/>
  <c r="D2789" i="1"/>
  <c r="B2789" i="1"/>
  <c r="A2789" i="1"/>
  <c r="J2788" i="1"/>
  <c r="I2788" i="1"/>
  <c r="H2788" i="1"/>
  <c r="G2788" i="1"/>
  <c r="F2788" i="1"/>
  <c r="D2788" i="1"/>
  <c r="B2788" i="1"/>
  <c r="A2788" i="1"/>
  <c r="J2787" i="1"/>
  <c r="I2787" i="1"/>
  <c r="H2787" i="1"/>
  <c r="G2787" i="1"/>
  <c r="F2787" i="1"/>
  <c r="D2787" i="1"/>
  <c r="B2787" i="1"/>
  <c r="A2787" i="1"/>
  <c r="J2786" i="1"/>
  <c r="I2786" i="1"/>
  <c r="H2786" i="1"/>
  <c r="G2786" i="1"/>
  <c r="F2786" i="1"/>
  <c r="D2786" i="1"/>
  <c r="B2786" i="1"/>
  <c r="A2786" i="1"/>
  <c r="J2785" i="1"/>
  <c r="I2785" i="1"/>
  <c r="H2785" i="1"/>
  <c r="G2785" i="1"/>
  <c r="F2785" i="1"/>
  <c r="D2785" i="1"/>
  <c r="B2785" i="1"/>
  <c r="A2785" i="1"/>
  <c r="J2784" i="1"/>
  <c r="I2784" i="1"/>
  <c r="H2784" i="1"/>
  <c r="G2784" i="1"/>
  <c r="F2784" i="1"/>
  <c r="D2784" i="1"/>
  <c r="B2784" i="1"/>
  <c r="A2784" i="1"/>
  <c r="J2783" i="1"/>
  <c r="I2783" i="1"/>
  <c r="H2783" i="1"/>
  <c r="G2783" i="1"/>
  <c r="F2783" i="1"/>
  <c r="D2783" i="1"/>
  <c r="B2783" i="1"/>
  <c r="A2783" i="1"/>
  <c r="J2782" i="1"/>
  <c r="I2782" i="1"/>
  <c r="H2782" i="1"/>
  <c r="G2782" i="1"/>
  <c r="F2782" i="1"/>
  <c r="D2782" i="1"/>
  <c r="B2782" i="1"/>
  <c r="A2782" i="1"/>
  <c r="J2781" i="1"/>
  <c r="I2781" i="1"/>
  <c r="H2781" i="1"/>
  <c r="G2781" i="1"/>
  <c r="F2781" i="1"/>
  <c r="D2781" i="1"/>
  <c r="B2781" i="1"/>
  <c r="A2781" i="1"/>
  <c r="J2780" i="1"/>
  <c r="I2780" i="1"/>
  <c r="H2780" i="1"/>
  <c r="G2780" i="1"/>
  <c r="F2780" i="1"/>
  <c r="D2780" i="1"/>
  <c r="B2780" i="1"/>
  <c r="A2780" i="1"/>
  <c r="J2779" i="1"/>
  <c r="I2779" i="1"/>
  <c r="H2779" i="1"/>
  <c r="G2779" i="1"/>
  <c r="F2779" i="1"/>
  <c r="D2779" i="1"/>
  <c r="B2779" i="1"/>
  <c r="A2779" i="1"/>
  <c r="J2778" i="1"/>
  <c r="I2778" i="1"/>
  <c r="H2778" i="1"/>
  <c r="G2778" i="1"/>
  <c r="F2778" i="1"/>
  <c r="D2778" i="1"/>
  <c r="B2778" i="1"/>
  <c r="A2778" i="1"/>
  <c r="J2777" i="1"/>
  <c r="I2777" i="1"/>
  <c r="H2777" i="1"/>
  <c r="G2777" i="1"/>
  <c r="F2777" i="1"/>
  <c r="D2777" i="1"/>
  <c r="B2777" i="1"/>
  <c r="A2777" i="1"/>
  <c r="J2776" i="1"/>
  <c r="I2776" i="1"/>
  <c r="H2776" i="1"/>
  <c r="G2776" i="1"/>
  <c r="F2776" i="1"/>
  <c r="D2776" i="1"/>
  <c r="B2776" i="1"/>
  <c r="A2776" i="1"/>
  <c r="J2775" i="1"/>
  <c r="I2775" i="1"/>
  <c r="H2775" i="1"/>
  <c r="G2775" i="1"/>
  <c r="F2775" i="1"/>
  <c r="D2775" i="1"/>
  <c r="B2775" i="1"/>
  <c r="A2775" i="1"/>
  <c r="J2774" i="1"/>
  <c r="I2774" i="1"/>
  <c r="H2774" i="1"/>
  <c r="G2774" i="1"/>
  <c r="F2774" i="1"/>
  <c r="D2774" i="1"/>
  <c r="B2774" i="1"/>
  <c r="A2774" i="1"/>
  <c r="J2773" i="1"/>
  <c r="I2773" i="1"/>
  <c r="H2773" i="1"/>
  <c r="G2773" i="1"/>
  <c r="F2773" i="1"/>
  <c r="D2773" i="1"/>
  <c r="B2773" i="1"/>
  <c r="A2773" i="1"/>
  <c r="J2772" i="1"/>
  <c r="I2772" i="1"/>
  <c r="H2772" i="1"/>
  <c r="G2772" i="1"/>
  <c r="F2772" i="1"/>
  <c r="D2772" i="1"/>
  <c r="B2772" i="1"/>
  <c r="A2772" i="1"/>
  <c r="J2771" i="1"/>
  <c r="I2771" i="1"/>
  <c r="H2771" i="1"/>
  <c r="G2771" i="1"/>
  <c r="F2771" i="1"/>
  <c r="D2771" i="1"/>
  <c r="B2771" i="1"/>
  <c r="A2771" i="1"/>
  <c r="J2770" i="1"/>
  <c r="I2770" i="1"/>
  <c r="H2770" i="1"/>
  <c r="G2770" i="1"/>
  <c r="F2770" i="1"/>
  <c r="D2770" i="1"/>
  <c r="B2770" i="1"/>
  <c r="A2770" i="1"/>
  <c r="J2769" i="1"/>
  <c r="I2769" i="1"/>
  <c r="H2769" i="1"/>
  <c r="G2769" i="1"/>
  <c r="F2769" i="1"/>
  <c r="D2769" i="1"/>
  <c r="B2769" i="1"/>
  <c r="A2769" i="1"/>
  <c r="J2768" i="1"/>
  <c r="I2768" i="1"/>
  <c r="H2768" i="1"/>
  <c r="G2768" i="1"/>
  <c r="F2768" i="1"/>
  <c r="D2768" i="1"/>
  <c r="B2768" i="1"/>
  <c r="A2768" i="1"/>
  <c r="J2767" i="1"/>
  <c r="I2767" i="1"/>
  <c r="H2767" i="1"/>
  <c r="G2767" i="1"/>
  <c r="F2767" i="1"/>
  <c r="D2767" i="1"/>
  <c r="B2767" i="1"/>
  <c r="A2767" i="1"/>
  <c r="J2766" i="1"/>
  <c r="I2766" i="1"/>
  <c r="H2766" i="1"/>
  <c r="G2766" i="1"/>
  <c r="F2766" i="1"/>
  <c r="D2766" i="1"/>
  <c r="B2766" i="1"/>
  <c r="A2766" i="1"/>
  <c r="J2765" i="1"/>
  <c r="I2765" i="1"/>
  <c r="H2765" i="1"/>
  <c r="G2765" i="1"/>
  <c r="F2765" i="1"/>
  <c r="D2765" i="1"/>
  <c r="B2765" i="1"/>
  <c r="A2765" i="1"/>
  <c r="J2764" i="1"/>
  <c r="I2764" i="1"/>
  <c r="H2764" i="1"/>
  <c r="G2764" i="1"/>
  <c r="F2764" i="1"/>
  <c r="D2764" i="1"/>
  <c r="B2764" i="1"/>
  <c r="A2764" i="1"/>
  <c r="J2763" i="1"/>
  <c r="I2763" i="1"/>
  <c r="H2763" i="1"/>
  <c r="G2763" i="1"/>
  <c r="F2763" i="1"/>
  <c r="D2763" i="1"/>
  <c r="B2763" i="1"/>
  <c r="A2763" i="1"/>
  <c r="J2762" i="1"/>
  <c r="I2762" i="1"/>
  <c r="H2762" i="1"/>
  <c r="G2762" i="1"/>
  <c r="F2762" i="1"/>
  <c r="D2762" i="1"/>
  <c r="B2762" i="1"/>
  <c r="A2762" i="1"/>
  <c r="J2761" i="1"/>
  <c r="I2761" i="1"/>
  <c r="H2761" i="1"/>
  <c r="G2761" i="1"/>
  <c r="F2761" i="1"/>
  <c r="D2761" i="1"/>
  <c r="B2761" i="1"/>
  <c r="A2761" i="1"/>
  <c r="J2760" i="1"/>
  <c r="I2760" i="1"/>
  <c r="H2760" i="1"/>
  <c r="G2760" i="1"/>
  <c r="F2760" i="1"/>
  <c r="D2760" i="1"/>
  <c r="B2760" i="1"/>
  <c r="A2760" i="1"/>
  <c r="J2759" i="1"/>
  <c r="I2759" i="1"/>
  <c r="H2759" i="1"/>
  <c r="G2759" i="1"/>
  <c r="F2759" i="1"/>
  <c r="D2759" i="1"/>
  <c r="B2759" i="1"/>
  <c r="A2759" i="1"/>
  <c r="J2758" i="1"/>
  <c r="I2758" i="1"/>
  <c r="H2758" i="1"/>
  <c r="G2758" i="1"/>
  <c r="F2758" i="1"/>
  <c r="D2758" i="1"/>
  <c r="B2758" i="1"/>
  <c r="A2758" i="1"/>
  <c r="J2757" i="1"/>
  <c r="I2757" i="1"/>
  <c r="H2757" i="1"/>
  <c r="G2757" i="1"/>
  <c r="F2757" i="1"/>
  <c r="D2757" i="1"/>
  <c r="B2757" i="1"/>
  <c r="A2757" i="1"/>
  <c r="J2756" i="1"/>
  <c r="I2756" i="1"/>
  <c r="H2756" i="1"/>
  <c r="G2756" i="1"/>
  <c r="F2756" i="1"/>
  <c r="D2756" i="1"/>
  <c r="B2756" i="1"/>
  <c r="A2756" i="1"/>
  <c r="J2755" i="1"/>
  <c r="I2755" i="1"/>
  <c r="H2755" i="1"/>
  <c r="G2755" i="1"/>
  <c r="F2755" i="1"/>
  <c r="D2755" i="1"/>
  <c r="B2755" i="1"/>
  <c r="A2755" i="1"/>
  <c r="J2754" i="1"/>
  <c r="I2754" i="1"/>
  <c r="H2754" i="1"/>
  <c r="G2754" i="1"/>
  <c r="F2754" i="1"/>
  <c r="D2754" i="1"/>
  <c r="B2754" i="1"/>
  <c r="A2754" i="1"/>
  <c r="J2753" i="1"/>
  <c r="I2753" i="1"/>
  <c r="H2753" i="1"/>
  <c r="G2753" i="1"/>
  <c r="F2753" i="1"/>
  <c r="D2753" i="1"/>
  <c r="B2753" i="1"/>
  <c r="A2753" i="1"/>
  <c r="J2752" i="1"/>
  <c r="I2752" i="1"/>
  <c r="H2752" i="1"/>
  <c r="G2752" i="1"/>
  <c r="F2752" i="1"/>
  <c r="D2752" i="1"/>
  <c r="B2752" i="1"/>
  <c r="A2752" i="1"/>
  <c r="J2751" i="1"/>
  <c r="I2751" i="1"/>
  <c r="H2751" i="1"/>
  <c r="G2751" i="1"/>
  <c r="F2751" i="1"/>
  <c r="D2751" i="1"/>
  <c r="B2751" i="1"/>
  <c r="A2751" i="1"/>
  <c r="J2750" i="1"/>
  <c r="I2750" i="1"/>
  <c r="H2750" i="1"/>
  <c r="G2750" i="1"/>
  <c r="F2750" i="1"/>
  <c r="D2750" i="1"/>
  <c r="B2750" i="1"/>
  <c r="A2750" i="1"/>
  <c r="J2749" i="1"/>
  <c r="I2749" i="1"/>
  <c r="H2749" i="1"/>
  <c r="G2749" i="1"/>
  <c r="F2749" i="1"/>
  <c r="D2749" i="1"/>
  <c r="B2749" i="1"/>
  <c r="A2749" i="1"/>
  <c r="J2748" i="1"/>
  <c r="I2748" i="1"/>
  <c r="H2748" i="1"/>
  <c r="G2748" i="1"/>
  <c r="F2748" i="1"/>
  <c r="D2748" i="1"/>
  <c r="B2748" i="1"/>
  <c r="A2748" i="1"/>
  <c r="J2747" i="1"/>
  <c r="I2747" i="1"/>
  <c r="H2747" i="1"/>
  <c r="G2747" i="1"/>
  <c r="F2747" i="1"/>
  <c r="D2747" i="1"/>
  <c r="B2747" i="1"/>
  <c r="A2747" i="1"/>
  <c r="J2746" i="1"/>
  <c r="I2746" i="1"/>
  <c r="H2746" i="1"/>
  <c r="G2746" i="1"/>
  <c r="F2746" i="1"/>
  <c r="D2746" i="1"/>
  <c r="B2746" i="1"/>
  <c r="A2746" i="1"/>
  <c r="J2745" i="1"/>
  <c r="I2745" i="1"/>
  <c r="H2745" i="1"/>
  <c r="G2745" i="1"/>
  <c r="F2745" i="1"/>
  <c r="D2745" i="1"/>
  <c r="B2745" i="1"/>
  <c r="A2745" i="1"/>
  <c r="J2744" i="1"/>
  <c r="I2744" i="1"/>
  <c r="H2744" i="1"/>
  <c r="G2744" i="1"/>
  <c r="F2744" i="1"/>
  <c r="D2744" i="1"/>
  <c r="B2744" i="1"/>
  <c r="A2744" i="1"/>
  <c r="J2743" i="1"/>
  <c r="I2743" i="1"/>
  <c r="H2743" i="1"/>
  <c r="G2743" i="1"/>
  <c r="F2743" i="1"/>
  <c r="D2743" i="1"/>
  <c r="B2743" i="1"/>
  <c r="A2743" i="1"/>
  <c r="J2742" i="1"/>
  <c r="I2742" i="1"/>
  <c r="H2742" i="1"/>
  <c r="G2742" i="1"/>
  <c r="F2742" i="1"/>
  <c r="D2742" i="1"/>
  <c r="B2742" i="1"/>
  <c r="A2742" i="1"/>
  <c r="J2741" i="1"/>
  <c r="I2741" i="1"/>
  <c r="H2741" i="1"/>
  <c r="G2741" i="1"/>
  <c r="F2741" i="1"/>
  <c r="D2741" i="1"/>
  <c r="B2741" i="1"/>
  <c r="A2741" i="1"/>
  <c r="J2740" i="1"/>
  <c r="I2740" i="1"/>
  <c r="H2740" i="1"/>
  <c r="G2740" i="1"/>
  <c r="F2740" i="1"/>
  <c r="D2740" i="1"/>
  <c r="B2740" i="1"/>
  <c r="A2740" i="1"/>
  <c r="J2739" i="1"/>
  <c r="I2739" i="1"/>
  <c r="H2739" i="1"/>
  <c r="G2739" i="1"/>
  <c r="F2739" i="1"/>
  <c r="D2739" i="1"/>
  <c r="B2739" i="1"/>
  <c r="A2739" i="1"/>
  <c r="J2738" i="1"/>
  <c r="I2738" i="1"/>
  <c r="H2738" i="1"/>
  <c r="G2738" i="1"/>
  <c r="F2738" i="1"/>
  <c r="D2738" i="1"/>
  <c r="B2738" i="1"/>
  <c r="A2738" i="1"/>
  <c r="J2737" i="1"/>
  <c r="I2737" i="1"/>
  <c r="H2737" i="1"/>
  <c r="G2737" i="1"/>
  <c r="F2737" i="1"/>
  <c r="D2737" i="1"/>
  <c r="B2737" i="1"/>
  <c r="A2737" i="1"/>
  <c r="J2736" i="1"/>
  <c r="I2736" i="1"/>
  <c r="H2736" i="1"/>
  <c r="G2736" i="1"/>
  <c r="F2736" i="1"/>
  <c r="D2736" i="1"/>
  <c r="B2736" i="1"/>
  <c r="A2736" i="1"/>
  <c r="J2735" i="1"/>
  <c r="I2735" i="1"/>
  <c r="H2735" i="1"/>
  <c r="G2735" i="1"/>
  <c r="F2735" i="1"/>
  <c r="D2735" i="1"/>
  <c r="B2735" i="1"/>
  <c r="A2735" i="1"/>
  <c r="J2734" i="1"/>
  <c r="I2734" i="1"/>
  <c r="H2734" i="1"/>
  <c r="G2734" i="1"/>
  <c r="F2734" i="1"/>
  <c r="D2734" i="1"/>
  <c r="B2734" i="1"/>
  <c r="A2734" i="1"/>
  <c r="J2733" i="1"/>
  <c r="I2733" i="1"/>
  <c r="H2733" i="1"/>
  <c r="G2733" i="1"/>
  <c r="F2733" i="1"/>
  <c r="D2733" i="1"/>
  <c r="B2733" i="1"/>
  <c r="A2733" i="1"/>
  <c r="J2732" i="1"/>
  <c r="I2732" i="1"/>
  <c r="H2732" i="1"/>
  <c r="G2732" i="1"/>
  <c r="F2732" i="1"/>
  <c r="D2732" i="1"/>
  <c r="B2732" i="1"/>
  <c r="A2732" i="1"/>
  <c r="J2731" i="1"/>
  <c r="I2731" i="1"/>
  <c r="H2731" i="1"/>
  <c r="G2731" i="1"/>
  <c r="F2731" i="1"/>
  <c r="D2731" i="1"/>
  <c r="B2731" i="1"/>
  <c r="A2731" i="1"/>
  <c r="J2730" i="1"/>
  <c r="I2730" i="1"/>
  <c r="H2730" i="1"/>
  <c r="G2730" i="1"/>
  <c r="F2730" i="1"/>
  <c r="D2730" i="1"/>
  <c r="B2730" i="1"/>
  <c r="A2730" i="1"/>
  <c r="J2729" i="1"/>
  <c r="I2729" i="1"/>
  <c r="H2729" i="1"/>
  <c r="G2729" i="1"/>
  <c r="F2729" i="1"/>
  <c r="D2729" i="1"/>
  <c r="B2729" i="1"/>
  <c r="A2729" i="1"/>
  <c r="J2728" i="1"/>
  <c r="I2728" i="1"/>
  <c r="H2728" i="1"/>
  <c r="G2728" i="1"/>
  <c r="F2728" i="1"/>
  <c r="D2728" i="1"/>
  <c r="B2728" i="1"/>
  <c r="A2728" i="1"/>
  <c r="J2727" i="1"/>
  <c r="I2727" i="1"/>
  <c r="H2727" i="1"/>
  <c r="G2727" i="1"/>
  <c r="F2727" i="1"/>
  <c r="D2727" i="1"/>
  <c r="B2727" i="1"/>
  <c r="A2727" i="1"/>
  <c r="J2726" i="1"/>
  <c r="I2726" i="1"/>
  <c r="H2726" i="1"/>
  <c r="G2726" i="1"/>
  <c r="F2726" i="1"/>
  <c r="D2726" i="1"/>
  <c r="B2726" i="1"/>
  <c r="A2726" i="1"/>
  <c r="J2725" i="1"/>
  <c r="I2725" i="1"/>
  <c r="H2725" i="1"/>
  <c r="G2725" i="1"/>
  <c r="F2725" i="1"/>
  <c r="D2725" i="1"/>
  <c r="B2725" i="1"/>
  <c r="A2725" i="1"/>
  <c r="J2724" i="1"/>
  <c r="I2724" i="1"/>
  <c r="H2724" i="1"/>
  <c r="G2724" i="1"/>
  <c r="F2724" i="1"/>
  <c r="D2724" i="1"/>
  <c r="B2724" i="1"/>
  <c r="A2724" i="1"/>
  <c r="J2723" i="1"/>
  <c r="I2723" i="1"/>
  <c r="H2723" i="1"/>
  <c r="G2723" i="1"/>
  <c r="F2723" i="1"/>
  <c r="D2723" i="1"/>
  <c r="B2723" i="1"/>
  <c r="A2723" i="1"/>
  <c r="J2722" i="1"/>
  <c r="I2722" i="1"/>
  <c r="H2722" i="1"/>
  <c r="G2722" i="1"/>
  <c r="F2722" i="1"/>
  <c r="D2722" i="1"/>
  <c r="B2722" i="1"/>
  <c r="A2722" i="1"/>
  <c r="J2721" i="1"/>
  <c r="I2721" i="1"/>
  <c r="H2721" i="1"/>
  <c r="G2721" i="1"/>
  <c r="F2721" i="1"/>
  <c r="D2721" i="1"/>
  <c r="B2721" i="1"/>
  <c r="A2721" i="1"/>
  <c r="J2720" i="1"/>
  <c r="I2720" i="1"/>
  <c r="H2720" i="1"/>
  <c r="G2720" i="1"/>
  <c r="F2720" i="1"/>
  <c r="D2720" i="1"/>
  <c r="B2720" i="1"/>
  <c r="A2720" i="1"/>
  <c r="J2719" i="1"/>
  <c r="I2719" i="1"/>
  <c r="H2719" i="1"/>
  <c r="G2719" i="1"/>
  <c r="F2719" i="1"/>
  <c r="D2719" i="1"/>
  <c r="B2719" i="1"/>
  <c r="A2719" i="1"/>
  <c r="J2718" i="1"/>
  <c r="I2718" i="1"/>
  <c r="H2718" i="1"/>
  <c r="G2718" i="1"/>
  <c r="F2718" i="1"/>
  <c r="D2718" i="1"/>
  <c r="B2718" i="1"/>
  <c r="A2718" i="1"/>
  <c r="J2717" i="1"/>
  <c r="I2717" i="1"/>
  <c r="H2717" i="1"/>
  <c r="G2717" i="1"/>
  <c r="F2717" i="1"/>
  <c r="D2717" i="1"/>
  <c r="B2717" i="1"/>
  <c r="A2717" i="1"/>
  <c r="J2716" i="1"/>
  <c r="I2716" i="1"/>
  <c r="H2716" i="1"/>
  <c r="G2716" i="1"/>
  <c r="F2716" i="1"/>
  <c r="D2716" i="1"/>
  <c r="B2716" i="1"/>
  <c r="A2716" i="1"/>
  <c r="J2715" i="1"/>
  <c r="I2715" i="1"/>
  <c r="H2715" i="1"/>
  <c r="G2715" i="1"/>
  <c r="F2715" i="1"/>
  <c r="D2715" i="1"/>
  <c r="B2715" i="1"/>
  <c r="A2715" i="1"/>
  <c r="J2714" i="1"/>
  <c r="I2714" i="1"/>
  <c r="H2714" i="1"/>
  <c r="G2714" i="1"/>
  <c r="F2714" i="1"/>
  <c r="D2714" i="1"/>
  <c r="B2714" i="1"/>
  <c r="A2714" i="1"/>
  <c r="J2713" i="1"/>
  <c r="I2713" i="1"/>
  <c r="H2713" i="1"/>
  <c r="G2713" i="1"/>
  <c r="F2713" i="1"/>
  <c r="D2713" i="1"/>
  <c r="B2713" i="1"/>
  <c r="A2713" i="1"/>
  <c r="J2712" i="1"/>
  <c r="I2712" i="1"/>
  <c r="H2712" i="1"/>
  <c r="G2712" i="1"/>
  <c r="F2712" i="1"/>
  <c r="D2712" i="1"/>
  <c r="B2712" i="1"/>
  <c r="A2712" i="1"/>
  <c r="J2711" i="1"/>
  <c r="I2711" i="1"/>
  <c r="H2711" i="1"/>
  <c r="G2711" i="1"/>
  <c r="F2711" i="1"/>
  <c r="D2711" i="1"/>
  <c r="B2711" i="1"/>
  <c r="A2711" i="1"/>
  <c r="J2710" i="1"/>
  <c r="I2710" i="1"/>
  <c r="H2710" i="1"/>
  <c r="G2710" i="1"/>
  <c r="F2710" i="1"/>
  <c r="D2710" i="1"/>
  <c r="B2710" i="1"/>
  <c r="A2710" i="1"/>
  <c r="J2709" i="1"/>
  <c r="I2709" i="1"/>
  <c r="H2709" i="1"/>
  <c r="G2709" i="1"/>
  <c r="F2709" i="1"/>
  <c r="D2709" i="1"/>
  <c r="B2709" i="1"/>
  <c r="A2709" i="1"/>
  <c r="J2708" i="1"/>
  <c r="I2708" i="1"/>
  <c r="H2708" i="1"/>
  <c r="G2708" i="1"/>
  <c r="F2708" i="1"/>
  <c r="D2708" i="1"/>
  <c r="B2708" i="1"/>
  <c r="A2708" i="1"/>
  <c r="J2707" i="1"/>
  <c r="I2707" i="1"/>
  <c r="H2707" i="1"/>
  <c r="G2707" i="1"/>
  <c r="F2707" i="1"/>
  <c r="D2707" i="1"/>
  <c r="B2707" i="1"/>
  <c r="A2707" i="1"/>
  <c r="J2706" i="1"/>
  <c r="I2706" i="1"/>
  <c r="H2706" i="1"/>
  <c r="G2706" i="1"/>
  <c r="F2706" i="1"/>
  <c r="D2706" i="1"/>
  <c r="B2706" i="1"/>
  <c r="A2706" i="1"/>
  <c r="J2705" i="1"/>
  <c r="I2705" i="1"/>
  <c r="H2705" i="1"/>
  <c r="G2705" i="1"/>
  <c r="F2705" i="1"/>
  <c r="D2705" i="1"/>
  <c r="B2705" i="1"/>
  <c r="A2705" i="1"/>
  <c r="J2704" i="1"/>
  <c r="I2704" i="1"/>
  <c r="H2704" i="1"/>
  <c r="G2704" i="1"/>
  <c r="F2704" i="1"/>
  <c r="D2704" i="1"/>
  <c r="B2704" i="1"/>
  <c r="A2704" i="1"/>
  <c r="J2703" i="1"/>
  <c r="I2703" i="1"/>
  <c r="H2703" i="1"/>
  <c r="G2703" i="1"/>
  <c r="F2703" i="1"/>
  <c r="D2703" i="1"/>
  <c r="B2703" i="1"/>
  <c r="A2703" i="1"/>
  <c r="J2702" i="1"/>
  <c r="I2702" i="1"/>
  <c r="H2702" i="1"/>
  <c r="G2702" i="1"/>
  <c r="F2702" i="1"/>
  <c r="D2702" i="1"/>
  <c r="B2702" i="1"/>
  <c r="A2702" i="1"/>
  <c r="J2701" i="1"/>
  <c r="I2701" i="1"/>
  <c r="H2701" i="1"/>
  <c r="G2701" i="1"/>
  <c r="F2701" i="1"/>
  <c r="D2701" i="1"/>
  <c r="B2701" i="1"/>
  <c r="A2701" i="1"/>
  <c r="J2700" i="1"/>
  <c r="I2700" i="1"/>
  <c r="H2700" i="1"/>
  <c r="G2700" i="1"/>
  <c r="F2700" i="1"/>
  <c r="D2700" i="1"/>
  <c r="B2700" i="1"/>
  <c r="A2700" i="1"/>
  <c r="J2699" i="1"/>
  <c r="I2699" i="1"/>
  <c r="H2699" i="1"/>
  <c r="G2699" i="1"/>
  <c r="F2699" i="1"/>
  <c r="D2699" i="1"/>
  <c r="B2699" i="1"/>
  <c r="A2699" i="1"/>
  <c r="J2698" i="1"/>
  <c r="I2698" i="1"/>
  <c r="H2698" i="1"/>
  <c r="G2698" i="1"/>
  <c r="F2698" i="1"/>
  <c r="D2698" i="1"/>
  <c r="B2698" i="1"/>
  <c r="A2698" i="1"/>
  <c r="J2697" i="1"/>
  <c r="I2697" i="1"/>
  <c r="H2697" i="1"/>
  <c r="G2697" i="1"/>
  <c r="F2697" i="1"/>
  <c r="D2697" i="1"/>
  <c r="B2697" i="1"/>
  <c r="A2697" i="1"/>
  <c r="J2696" i="1"/>
  <c r="I2696" i="1"/>
  <c r="H2696" i="1"/>
  <c r="G2696" i="1"/>
  <c r="F2696" i="1"/>
  <c r="D2696" i="1"/>
  <c r="B2696" i="1"/>
  <c r="A2696" i="1"/>
  <c r="J2695" i="1"/>
  <c r="I2695" i="1"/>
  <c r="H2695" i="1"/>
  <c r="G2695" i="1"/>
  <c r="F2695" i="1"/>
  <c r="D2695" i="1"/>
  <c r="B2695" i="1"/>
  <c r="A2695" i="1"/>
  <c r="J2694" i="1"/>
  <c r="I2694" i="1"/>
  <c r="H2694" i="1"/>
  <c r="G2694" i="1"/>
  <c r="F2694" i="1"/>
  <c r="D2694" i="1"/>
  <c r="B2694" i="1"/>
  <c r="A2694" i="1"/>
  <c r="J2693" i="1"/>
  <c r="I2693" i="1"/>
  <c r="H2693" i="1"/>
  <c r="G2693" i="1"/>
  <c r="F2693" i="1"/>
  <c r="D2693" i="1"/>
  <c r="B2693" i="1"/>
  <c r="A2693" i="1"/>
  <c r="J2692" i="1"/>
  <c r="I2692" i="1"/>
  <c r="H2692" i="1"/>
  <c r="G2692" i="1"/>
  <c r="F2692" i="1"/>
  <c r="D2692" i="1"/>
  <c r="B2692" i="1"/>
  <c r="A2692" i="1"/>
  <c r="J2691" i="1"/>
  <c r="I2691" i="1"/>
  <c r="H2691" i="1"/>
  <c r="G2691" i="1"/>
  <c r="F2691" i="1"/>
  <c r="D2691" i="1"/>
  <c r="B2691" i="1"/>
  <c r="A2691" i="1"/>
  <c r="J2690" i="1"/>
  <c r="I2690" i="1"/>
  <c r="H2690" i="1"/>
  <c r="G2690" i="1"/>
  <c r="F2690" i="1"/>
  <c r="D2690" i="1"/>
  <c r="B2690" i="1"/>
  <c r="A2690" i="1"/>
  <c r="J2689" i="1"/>
  <c r="I2689" i="1"/>
  <c r="H2689" i="1"/>
  <c r="G2689" i="1"/>
  <c r="F2689" i="1"/>
  <c r="D2689" i="1"/>
  <c r="B2689" i="1"/>
  <c r="A2689" i="1"/>
  <c r="J2688" i="1"/>
  <c r="I2688" i="1"/>
  <c r="H2688" i="1"/>
  <c r="G2688" i="1"/>
  <c r="F2688" i="1"/>
  <c r="D2688" i="1"/>
  <c r="B2688" i="1"/>
  <c r="A2688" i="1"/>
  <c r="J2687" i="1"/>
  <c r="I2687" i="1"/>
  <c r="H2687" i="1"/>
  <c r="G2687" i="1"/>
  <c r="F2687" i="1"/>
  <c r="D2687" i="1"/>
  <c r="B2687" i="1"/>
  <c r="A2687" i="1"/>
  <c r="J2686" i="1"/>
  <c r="I2686" i="1"/>
  <c r="H2686" i="1"/>
  <c r="G2686" i="1"/>
  <c r="F2686" i="1"/>
  <c r="D2686" i="1"/>
  <c r="B2686" i="1"/>
  <c r="A2686" i="1"/>
  <c r="J2685" i="1"/>
  <c r="I2685" i="1"/>
  <c r="H2685" i="1"/>
  <c r="G2685" i="1"/>
  <c r="F2685" i="1"/>
  <c r="D2685" i="1"/>
  <c r="B2685" i="1"/>
  <c r="A2685" i="1"/>
  <c r="J2684" i="1"/>
  <c r="I2684" i="1"/>
  <c r="H2684" i="1"/>
  <c r="G2684" i="1"/>
  <c r="F2684" i="1"/>
  <c r="D2684" i="1"/>
  <c r="B2684" i="1"/>
  <c r="A2684" i="1"/>
  <c r="J2683" i="1"/>
  <c r="I2683" i="1"/>
  <c r="H2683" i="1"/>
  <c r="G2683" i="1"/>
  <c r="F2683" i="1"/>
  <c r="D2683" i="1"/>
  <c r="B2683" i="1"/>
  <c r="A2683" i="1"/>
  <c r="J2682" i="1"/>
  <c r="I2682" i="1"/>
  <c r="H2682" i="1"/>
  <c r="G2682" i="1"/>
  <c r="F2682" i="1"/>
  <c r="D2682" i="1"/>
  <c r="B2682" i="1"/>
  <c r="A2682" i="1"/>
  <c r="J2681" i="1"/>
  <c r="I2681" i="1"/>
  <c r="H2681" i="1"/>
  <c r="G2681" i="1"/>
  <c r="F2681" i="1"/>
  <c r="D2681" i="1"/>
  <c r="B2681" i="1"/>
  <c r="A2681" i="1"/>
  <c r="J2680" i="1"/>
  <c r="I2680" i="1"/>
  <c r="H2680" i="1"/>
  <c r="G2680" i="1"/>
  <c r="F2680" i="1"/>
  <c r="D2680" i="1"/>
  <c r="B2680" i="1"/>
  <c r="A2680" i="1"/>
  <c r="J2679" i="1"/>
  <c r="I2679" i="1"/>
  <c r="H2679" i="1"/>
  <c r="G2679" i="1"/>
  <c r="F2679" i="1"/>
  <c r="D2679" i="1"/>
  <c r="B2679" i="1"/>
  <c r="A2679" i="1"/>
  <c r="J2678" i="1"/>
  <c r="I2678" i="1"/>
  <c r="H2678" i="1"/>
  <c r="G2678" i="1"/>
  <c r="F2678" i="1"/>
  <c r="D2678" i="1"/>
  <c r="B2678" i="1"/>
  <c r="A2678" i="1"/>
  <c r="J2677" i="1"/>
  <c r="I2677" i="1"/>
  <c r="H2677" i="1"/>
  <c r="G2677" i="1"/>
  <c r="F2677" i="1"/>
  <c r="D2677" i="1"/>
  <c r="B2677" i="1"/>
  <c r="A2677" i="1"/>
  <c r="J2676" i="1"/>
  <c r="I2676" i="1"/>
  <c r="H2676" i="1"/>
  <c r="G2676" i="1"/>
  <c r="F2676" i="1"/>
  <c r="D2676" i="1"/>
  <c r="B2676" i="1"/>
  <c r="A2676" i="1"/>
  <c r="J2675" i="1"/>
  <c r="I2675" i="1"/>
  <c r="H2675" i="1"/>
  <c r="G2675" i="1"/>
  <c r="F2675" i="1"/>
  <c r="D2675" i="1"/>
  <c r="B2675" i="1"/>
  <c r="A2675" i="1"/>
  <c r="J2674" i="1"/>
  <c r="I2674" i="1"/>
  <c r="H2674" i="1"/>
  <c r="G2674" i="1"/>
  <c r="F2674" i="1"/>
  <c r="D2674" i="1"/>
  <c r="B2674" i="1"/>
  <c r="A2674" i="1"/>
  <c r="J2673" i="1"/>
  <c r="I2673" i="1"/>
  <c r="H2673" i="1"/>
  <c r="G2673" i="1"/>
  <c r="F2673" i="1"/>
  <c r="D2673" i="1"/>
  <c r="B2673" i="1"/>
  <c r="A2673" i="1"/>
  <c r="J2672" i="1"/>
  <c r="I2672" i="1"/>
  <c r="H2672" i="1"/>
  <c r="G2672" i="1"/>
  <c r="F2672" i="1"/>
  <c r="D2672" i="1"/>
  <c r="B2672" i="1"/>
  <c r="A2672" i="1"/>
  <c r="J2671" i="1"/>
  <c r="I2671" i="1"/>
  <c r="H2671" i="1"/>
  <c r="G2671" i="1"/>
  <c r="F2671" i="1"/>
  <c r="D2671" i="1"/>
  <c r="B2671" i="1"/>
  <c r="A2671" i="1"/>
  <c r="J2670" i="1"/>
  <c r="I2670" i="1"/>
  <c r="H2670" i="1"/>
  <c r="G2670" i="1"/>
  <c r="F2670" i="1"/>
  <c r="D2670" i="1"/>
  <c r="B2670" i="1"/>
  <c r="A2670" i="1"/>
  <c r="J2669" i="1"/>
  <c r="I2669" i="1"/>
  <c r="H2669" i="1"/>
  <c r="G2669" i="1"/>
  <c r="F2669" i="1"/>
  <c r="D2669" i="1"/>
  <c r="B2669" i="1"/>
  <c r="A2669" i="1"/>
  <c r="J2668" i="1"/>
  <c r="I2668" i="1"/>
  <c r="H2668" i="1"/>
  <c r="G2668" i="1"/>
  <c r="F2668" i="1"/>
  <c r="D2668" i="1"/>
  <c r="B2668" i="1"/>
  <c r="A2668" i="1"/>
  <c r="J2667" i="1"/>
  <c r="I2667" i="1"/>
  <c r="H2667" i="1"/>
  <c r="G2667" i="1"/>
  <c r="F2667" i="1"/>
  <c r="D2667" i="1"/>
  <c r="B2667" i="1"/>
  <c r="A2667" i="1"/>
  <c r="J2666" i="1"/>
  <c r="I2666" i="1"/>
  <c r="H2666" i="1"/>
  <c r="G2666" i="1"/>
  <c r="F2666" i="1"/>
  <c r="D2666" i="1"/>
  <c r="B2666" i="1"/>
  <c r="A2666" i="1"/>
  <c r="J2665" i="1"/>
  <c r="I2665" i="1"/>
  <c r="H2665" i="1"/>
  <c r="G2665" i="1"/>
  <c r="F2665" i="1"/>
  <c r="D2665" i="1"/>
  <c r="B2665" i="1"/>
  <c r="A2665" i="1"/>
  <c r="J2664" i="1"/>
  <c r="I2664" i="1"/>
  <c r="H2664" i="1"/>
  <c r="G2664" i="1"/>
  <c r="F2664" i="1"/>
  <c r="D2664" i="1"/>
  <c r="B2664" i="1"/>
  <c r="A2664" i="1"/>
  <c r="J2663" i="1"/>
  <c r="I2663" i="1"/>
  <c r="H2663" i="1"/>
  <c r="G2663" i="1"/>
  <c r="F2663" i="1"/>
  <c r="D2663" i="1"/>
  <c r="B2663" i="1"/>
  <c r="A2663" i="1"/>
  <c r="J2662" i="1"/>
  <c r="I2662" i="1"/>
  <c r="H2662" i="1"/>
  <c r="G2662" i="1"/>
  <c r="F2662" i="1"/>
  <c r="D2662" i="1"/>
  <c r="B2662" i="1"/>
  <c r="A2662" i="1"/>
  <c r="J2661" i="1"/>
  <c r="I2661" i="1"/>
  <c r="H2661" i="1"/>
  <c r="G2661" i="1"/>
  <c r="F2661" i="1"/>
  <c r="D2661" i="1"/>
  <c r="B2661" i="1"/>
  <c r="A2661" i="1"/>
  <c r="J2660" i="1"/>
  <c r="I2660" i="1"/>
  <c r="H2660" i="1"/>
  <c r="G2660" i="1"/>
  <c r="F2660" i="1"/>
  <c r="D2660" i="1"/>
  <c r="B2660" i="1"/>
  <c r="A2660" i="1"/>
  <c r="J2659" i="1"/>
  <c r="I2659" i="1"/>
  <c r="H2659" i="1"/>
  <c r="G2659" i="1"/>
  <c r="F2659" i="1"/>
  <c r="D2659" i="1"/>
  <c r="B2659" i="1"/>
  <c r="A2659" i="1"/>
  <c r="J2658" i="1"/>
  <c r="I2658" i="1"/>
  <c r="H2658" i="1"/>
  <c r="G2658" i="1"/>
  <c r="F2658" i="1"/>
  <c r="D2658" i="1"/>
  <c r="B2658" i="1"/>
  <c r="A2658" i="1"/>
  <c r="J2657" i="1"/>
  <c r="I2657" i="1"/>
  <c r="H2657" i="1"/>
  <c r="G2657" i="1"/>
  <c r="F2657" i="1"/>
  <c r="D2657" i="1"/>
  <c r="B2657" i="1"/>
  <c r="A2657" i="1"/>
  <c r="J2656" i="1"/>
  <c r="I2656" i="1"/>
  <c r="H2656" i="1"/>
  <c r="G2656" i="1"/>
  <c r="F2656" i="1"/>
  <c r="D2656" i="1"/>
  <c r="B2656" i="1"/>
  <c r="A2656" i="1"/>
  <c r="J2655" i="1"/>
  <c r="I2655" i="1"/>
  <c r="H2655" i="1"/>
  <c r="G2655" i="1"/>
  <c r="F2655" i="1"/>
  <c r="D2655" i="1"/>
  <c r="B2655" i="1"/>
  <c r="A2655" i="1"/>
  <c r="J2654" i="1"/>
  <c r="I2654" i="1"/>
  <c r="H2654" i="1"/>
  <c r="G2654" i="1"/>
  <c r="F2654" i="1"/>
  <c r="D2654" i="1"/>
  <c r="B2654" i="1"/>
  <c r="A2654" i="1"/>
  <c r="J2653" i="1"/>
  <c r="I2653" i="1"/>
  <c r="H2653" i="1"/>
  <c r="G2653" i="1"/>
  <c r="F2653" i="1"/>
  <c r="D2653" i="1"/>
  <c r="B2653" i="1"/>
  <c r="A2653" i="1"/>
  <c r="J2652" i="1"/>
  <c r="I2652" i="1"/>
  <c r="H2652" i="1"/>
  <c r="G2652" i="1"/>
  <c r="F2652" i="1"/>
  <c r="D2652" i="1"/>
  <c r="B2652" i="1"/>
  <c r="A2652" i="1"/>
  <c r="J2651" i="1"/>
  <c r="I2651" i="1"/>
  <c r="H2651" i="1"/>
  <c r="G2651" i="1"/>
  <c r="F2651" i="1"/>
  <c r="D2651" i="1"/>
  <c r="B2651" i="1"/>
  <c r="A2651" i="1"/>
  <c r="J2650" i="1"/>
  <c r="I2650" i="1"/>
  <c r="H2650" i="1"/>
  <c r="G2650" i="1"/>
  <c r="F2650" i="1"/>
  <c r="D2650" i="1"/>
  <c r="B2650" i="1"/>
  <c r="A2650" i="1"/>
  <c r="J2649" i="1"/>
  <c r="I2649" i="1"/>
  <c r="H2649" i="1"/>
  <c r="G2649" i="1"/>
  <c r="F2649" i="1"/>
  <c r="D2649" i="1"/>
  <c r="B2649" i="1"/>
  <c r="A2649" i="1"/>
  <c r="J2648" i="1"/>
  <c r="I2648" i="1"/>
  <c r="H2648" i="1"/>
  <c r="G2648" i="1"/>
  <c r="F2648" i="1"/>
  <c r="D2648" i="1"/>
  <c r="B2648" i="1"/>
  <c r="A2648" i="1"/>
  <c r="J2647" i="1"/>
  <c r="I2647" i="1"/>
  <c r="H2647" i="1"/>
  <c r="G2647" i="1"/>
  <c r="F2647" i="1"/>
  <c r="D2647" i="1"/>
  <c r="B2647" i="1"/>
  <c r="A2647" i="1"/>
  <c r="J2646" i="1"/>
  <c r="I2646" i="1"/>
  <c r="H2646" i="1"/>
  <c r="G2646" i="1"/>
  <c r="F2646" i="1"/>
  <c r="D2646" i="1"/>
  <c r="B2646" i="1"/>
  <c r="A2646" i="1"/>
  <c r="J2645" i="1"/>
  <c r="I2645" i="1"/>
  <c r="H2645" i="1"/>
  <c r="G2645" i="1"/>
  <c r="F2645" i="1"/>
  <c r="D2645" i="1"/>
  <c r="B2645" i="1"/>
  <c r="A2645" i="1"/>
  <c r="J2644" i="1"/>
  <c r="I2644" i="1"/>
  <c r="H2644" i="1"/>
  <c r="G2644" i="1"/>
  <c r="F2644" i="1"/>
  <c r="D2644" i="1"/>
  <c r="B2644" i="1"/>
  <c r="A2644" i="1"/>
  <c r="J2643" i="1"/>
  <c r="I2643" i="1"/>
  <c r="H2643" i="1"/>
  <c r="G2643" i="1"/>
  <c r="F2643" i="1"/>
  <c r="D2643" i="1"/>
  <c r="B2643" i="1"/>
  <c r="A2643" i="1"/>
  <c r="J2642" i="1"/>
  <c r="I2642" i="1"/>
  <c r="H2642" i="1"/>
  <c r="G2642" i="1"/>
  <c r="F2642" i="1"/>
  <c r="D2642" i="1"/>
  <c r="B2642" i="1"/>
  <c r="A2642" i="1"/>
  <c r="J2641" i="1"/>
  <c r="I2641" i="1"/>
  <c r="H2641" i="1"/>
  <c r="G2641" i="1"/>
  <c r="F2641" i="1"/>
  <c r="D2641" i="1"/>
  <c r="B2641" i="1"/>
  <c r="A2641" i="1"/>
  <c r="J2640" i="1"/>
  <c r="I2640" i="1"/>
  <c r="H2640" i="1"/>
  <c r="G2640" i="1"/>
  <c r="F2640" i="1"/>
  <c r="D2640" i="1"/>
  <c r="B2640" i="1"/>
  <c r="A2640" i="1"/>
  <c r="J2639" i="1"/>
  <c r="I2639" i="1"/>
  <c r="H2639" i="1"/>
  <c r="G2639" i="1"/>
  <c r="F2639" i="1"/>
  <c r="D2639" i="1"/>
  <c r="B2639" i="1"/>
  <c r="A2639" i="1"/>
  <c r="J2638" i="1"/>
  <c r="I2638" i="1"/>
  <c r="H2638" i="1"/>
  <c r="G2638" i="1"/>
  <c r="F2638" i="1"/>
  <c r="D2638" i="1"/>
  <c r="B2638" i="1"/>
  <c r="A2638" i="1"/>
  <c r="J2637" i="1"/>
  <c r="I2637" i="1"/>
  <c r="H2637" i="1"/>
  <c r="G2637" i="1"/>
  <c r="F2637" i="1"/>
  <c r="D2637" i="1"/>
  <c r="B2637" i="1"/>
  <c r="A2637" i="1"/>
  <c r="J2636" i="1"/>
  <c r="I2636" i="1"/>
  <c r="H2636" i="1"/>
  <c r="G2636" i="1"/>
  <c r="F2636" i="1"/>
  <c r="D2636" i="1"/>
  <c r="B2636" i="1"/>
  <c r="A2636" i="1"/>
  <c r="J2635" i="1"/>
  <c r="I2635" i="1"/>
  <c r="H2635" i="1"/>
  <c r="G2635" i="1"/>
  <c r="F2635" i="1"/>
  <c r="D2635" i="1"/>
  <c r="B2635" i="1"/>
  <c r="A2635" i="1"/>
  <c r="J2634" i="1"/>
  <c r="I2634" i="1"/>
  <c r="H2634" i="1"/>
  <c r="G2634" i="1"/>
  <c r="F2634" i="1"/>
  <c r="D2634" i="1"/>
  <c r="B2634" i="1"/>
  <c r="A2634" i="1"/>
  <c r="J2633" i="1"/>
  <c r="I2633" i="1"/>
  <c r="H2633" i="1"/>
  <c r="G2633" i="1"/>
  <c r="F2633" i="1"/>
  <c r="D2633" i="1"/>
  <c r="B2633" i="1"/>
  <c r="A2633" i="1"/>
  <c r="J2632" i="1"/>
  <c r="I2632" i="1"/>
  <c r="H2632" i="1"/>
  <c r="G2632" i="1"/>
  <c r="F2632" i="1"/>
  <c r="D2632" i="1"/>
  <c r="B2632" i="1"/>
  <c r="A2632" i="1"/>
  <c r="J2631" i="1"/>
  <c r="I2631" i="1"/>
  <c r="H2631" i="1"/>
  <c r="G2631" i="1"/>
  <c r="F2631" i="1"/>
  <c r="D2631" i="1"/>
  <c r="B2631" i="1"/>
  <c r="A2631" i="1"/>
  <c r="J2630" i="1"/>
  <c r="I2630" i="1"/>
  <c r="H2630" i="1"/>
  <c r="G2630" i="1"/>
  <c r="F2630" i="1"/>
  <c r="D2630" i="1"/>
  <c r="B2630" i="1"/>
  <c r="A2630" i="1"/>
  <c r="J2629" i="1"/>
  <c r="I2629" i="1"/>
  <c r="H2629" i="1"/>
  <c r="G2629" i="1"/>
  <c r="F2629" i="1"/>
  <c r="D2629" i="1"/>
  <c r="B2629" i="1"/>
  <c r="A2629" i="1"/>
  <c r="J2628" i="1"/>
  <c r="I2628" i="1"/>
  <c r="H2628" i="1"/>
  <c r="G2628" i="1"/>
  <c r="F2628" i="1"/>
  <c r="D2628" i="1"/>
  <c r="B2628" i="1"/>
  <c r="A2628" i="1"/>
  <c r="J2627" i="1"/>
  <c r="I2627" i="1"/>
  <c r="H2627" i="1"/>
  <c r="G2627" i="1"/>
  <c r="F2627" i="1"/>
  <c r="D2627" i="1"/>
  <c r="B2627" i="1"/>
  <c r="A2627" i="1"/>
  <c r="J2626" i="1"/>
  <c r="I2626" i="1"/>
  <c r="H2626" i="1"/>
  <c r="G2626" i="1"/>
  <c r="F2626" i="1"/>
  <c r="D2626" i="1"/>
  <c r="B2626" i="1"/>
  <c r="A2626" i="1"/>
  <c r="J2625" i="1"/>
  <c r="I2625" i="1"/>
  <c r="H2625" i="1"/>
  <c r="G2625" i="1"/>
  <c r="F2625" i="1"/>
  <c r="D2625" i="1"/>
  <c r="B2625" i="1"/>
  <c r="A2625" i="1"/>
  <c r="J2624" i="1"/>
  <c r="I2624" i="1"/>
  <c r="H2624" i="1"/>
  <c r="G2624" i="1"/>
  <c r="F2624" i="1"/>
  <c r="D2624" i="1"/>
  <c r="B2624" i="1"/>
  <c r="A2624" i="1"/>
  <c r="J2623" i="1"/>
  <c r="I2623" i="1"/>
  <c r="H2623" i="1"/>
  <c r="G2623" i="1"/>
  <c r="F2623" i="1"/>
  <c r="D2623" i="1"/>
  <c r="B2623" i="1"/>
  <c r="A2623" i="1"/>
  <c r="J2622" i="1"/>
  <c r="I2622" i="1"/>
  <c r="H2622" i="1"/>
  <c r="G2622" i="1"/>
  <c r="F2622" i="1"/>
  <c r="D2622" i="1"/>
  <c r="B2622" i="1"/>
  <c r="A2622" i="1"/>
  <c r="J2621" i="1"/>
  <c r="I2621" i="1"/>
  <c r="H2621" i="1"/>
  <c r="G2621" i="1"/>
  <c r="F2621" i="1"/>
  <c r="D2621" i="1"/>
  <c r="B2621" i="1"/>
  <c r="A2621" i="1"/>
  <c r="J2620" i="1"/>
  <c r="I2620" i="1"/>
  <c r="H2620" i="1"/>
  <c r="G2620" i="1"/>
  <c r="F2620" i="1"/>
  <c r="D2620" i="1"/>
  <c r="B2620" i="1"/>
  <c r="A2620" i="1"/>
  <c r="J2619" i="1"/>
  <c r="I2619" i="1"/>
  <c r="H2619" i="1"/>
  <c r="G2619" i="1"/>
  <c r="F2619" i="1"/>
  <c r="D2619" i="1"/>
  <c r="B2619" i="1"/>
  <c r="A2619" i="1"/>
  <c r="J2618" i="1"/>
  <c r="I2618" i="1"/>
  <c r="H2618" i="1"/>
  <c r="G2618" i="1"/>
  <c r="F2618" i="1"/>
  <c r="D2618" i="1"/>
  <c r="B2618" i="1"/>
  <c r="A2618" i="1"/>
  <c r="J2617" i="1"/>
  <c r="I2617" i="1"/>
  <c r="H2617" i="1"/>
  <c r="G2617" i="1"/>
  <c r="F2617" i="1"/>
  <c r="D2617" i="1"/>
  <c r="B2617" i="1"/>
  <c r="A2617" i="1"/>
  <c r="J2616" i="1"/>
  <c r="I2616" i="1"/>
  <c r="H2616" i="1"/>
  <c r="G2616" i="1"/>
  <c r="F2616" i="1"/>
  <c r="D2616" i="1"/>
  <c r="B2616" i="1"/>
  <c r="A2616" i="1"/>
  <c r="J2615" i="1"/>
  <c r="I2615" i="1"/>
  <c r="H2615" i="1"/>
  <c r="G2615" i="1"/>
  <c r="F2615" i="1"/>
  <c r="D2615" i="1"/>
  <c r="B2615" i="1"/>
  <c r="A2615" i="1"/>
  <c r="J2614" i="1"/>
  <c r="I2614" i="1"/>
  <c r="H2614" i="1"/>
  <c r="G2614" i="1"/>
  <c r="F2614" i="1"/>
  <c r="D2614" i="1"/>
  <c r="B2614" i="1"/>
  <c r="A2614" i="1"/>
  <c r="J2613" i="1"/>
  <c r="I2613" i="1"/>
  <c r="H2613" i="1"/>
  <c r="G2613" i="1"/>
  <c r="F2613" i="1"/>
  <c r="D2613" i="1"/>
  <c r="B2613" i="1"/>
  <c r="A2613" i="1"/>
  <c r="J2612" i="1"/>
  <c r="I2612" i="1"/>
  <c r="H2612" i="1"/>
  <c r="G2612" i="1"/>
  <c r="F2612" i="1"/>
  <c r="D2612" i="1"/>
  <c r="B2612" i="1"/>
  <c r="A2612" i="1"/>
  <c r="J2611" i="1"/>
  <c r="I2611" i="1"/>
  <c r="H2611" i="1"/>
  <c r="G2611" i="1"/>
  <c r="F2611" i="1"/>
  <c r="D2611" i="1"/>
  <c r="B2611" i="1"/>
  <c r="A2611" i="1"/>
  <c r="J2610" i="1"/>
  <c r="I2610" i="1"/>
  <c r="H2610" i="1"/>
  <c r="G2610" i="1"/>
  <c r="F2610" i="1"/>
  <c r="D2610" i="1"/>
  <c r="B2610" i="1"/>
  <c r="A2610" i="1"/>
  <c r="J2609" i="1"/>
  <c r="I2609" i="1"/>
  <c r="H2609" i="1"/>
  <c r="G2609" i="1"/>
  <c r="F2609" i="1"/>
  <c r="D2609" i="1"/>
  <c r="B2609" i="1"/>
  <c r="A2609" i="1"/>
  <c r="J2608" i="1"/>
  <c r="I2608" i="1"/>
  <c r="H2608" i="1"/>
  <c r="G2608" i="1"/>
  <c r="F2608" i="1"/>
  <c r="D2608" i="1"/>
  <c r="B2608" i="1"/>
  <c r="A2608" i="1"/>
  <c r="J2607" i="1"/>
  <c r="I2607" i="1"/>
  <c r="H2607" i="1"/>
  <c r="G2607" i="1"/>
  <c r="F2607" i="1"/>
  <c r="D2607" i="1"/>
  <c r="B2607" i="1"/>
  <c r="A2607" i="1"/>
  <c r="J2606" i="1"/>
  <c r="I2606" i="1"/>
  <c r="H2606" i="1"/>
  <c r="G2606" i="1"/>
  <c r="F2606" i="1"/>
  <c r="D2606" i="1"/>
  <c r="B2606" i="1"/>
  <c r="A2606" i="1"/>
  <c r="J2605" i="1"/>
  <c r="I2605" i="1"/>
  <c r="H2605" i="1"/>
  <c r="G2605" i="1"/>
  <c r="F2605" i="1"/>
  <c r="D2605" i="1"/>
  <c r="B2605" i="1"/>
  <c r="A2605" i="1"/>
  <c r="J2604" i="1"/>
  <c r="I2604" i="1"/>
  <c r="H2604" i="1"/>
  <c r="G2604" i="1"/>
  <c r="F2604" i="1"/>
  <c r="D2604" i="1"/>
  <c r="B2604" i="1"/>
  <c r="A2604" i="1"/>
  <c r="J2603" i="1"/>
  <c r="I2603" i="1"/>
  <c r="H2603" i="1"/>
  <c r="G2603" i="1"/>
  <c r="F2603" i="1"/>
  <c r="D2603" i="1"/>
  <c r="B2603" i="1"/>
  <c r="A2603" i="1"/>
  <c r="J2602" i="1"/>
  <c r="I2602" i="1"/>
  <c r="H2602" i="1"/>
  <c r="G2602" i="1"/>
  <c r="F2602" i="1"/>
  <c r="D2602" i="1"/>
  <c r="B2602" i="1"/>
  <c r="A2602" i="1"/>
  <c r="J2601" i="1"/>
  <c r="I2601" i="1"/>
  <c r="H2601" i="1"/>
  <c r="G2601" i="1"/>
  <c r="F2601" i="1"/>
  <c r="D2601" i="1"/>
  <c r="B2601" i="1"/>
  <c r="A2601" i="1"/>
  <c r="J2600" i="1"/>
  <c r="I2600" i="1"/>
  <c r="H2600" i="1"/>
  <c r="G2600" i="1"/>
  <c r="F2600" i="1"/>
  <c r="D2600" i="1"/>
  <c r="B2600" i="1"/>
  <c r="A2600" i="1"/>
  <c r="J2599" i="1"/>
  <c r="I2599" i="1"/>
  <c r="H2599" i="1"/>
  <c r="G2599" i="1"/>
  <c r="F2599" i="1"/>
  <c r="D2599" i="1"/>
  <c r="B2599" i="1"/>
  <c r="A2599" i="1"/>
  <c r="J2598" i="1"/>
  <c r="I2598" i="1"/>
  <c r="H2598" i="1"/>
  <c r="G2598" i="1"/>
  <c r="F2598" i="1"/>
  <c r="D2598" i="1"/>
  <c r="B2598" i="1"/>
  <c r="A2598" i="1"/>
  <c r="J2597" i="1"/>
  <c r="I2597" i="1"/>
  <c r="H2597" i="1"/>
  <c r="G2597" i="1"/>
  <c r="F2597" i="1"/>
  <c r="D2597" i="1"/>
  <c r="B2597" i="1"/>
  <c r="A2597" i="1"/>
  <c r="J2596" i="1"/>
  <c r="I2596" i="1"/>
  <c r="H2596" i="1"/>
  <c r="G2596" i="1"/>
  <c r="F2596" i="1"/>
  <c r="D2596" i="1"/>
  <c r="B2596" i="1"/>
  <c r="A2596" i="1"/>
  <c r="J2595" i="1"/>
  <c r="I2595" i="1"/>
  <c r="H2595" i="1"/>
  <c r="G2595" i="1"/>
  <c r="F2595" i="1"/>
  <c r="D2595" i="1"/>
  <c r="B2595" i="1"/>
  <c r="A2595" i="1"/>
  <c r="J2594" i="1"/>
  <c r="I2594" i="1"/>
  <c r="H2594" i="1"/>
  <c r="G2594" i="1"/>
  <c r="F2594" i="1"/>
  <c r="D2594" i="1"/>
  <c r="B2594" i="1"/>
  <c r="A2594" i="1"/>
  <c r="J2593" i="1"/>
  <c r="I2593" i="1"/>
  <c r="H2593" i="1"/>
  <c r="G2593" i="1"/>
  <c r="F2593" i="1"/>
  <c r="D2593" i="1"/>
  <c r="B2593" i="1"/>
  <c r="A2593" i="1"/>
  <c r="J2592" i="1"/>
  <c r="I2592" i="1"/>
  <c r="H2592" i="1"/>
  <c r="G2592" i="1"/>
  <c r="F2592" i="1"/>
  <c r="D2592" i="1"/>
  <c r="B2592" i="1"/>
  <c r="A2592" i="1"/>
  <c r="J2591" i="1"/>
  <c r="I2591" i="1"/>
  <c r="H2591" i="1"/>
  <c r="G2591" i="1"/>
  <c r="F2591" i="1"/>
  <c r="D2591" i="1"/>
  <c r="B2591" i="1"/>
  <c r="A2591" i="1"/>
  <c r="J2590" i="1"/>
  <c r="I2590" i="1"/>
  <c r="H2590" i="1"/>
  <c r="G2590" i="1"/>
  <c r="F2590" i="1"/>
  <c r="D2590" i="1"/>
  <c r="B2590" i="1"/>
  <c r="A2590" i="1"/>
  <c r="J2589" i="1"/>
  <c r="I2589" i="1"/>
  <c r="H2589" i="1"/>
  <c r="G2589" i="1"/>
  <c r="F2589" i="1"/>
  <c r="D2589" i="1"/>
  <c r="B2589" i="1"/>
  <c r="A2589" i="1"/>
  <c r="J2588" i="1"/>
  <c r="I2588" i="1"/>
  <c r="H2588" i="1"/>
  <c r="G2588" i="1"/>
  <c r="F2588" i="1"/>
  <c r="D2588" i="1"/>
  <c r="B2588" i="1"/>
  <c r="A2588" i="1"/>
  <c r="J2587" i="1"/>
  <c r="I2587" i="1"/>
  <c r="H2587" i="1"/>
  <c r="G2587" i="1"/>
  <c r="F2587" i="1"/>
  <c r="D2587" i="1"/>
  <c r="B2587" i="1"/>
  <c r="A2587" i="1"/>
  <c r="J2586" i="1"/>
  <c r="I2586" i="1"/>
  <c r="H2586" i="1"/>
  <c r="G2586" i="1"/>
  <c r="F2586" i="1"/>
  <c r="D2586" i="1"/>
  <c r="B2586" i="1"/>
  <c r="A2586" i="1"/>
  <c r="J2585" i="1"/>
  <c r="I2585" i="1"/>
  <c r="H2585" i="1"/>
  <c r="G2585" i="1"/>
  <c r="F2585" i="1"/>
  <c r="D2585" i="1"/>
  <c r="B2585" i="1"/>
  <c r="A2585" i="1"/>
  <c r="J2584" i="1"/>
  <c r="I2584" i="1"/>
  <c r="H2584" i="1"/>
  <c r="G2584" i="1"/>
  <c r="F2584" i="1"/>
  <c r="D2584" i="1"/>
  <c r="B2584" i="1"/>
  <c r="A2584" i="1"/>
  <c r="J2583" i="1"/>
  <c r="I2583" i="1"/>
  <c r="H2583" i="1"/>
  <c r="G2583" i="1"/>
  <c r="F2583" i="1"/>
  <c r="D2583" i="1"/>
  <c r="B2583" i="1"/>
  <c r="A2583" i="1"/>
  <c r="J2582" i="1"/>
  <c r="I2582" i="1"/>
  <c r="H2582" i="1"/>
  <c r="G2582" i="1"/>
  <c r="F2582" i="1"/>
  <c r="D2582" i="1"/>
  <c r="B2582" i="1"/>
  <c r="A2582" i="1"/>
  <c r="J2581" i="1"/>
  <c r="I2581" i="1"/>
  <c r="H2581" i="1"/>
  <c r="G2581" i="1"/>
  <c r="F2581" i="1"/>
  <c r="D2581" i="1"/>
  <c r="B2581" i="1"/>
  <c r="A2581" i="1"/>
  <c r="J2580" i="1"/>
  <c r="I2580" i="1"/>
  <c r="H2580" i="1"/>
  <c r="G2580" i="1"/>
  <c r="F2580" i="1"/>
  <c r="D2580" i="1"/>
  <c r="B2580" i="1"/>
  <c r="A2580" i="1"/>
  <c r="J2579" i="1"/>
  <c r="I2579" i="1"/>
  <c r="H2579" i="1"/>
  <c r="G2579" i="1"/>
  <c r="F2579" i="1"/>
  <c r="D2579" i="1"/>
  <c r="B2579" i="1"/>
  <c r="A2579" i="1"/>
  <c r="J2578" i="1"/>
  <c r="I2578" i="1"/>
  <c r="H2578" i="1"/>
  <c r="G2578" i="1"/>
  <c r="F2578" i="1"/>
  <c r="D2578" i="1"/>
  <c r="B2578" i="1"/>
  <c r="A2578" i="1"/>
  <c r="J2577" i="1"/>
  <c r="I2577" i="1"/>
  <c r="H2577" i="1"/>
  <c r="G2577" i="1"/>
  <c r="F2577" i="1"/>
  <c r="D2577" i="1"/>
  <c r="B2577" i="1"/>
  <c r="A2577" i="1"/>
  <c r="J2576" i="1"/>
  <c r="I2576" i="1"/>
  <c r="H2576" i="1"/>
  <c r="G2576" i="1"/>
  <c r="F2576" i="1"/>
  <c r="D2576" i="1"/>
  <c r="B2576" i="1"/>
  <c r="A2576" i="1"/>
  <c r="J2575" i="1"/>
  <c r="I2575" i="1"/>
  <c r="H2575" i="1"/>
  <c r="G2575" i="1"/>
  <c r="F2575" i="1"/>
  <c r="D2575" i="1"/>
  <c r="B2575" i="1"/>
  <c r="A2575" i="1"/>
  <c r="J2574" i="1"/>
  <c r="I2574" i="1"/>
  <c r="H2574" i="1"/>
  <c r="G2574" i="1"/>
  <c r="F2574" i="1"/>
  <c r="D2574" i="1"/>
  <c r="B2574" i="1"/>
  <c r="A2574" i="1"/>
  <c r="J2573" i="1"/>
  <c r="I2573" i="1"/>
  <c r="H2573" i="1"/>
  <c r="G2573" i="1"/>
  <c r="F2573" i="1"/>
  <c r="D2573" i="1"/>
  <c r="B2573" i="1"/>
  <c r="A2573" i="1"/>
  <c r="J2572" i="1"/>
  <c r="I2572" i="1"/>
  <c r="H2572" i="1"/>
  <c r="G2572" i="1"/>
  <c r="F2572" i="1"/>
  <c r="D2572" i="1"/>
  <c r="B2572" i="1"/>
  <c r="A2572" i="1"/>
  <c r="J2571" i="1"/>
  <c r="I2571" i="1"/>
  <c r="H2571" i="1"/>
  <c r="G2571" i="1"/>
  <c r="F2571" i="1"/>
  <c r="D2571" i="1"/>
  <c r="B2571" i="1"/>
  <c r="A2571" i="1"/>
  <c r="J2570" i="1"/>
  <c r="I2570" i="1"/>
  <c r="H2570" i="1"/>
  <c r="G2570" i="1"/>
  <c r="F2570" i="1"/>
  <c r="D2570" i="1"/>
  <c r="B2570" i="1"/>
  <c r="A2570" i="1"/>
  <c r="J2569" i="1"/>
  <c r="I2569" i="1"/>
  <c r="H2569" i="1"/>
  <c r="G2569" i="1"/>
  <c r="F2569" i="1"/>
  <c r="D2569" i="1"/>
  <c r="B2569" i="1"/>
  <c r="A2569" i="1"/>
  <c r="J2568" i="1"/>
  <c r="I2568" i="1"/>
  <c r="H2568" i="1"/>
  <c r="G2568" i="1"/>
  <c r="F2568" i="1"/>
  <c r="D2568" i="1"/>
  <c r="B2568" i="1"/>
  <c r="A2568" i="1"/>
  <c r="J2567" i="1"/>
  <c r="I2567" i="1"/>
  <c r="H2567" i="1"/>
  <c r="G2567" i="1"/>
  <c r="F2567" i="1"/>
  <c r="D2567" i="1"/>
  <c r="B2567" i="1"/>
  <c r="A2567" i="1"/>
  <c r="J2566" i="1"/>
  <c r="I2566" i="1"/>
  <c r="H2566" i="1"/>
  <c r="G2566" i="1"/>
  <c r="F2566" i="1"/>
  <c r="D2566" i="1"/>
  <c r="B2566" i="1"/>
  <c r="A2566" i="1"/>
  <c r="J2565" i="1"/>
  <c r="I2565" i="1"/>
  <c r="H2565" i="1"/>
  <c r="G2565" i="1"/>
  <c r="F2565" i="1"/>
  <c r="D2565" i="1"/>
  <c r="B2565" i="1"/>
  <c r="A2565" i="1"/>
  <c r="J2564" i="1"/>
  <c r="I2564" i="1"/>
  <c r="H2564" i="1"/>
  <c r="G2564" i="1"/>
  <c r="F2564" i="1"/>
  <c r="D2564" i="1"/>
  <c r="B2564" i="1"/>
  <c r="A2564" i="1"/>
  <c r="J2563" i="1"/>
  <c r="I2563" i="1"/>
  <c r="H2563" i="1"/>
  <c r="G2563" i="1"/>
  <c r="F2563" i="1"/>
  <c r="D2563" i="1"/>
  <c r="B2563" i="1"/>
  <c r="A2563" i="1"/>
  <c r="J2562" i="1"/>
  <c r="I2562" i="1"/>
  <c r="H2562" i="1"/>
  <c r="G2562" i="1"/>
  <c r="F2562" i="1"/>
  <c r="D2562" i="1"/>
  <c r="B2562" i="1"/>
  <c r="A2562" i="1"/>
  <c r="J2561" i="1"/>
  <c r="I2561" i="1"/>
  <c r="H2561" i="1"/>
  <c r="G2561" i="1"/>
  <c r="F2561" i="1"/>
  <c r="D2561" i="1"/>
  <c r="B2561" i="1"/>
  <c r="A2561" i="1"/>
  <c r="J2560" i="1"/>
  <c r="I2560" i="1"/>
  <c r="H2560" i="1"/>
  <c r="G2560" i="1"/>
  <c r="F2560" i="1"/>
  <c r="D2560" i="1"/>
  <c r="B2560" i="1"/>
  <c r="A2560" i="1"/>
  <c r="J2559" i="1"/>
  <c r="I2559" i="1"/>
  <c r="H2559" i="1"/>
  <c r="G2559" i="1"/>
  <c r="F2559" i="1"/>
  <c r="D2559" i="1"/>
  <c r="B2559" i="1"/>
  <c r="A2559" i="1"/>
  <c r="J2558" i="1"/>
  <c r="I2558" i="1"/>
  <c r="H2558" i="1"/>
  <c r="G2558" i="1"/>
  <c r="F2558" i="1"/>
  <c r="D2558" i="1"/>
  <c r="B2558" i="1"/>
  <c r="A2558" i="1"/>
  <c r="J2557" i="1"/>
  <c r="I2557" i="1"/>
  <c r="H2557" i="1"/>
  <c r="G2557" i="1"/>
  <c r="F2557" i="1"/>
  <c r="D2557" i="1"/>
  <c r="B2557" i="1"/>
  <c r="A2557" i="1"/>
  <c r="J2556" i="1"/>
  <c r="I2556" i="1"/>
  <c r="H2556" i="1"/>
  <c r="G2556" i="1"/>
  <c r="F2556" i="1"/>
  <c r="D2556" i="1"/>
  <c r="B2556" i="1"/>
  <c r="A2556" i="1"/>
  <c r="J2555" i="1"/>
  <c r="I2555" i="1"/>
  <c r="H2555" i="1"/>
  <c r="G2555" i="1"/>
  <c r="F2555" i="1"/>
  <c r="D2555" i="1"/>
  <c r="B2555" i="1"/>
  <c r="A2555" i="1"/>
  <c r="J2554" i="1"/>
  <c r="I2554" i="1"/>
  <c r="H2554" i="1"/>
  <c r="G2554" i="1"/>
  <c r="F2554" i="1"/>
  <c r="D2554" i="1"/>
  <c r="B2554" i="1"/>
  <c r="A2554" i="1"/>
  <c r="J2553" i="1"/>
  <c r="I2553" i="1"/>
  <c r="H2553" i="1"/>
  <c r="G2553" i="1"/>
  <c r="F2553" i="1"/>
  <c r="D2553" i="1"/>
  <c r="B2553" i="1"/>
  <c r="A2553" i="1"/>
  <c r="J2552" i="1"/>
  <c r="I2552" i="1"/>
  <c r="H2552" i="1"/>
  <c r="G2552" i="1"/>
  <c r="F2552" i="1"/>
  <c r="D2552" i="1"/>
  <c r="B2552" i="1"/>
  <c r="A2552" i="1"/>
  <c r="J2551" i="1"/>
  <c r="I2551" i="1"/>
  <c r="H2551" i="1"/>
  <c r="G2551" i="1"/>
  <c r="F2551" i="1"/>
  <c r="D2551" i="1"/>
  <c r="B2551" i="1"/>
  <c r="A2551" i="1"/>
  <c r="J2550" i="1"/>
  <c r="I2550" i="1"/>
  <c r="H2550" i="1"/>
  <c r="G2550" i="1"/>
  <c r="F2550" i="1"/>
  <c r="D2550" i="1"/>
  <c r="B2550" i="1"/>
  <c r="A2550" i="1"/>
  <c r="J2549" i="1"/>
  <c r="I2549" i="1"/>
  <c r="H2549" i="1"/>
  <c r="G2549" i="1"/>
  <c r="F2549" i="1"/>
  <c r="D2549" i="1"/>
  <c r="B2549" i="1"/>
  <c r="A2549" i="1"/>
  <c r="J2548" i="1"/>
  <c r="I2548" i="1"/>
  <c r="H2548" i="1"/>
  <c r="G2548" i="1"/>
  <c r="F2548" i="1"/>
  <c r="D2548" i="1"/>
  <c r="B2548" i="1"/>
  <c r="A2548" i="1"/>
  <c r="J2547" i="1"/>
  <c r="I2547" i="1"/>
  <c r="H2547" i="1"/>
  <c r="G2547" i="1"/>
  <c r="F2547" i="1"/>
  <c r="D2547" i="1"/>
  <c r="B2547" i="1"/>
  <c r="A2547" i="1"/>
  <c r="J2546" i="1"/>
  <c r="I2546" i="1"/>
  <c r="H2546" i="1"/>
  <c r="G2546" i="1"/>
  <c r="F2546" i="1"/>
  <c r="D2546" i="1"/>
  <c r="B2546" i="1"/>
  <c r="A2546" i="1"/>
  <c r="J2545" i="1"/>
  <c r="I2545" i="1"/>
  <c r="H2545" i="1"/>
  <c r="G2545" i="1"/>
  <c r="F2545" i="1"/>
  <c r="D2545" i="1"/>
  <c r="B2545" i="1"/>
  <c r="A2545" i="1"/>
  <c r="J2544" i="1"/>
  <c r="I2544" i="1"/>
  <c r="H2544" i="1"/>
  <c r="G2544" i="1"/>
  <c r="F2544" i="1"/>
  <c r="D2544" i="1"/>
  <c r="B2544" i="1"/>
  <c r="A2544" i="1"/>
  <c r="J2543" i="1"/>
  <c r="I2543" i="1"/>
  <c r="H2543" i="1"/>
  <c r="G2543" i="1"/>
  <c r="F2543" i="1"/>
  <c r="D2543" i="1"/>
  <c r="B2543" i="1"/>
  <c r="A2543" i="1"/>
  <c r="J2542" i="1"/>
  <c r="I2542" i="1"/>
  <c r="H2542" i="1"/>
  <c r="G2542" i="1"/>
  <c r="F2542" i="1"/>
  <c r="D2542" i="1"/>
  <c r="B2542" i="1"/>
  <c r="A2542" i="1"/>
  <c r="J2541" i="1"/>
  <c r="I2541" i="1"/>
  <c r="H2541" i="1"/>
  <c r="G2541" i="1"/>
  <c r="F2541" i="1"/>
  <c r="D2541" i="1"/>
  <c r="B2541" i="1"/>
  <c r="A2541" i="1"/>
  <c r="J2540" i="1"/>
  <c r="I2540" i="1"/>
  <c r="H2540" i="1"/>
  <c r="G2540" i="1"/>
  <c r="F2540" i="1"/>
  <c r="D2540" i="1"/>
  <c r="B2540" i="1"/>
  <c r="A2540" i="1"/>
  <c r="J2539" i="1"/>
  <c r="I2539" i="1"/>
  <c r="H2539" i="1"/>
  <c r="G2539" i="1"/>
  <c r="F2539" i="1"/>
  <c r="D2539" i="1"/>
  <c r="B2539" i="1"/>
  <c r="A2539" i="1"/>
  <c r="J2538" i="1"/>
  <c r="I2538" i="1"/>
  <c r="H2538" i="1"/>
  <c r="G2538" i="1"/>
  <c r="F2538" i="1"/>
  <c r="D2538" i="1"/>
  <c r="B2538" i="1"/>
  <c r="A2538" i="1"/>
  <c r="J2537" i="1"/>
  <c r="I2537" i="1"/>
  <c r="H2537" i="1"/>
  <c r="G2537" i="1"/>
  <c r="F2537" i="1"/>
  <c r="D2537" i="1"/>
  <c r="B2537" i="1"/>
  <c r="A2537" i="1"/>
  <c r="J2536" i="1"/>
  <c r="I2536" i="1"/>
  <c r="H2536" i="1"/>
  <c r="G2536" i="1"/>
  <c r="F2536" i="1"/>
  <c r="D2536" i="1"/>
  <c r="B2536" i="1"/>
  <c r="A2536" i="1"/>
  <c r="J2535" i="1"/>
  <c r="I2535" i="1"/>
  <c r="H2535" i="1"/>
  <c r="G2535" i="1"/>
  <c r="F2535" i="1"/>
  <c r="D2535" i="1"/>
  <c r="B2535" i="1"/>
  <c r="A2535" i="1"/>
  <c r="J2534" i="1"/>
  <c r="I2534" i="1"/>
  <c r="H2534" i="1"/>
  <c r="G2534" i="1"/>
  <c r="F2534" i="1"/>
  <c r="D2534" i="1"/>
  <c r="B2534" i="1"/>
  <c r="A2534" i="1"/>
  <c r="J2533" i="1"/>
  <c r="I2533" i="1"/>
  <c r="H2533" i="1"/>
  <c r="G2533" i="1"/>
  <c r="F2533" i="1"/>
  <c r="D2533" i="1"/>
  <c r="B2533" i="1"/>
  <c r="A2533" i="1"/>
  <c r="J2532" i="1"/>
  <c r="I2532" i="1"/>
  <c r="H2532" i="1"/>
  <c r="G2532" i="1"/>
  <c r="F2532" i="1"/>
  <c r="D2532" i="1"/>
  <c r="B2532" i="1"/>
  <c r="A2532" i="1"/>
  <c r="J2531" i="1"/>
  <c r="I2531" i="1"/>
  <c r="H2531" i="1"/>
  <c r="G2531" i="1"/>
  <c r="F2531" i="1"/>
  <c r="D2531" i="1"/>
  <c r="B2531" i="1"/>
  <c r="A2531" i="1"/>
  <c r="J2530" i="1"/>
  <c r="I2530" i="1"/>
  <c r="H2530" i="1"/>
  <c r="G2530" i="1"/>
  <c r="F2530" i="1"/>
  <c r="D2530" i="1"/>
  <c r="B2530" i="1"/>
  <c r="A2530" i="1"/>
  <c r="J2529" i="1"/>
  <c r="I2529" i="1"/>
  <c r="H2529" i="1"/>
  <c r="G2529" i="1"/>
  <c r="F2529" i="1"/>
  <c r="D2529" i="1"/>
  <c r="B2529" i="1"/>
  <c r="A2529" i="1"/>
  <c r="J2528" i="1"/>
  <c r="I2528" i="1"/>
  <c r="H2528" i="1"/>
  <c r="G2528" i="1"/>
  <c r="F2528" i="1"/>
  <c r="D2528" i="1"/>
  <c r="B2528" i="1"/>
  <c r="A2528" i="1"/>
  <c r="J2527" i="1"/>
  <c r="I2527" i="1"/>
  <c r="H2527" i="1"/>
  <c r="G2527" i="1"/>
  <c r="F2527" i="1"/>
  <c r="D2527" i="1"/>
  <c r="B2527" i="1"/>
  <c r="A2527" i="1"/>
  <c r="J2526" i="1"/>
  <c r="I2526" i="1"/>
  <c r="H2526" i="1"/>
  <c r="G2526" i="1"/>
  <c r="F2526" i="1"/>
  <c r="D2526" i="1"/>
  <c r="B2526" i="1"/>
  <c r="A2526" i="1"/>
  <c r="J2525" i="1"/>
  <c r="I2525" i="1"/>
  <c r="H2525" i="1"/>
  <c r="G2525" i="1"/>
  <c r="F2525" i="1"/>
  <c r="D2525" i="1"/>
  <c r="B2525" i="1"/>
  <c r="A2525" i="1"/>
  <c r="J2524" i="1"/>
  <c r="I2524" i="1"/>
  <c r="H2524" i="1"/>
  <c r="G2524" i="1"/>
  <c r="F2524" i="1"/>
  <c r="D2524" i="1"/>
  <c r="B2524" i="1"/>
  <c r="A2524" i="1"/>
  <c r="J2523" i="1"/>
  <c r="I2523" i="1"/>
  <c r="H2523" i="1"/>
  <c r="G2523" i="1"/>
  <c r="F2523" i="1"/>
  <c r="D2523" i="1"/>
  <c r="B2523" i="1"/>
  <c r="A2523" i="1"/>
  <c r="J2522" i="1"/>
  <c r="I2522" i="1"/>
  <c r="H2522" i="1"/>
  <c r="G2522" i="1"/>
  <c r="F2522" i="1"/>
  <c r="D2522" i="1"/>
  <c r="B2522" i="1"/>
  <c r="A2522" i="1"/>
  <c r="J2521" i="1"/>
  <c r="I2521" i="1"/>
  <c r="H2521" i="1"/>
  <c r="G2521" i="1"/>
  <c r="F2521" i="1"/>
  <c r="D2521" i="1"/>
  <c r="B2521" i="1"/>
  <c r="A2521" i="1"/>
  <c r="J2520" i="1"/>
  <c r="I2520" i="1"/>
  <c r="H2520" i="1"/>
  <c r="G2520" i="1"/>
  <c r="F2520" i="1"/>
  <c r="D2520" i="1"/>
  <c r="B2520" i="1"/>
  <c r="A2520" i="1"/>
  <c r="J2519" i="1"/>
  <c r="I2519" i="1"/>
  <c r="H2519" i="1"/>
  <c r="G2519" i="1"/>
  <c r="F2519" i="1"/>
  <c r="D2519" i="1"/>
  <c r="B2519" i="1"/>
  <c r="A2519" i="1"/>
  <c r="J2518" i="1"/>
  <c r="I2518" i="1"/>
  <c r="H2518" i="1"/>
  <c r="G2518" i="1"/>
  <c r="F2518" i="1"/>
  <c r="D2518" i="1"/>
  <c r="B2518" i="1"/>
  <c r="A2518" i="1"/>
  <c r="J2517" i="1"/>
  <c r="I2517" i="1"/>
  <c r="H2517" i="1"/>
  <c r="G2517" i="1"/>
  <c r="F2517" i="1"/>
  <c r="D2517" i="1"/>
  <c r="B2517" i="1"/>
  <c r="A2517" i="1"/>
  <c r="J2516" i="1"/>
  <c r="I2516" i="1"/>
  <c r="H2516" i="1"/>
  <c r="G2516" i="1"/>
  <c r="F2516" i="1"/>
  <c r="D2516" i="1"/>
  <c r="B2516" i="1"/>
  <c r="A2516" i="1"/>
  <c r="J2515" i="1"/>
  <c r="I2515" i="1"/>
  <c r="H2515" i="1"/>
  <c r="G2515" i="1"/>
  <c r="F2515" i="1"/>
  <c r="D2515" i="1"/>
  <c r="B2515" i="1"/>
  <c r="A2515" i="1"/>
  <c r="J2514" i="1"/>
  <c r="I2514" i="1"/>
  <c r="H2514" i="1"/>
  <c r="G2514" i="1"/>
  <c r="F2514" i="1"/>
  <c r="D2514" i="1"/>
  <c r="B2514" i="1"/>
  <c r="A2514" i="1"/>
  <c r="J2513" i="1"/>
  <c r="I2513" i="1"/>
  <c r="H2513" i="1"/>
  <c r="G2513" i="1"/>
  <c r="F2513" i="1"/>
  <c r="D2513" i="1"/>
  <c r="B2513" i="1"/>
  <c r="A2513" i="1"/>
  <c r="J2512" i="1"/>
  <c r="I2512" i="1"/>
  <c r="H2512" i="1"/>
  <c r="G2512" i="1"/>
  <c r="F2512" i="1"/>
  <c r="D2512" i="1"/>
  <c r="B2512" i="1"/>
  <c r="A2512" i="1"/>
  <c r="J2511" i="1"/>
  <c r="I2511" i="1"/>
  <c r="H2511" i="1"/>
  <c r="G2511" i="1"/>
  <c r="F2511" i="1"/>
  <c r="D2511" i="1"/>
  <c r="B2511" i="1"/>
  <c r="A2511" i="1"/>
  <c r="J2510" i="1"/>
  <c r="I2510" i="1"/>
  <c r="H2510" i="1"/>
  <c r="G2510" i="1"/>
  <c r="F2510" i="1"/>
  <c r="D2510" i="1"/>
  <c r="B2510" i="1"/>
  <c r="A2510" i="1"/>
  <c r="J2509" i="1"/>
  <c r="I2509" i="1"/>
  <c r="H2509" i="1"/>
  <c r="G2509" i="1"/>
  <c r="F2509" i="1"/>
  <c r="D2509" i="1"/>
  <c r="B2509" i="1"/>
  <c r="A2509" i="1"/>
  <c r="J2508" i="1"/>
  <c r="I2508" i="1"/>
  <c r="H2508" i="1"/>
  <c r="G2508" i="1"/>
  <c r="F2508" i="1"/>
  <c r="D2508" i="1"/>
  <c r="B2508" i="1"/>
  <c r="A2508" i="1"/>
  <c r="J2507" i="1"/>
  <c r="I2507" i="1"/>
  <c r="H2507" i="1"/>
  <c r="G2507" i="1"/>
  <c r="F2507" i="1"/>
  <c r="D2507" i="1"/>
  <c r="B2507" i="1"/>
  <c r="A2507" i="1"/>
  <c r="J2506" i="1"/>
  <c r="I2506" i="1"/>
  <c r="H2506" i="1"/>
  <c r="G2506" i="1"/>
  <c r="F2506" i="1"/>
  <c r="D2506" i="1"/>
  <c r="B2506" i="1"/>
  <c r="A2506" i="1"/>
  <c r="J2505" i="1"/>
  <c r="I2505" i="1"/>
  <c r="H2505" i="1"/>
  <c r="G2505" i="1"/>
  <c r="F2505" i="1"/>
  <c r="D2505" i="1"/>
  <c r="B2505" i="1"/>
  <c r="A2505" i="1"/>
  <c r="J2504" i="1"/>
  <c r="I2504" i="1"/>
  <c r="H2504" i="1"/>
  <c r="G2504" i="1"/>
  <c r="F2504" i="1"/>
  <c r="D2504" i="1"/>
  <c r="B2504" i="1"/>
  <c r="A2504" i="1"/>
  <c r="J2503" i="1"/>
  <c r="I2503" i="1"/>
  <c r="H2503" i="1"/>
  <c r="G2503" i="1"/>
  <c r="F2503" i="1"/>
  <c r="D2503" i="1"/>
  <c r="B2503" i="1"/>
  <c r="A2503" i="1"/>
  <c r="J2502" i="1"/>
  <c r="I2502" i="1"/>
  <c r="H2502" i="1"/>
  <c r="G2502" i="1"/>
  <c r="F2502" i="1"/>
  <c r="D2502" i="1"/>
  <c r="B2502" i="1"/>
  <c r="A2502" i="1"/>
  <c r="J2501" i="1"/>
  <c r="I2501" i="1"/>
  <c r="H2501" i="1"/>
  <c r="G2501" i="1"/>
  <c r="F2501" i="1"/>
  <c r="D2501" i="1"/>
  <c r="B2501" i="1"/>
  <c r="A2501" i="1"/>
  <c r="J2500" i="1"/>
  <c r="I2500" i="1"/>
  <c r="H2500" i="1"/>
  <c r="G2500" i="1"/>
  <c r="F2500" i="1"/>
  <c r="D2500" i="1"/>
  <c r="B2500" i="1"/>
  <c r="A2500" i="1"/>
  <c r="J2499" i="1"/>
  <c r="I2499" i="1"/>
  <c r="H2499" i="1"/>
  <c r="G2499" i="1"/>
  <c r="F2499" i="1"/>
  <c r="D2499" i="1"/>
  <c r="B2499" i="1"/>
  <c r="A2499" i="1"/>
  <c r="J2498" i="1"/>
  <c r="I2498" i="1"/>
  <c r="H2498" i="1"/>
  <c r="G2498" i="1"/>
  <c r="F2498" i="1"/>
  <c r="D2498" i="1"/>
  <c r="B2498" i="1"/>
  <c r="A2498" i="1"/>
  <c r="J2497" i="1"/>
  <c r="I2497" i="1"/>
  <c r="H2497" i="1"/>
  <c r="G2497" i="1"/>
  <c r="F2497" i="1"/>
  <c r="D2497" i="1"/>
  <c r="B2497" i="1"/>
  <c r="A2497" i="1"/>
  <c r="J2496" i="1"/>
  <c r="I2496" i="1"/>
  <c r="H2496" i="1"/>
  <c r="G2496" i="1"/>
  <c r="F2496" i="1"/>
  <c r="D2496" i="1"/>
  <c r="B2496" i="1"/>
  <c r="A2496" i="1"/>
  <c r="J2495" i="1"/>
  <c r="I2495" i="1"/>
  <c r="H2495" i="1"/>
  <c r="G2495" i="1"/>
  <c r="F2495" i="1"/>
  <c r="D2495" i="1"/>
  <c r="B2495" i="1"/>
  <c r="A2495" i="1"/>
  <c r="J2494" i="1"/>
  <c r="I2494" i="1"/>
  <c r="H2494" i="1"/>
  <c r="G2494" i="1"/>
  <c r="F2494" i="1"/>
  <c r="D2494" i="1"/>
  <c r="B2494" i="1"/>
  <c r="A2494" i="1"/>
  <c r="J2493" i="1"/>
  <c r="I2493" i="1"/>
  <c r="H2493" i="1"/>
  <c r="G2493" i="1"/>
  <c r="F2493" i="1"/>
  <c r="D2493" i="1"/>
  <c r="B2493" i="1"/>
  <c r="A2493" i="1"/>
  <c r="J2492" i="1"/>
  <c r="I2492" i="1"/>
  <c r="H2492" i="1"/>
  <c r="G2492" i="1"/>
  <c r="F2492" i="1"/>
  <c r="D2492" i="1"/>
  <c r="B2492" i="1"/>
  <c r="A2492" i="1"/>
  <c r="J2491" i="1"/>
  <c r="I2491" i="1"/>
  <c r="H2491" i="1"/>
  <c r="G2491" i="1"/>
  <c r="F2491" i="1"/>
  <c r="D2491" i="1"/>
  <c r="B2491" i="1"/>
  <c r="A2491" i="1"/>
  <c r="J2490" i="1"/>
  <c r="I2490" i="1"/>
  <c r="H2490" i="1"/>
  <c r="G2490" i="1"/>
  <c r="F2490" i="1"/>
  <c r="D2490" i="1"/>
  <c r="B2490" i="1"/>
  <c r="A2490" i="1"/>
  <c r="J2489" i="1"/>
  <c r="I2489" i="1"/>
  <c r="H2489" i="1"/>
  <c r="G2489" i="1"/>
  <c r="F2489" i="1"/>
  <c r="D2489" i="1"/>
  <c r="B2489" i="1"/>
  <c r="A2489" i="1"/>
  <c r="J2488" i="1"/>
  <c r="I2488" i="1"/>
  <c r="H2488" i="1"/>
  <c r="G2488" i="1"/>
  <c r="F2488" i="1"/>
  <c r="D2488" i="1"/>
  <c r="B2488" i="1"/>
  <c r="A2488" i="1"/>
  <c r="J2487" i="1"/>
  <c r="I2487" i="1"/>
  <c r="H2487" i="1"/>
  <c r="G2487" i="1"/>
  <c r="F2487" i="1"/>
  <c r="D2487" i="1"/>
  <c r="B2487" i="1"/>
  <c r="A2487" i="1"/>
  <c r="J2486" i="1"/>
  <c r="I2486" i="1"/>
  <c r="H2486" i="1"/>
  <c r="G2486" i="1"/>
  <c r="F2486" i="1"/>
  <c r="D2486" i="1"/>
  <c r="B2486" i="1"/>
  <c r="A2486" i="1"/>
  <c r="J2485" i="1"/>
  <c r="I2485" i="1"/>
  <c r="H2485" i="1"/>
  <c r="G2485" i="1"/>
  <c r="F2485" i="1"/>
  <c r="D2485" i="1"/>
  <c r="B2485" i="1"/>
  <c r="A2485" i="1"/>
  <c r="J2484" i="1"/>
  <c r="I2484" i="1"/>
  <c r="H2484" i="1"/>
  <c r="G2484" i="1"/>
  <c r="F2484" i="1"/>
  <c r="D2484" i="1"/>
  <c r="B2484" i="1"/>
  <c r="A2484" i="1"/>
  <c r="J2483" i="1"/>
  <c r="I2483" i="1"/>
  <c r="H2483" i="1"/>
  <c r="G2483" i="1"/>
  <c r="F2483" i="1"/>
  <c r="D2483" i="1"/>
  <c r="B2483" i="1"/>
  <c r="A2483" i="1"/>
  <c r="J2482" i="1"/>
  <c r="I2482" i="1"/>
  <c r="H2482" i="1"/>
  <c r="G2482" i="1"/>
  <c r="F2482" i="1"/>
  <c r="D2482" i="1"/>
  <c r="B2482" i="1"/>
  <c r="A2482" i="1"/>
  <c r="J2481" i="1"/>
  <c r="I2481" i="1"/>
  <c r="H2481" i="1"/>
  <c r="G2481" i="1"/>
  <c r="F2481" i="1"/>
  <c r="D2481" i="1"/>
  <c r="B2481" i="1"/>
  <c r="A2481" i="1"/>
  <c r="J2480" i="1"/>
  <c r="I2480" i="1"/>
  <c r="H2480" i="1"/>
  <c r="G2480" i="1"/>
  <c r="F2480" i="1"/>
  <c r="D2480" i="1"/>
  <c r="B2480" i="1"/>
  <c r="A2480" i="1"/>
  <c r="J2479" i="1"/>
  <c r="I2479" i="1"/>
  <c r="H2479" i="1"/>
  <c r="G2479" i="1"/>
  <c r="F2479" i="1"/>
  <c r="D2479" i="1"/>
  <c r="B2479" i="1"/>
  <c r="A2479" i="1"/>
  <c r="J2478" i="1"/>
  <c r="I2478" i="1"/>
  <c r="H2478" i="1"/>
  <c r="G2478" i="1"/>
  <c r="F2478" i="1"/>
  <c r="D2478" i="1"/>
  <c r="B2478" i="1"/>
  <c r="A2478" i="1"/>
  <c r="J2477" i="1"/>
  <c r="I2477" i="1"/>
  <c r="H2477" i="1"/>
  <c r="G2477" i="1"/>
  <c r="F2477" i="1"/>
  <c r="D2477" i="1"/>
  <c r="B2477" i="1"/>
  <c r="A2477" i="1"/>
  <c r="J2476" i="1"/>
  <c r="I2476" i="1"/>
  <c r="H2476" i="1"/>
  <c r="G2476" i="1"/>
  <c r="F2476" i="1"/>
  <c r="D2476" i="1"/>
  <c r="B2476" i="1"/>
  <c r="A2476" i="1"/>
  <c r="J2475" i="1"/>
  <c r="I2475" i="1"/>
  <c r="H2475" i="1"/>
  <c r="G2475" i="1"/>
  <c r="F2475" i="1"/>
  <c r="D2475" i="1"/>
  <c r="B2475" i="1"/>
  <c r="A2475" i="1"/>
  <c r="J2474" i="1"/>
  <c r="I2474" i="1"/>
  <c r="H2474" i="1"/>
  <c r="G2474" i="1"/>
  <c r="F2474" i="1"/>
  <c r="D2474" i="1"/>
  <c r="B2474" i="1"/>
  <c r="A2474" i="1"/>
  <c r="J2473" i="1"/>
  <c r="I2473" i="1"/>
  <c r="H2473" i="1"/>
  <c r="G2473" i="1"/>
  <c r="F2473" i="1"/>
  <c r="D2473" i="1"/>
  <c r="B2473" i="1"/>
  <c r="A2473" i="1"/>
  <c r="J2472" i="1"/>
  <c r="I2472" i="1"/>
  <c r="H2472" i="1"/>
  <c r="G2472" i="1"/>
  <c r="F2472" i="1"/>
  <c r="D2472" i="1"/>
  <c r="B2472" i="1"/>
  <c r="A2472" i="1"/>
  <c r="J2471" i="1"/>
  <c r="I2471" i="1"/>
  <c r="H2471" i="1"/>
  <c r="G2471" i="1"/>
  <c r="F2471" i="1"/>
  <c r="D2471" i="1"/>
  <c r="B2471" i="1"/>
  <c r="A2471" i="1"/>
  <c r="J2470" i="1"/>
  <c r="I2470" i="1"/>
  <c r="H2470" i="1"/>
  <c r="G2470" i="1"/>
  <c r="F2470" i="1"/>
  <c r="D2470" i="1"/>
  <c r="B2470" i="1"/>
  <c r="A2470" i="1"/>
  <c r="J2469" i="1"/>
  <c r="I2469" i="1"/>
  <c r="H2469" i="1"/>
  <c r="G2469" i="1"/>
  <c r="F2469" i="1"/>
  <c r="D2469" i="1"/>
  <c r="B2469" i="1"/>
  <c r="A2469" i="1"/>
  <c r="J2468" i="1"/>
  <c r="I2468" i="1"/>
  <c r="H2468" i="1"/>
  <c r="G2468" i="1"/>
  <c r="F2468" i="1"/>
  <c r="D2468" i="1"/>
  <c r="B2468" i="1"/>
  <c r="A2468" i="1"/>
  <c r="J2467" i="1"/>
  <c r="I2467" i="1"/>
  <c r="H2467" i="1"/>
  <c r="G2467" i="1"/>
  <c r="F2467" i="1"/>
  <c r="D2467" i="1"/>
  <c r="B2467" i="1"/>
  <c r="A2467" i="1"/>
  <c r="J2466" i="1"/>
  <c r="I2466" i="1"/>
  <c r="H2466" i="1"/>
  <c r="G2466" i="1"/>
  <c r="F2466" i="1"/>
  <c r="D2466" i="1"/>
  <c r="B2466" i="1"/>
  <c r="A2466" i="1"/>
  <c r="J2465" i="1"/>
  <c r="I2465" i="1"/>
  <c r="H2465" i="1"/>
  <c r="G2465" i="1"/>
  <c r="F2465" i="1"/>
  <c r="D2465" i="1"/>
  <c r="B2465" i="1"/>
  <c r="A2465" i="1"/>
  <c r="J2464" i="1"/>
  <c r="I2464" i="1"/>
  <c r="H2464" i="1"/>
  <c r="G2464" i="1"/>
  <c r="F2464" i="1"/>
  <c r="D2464" i="1"/>
  <c r="B2464" i="1"/>
  <c r="A2464" i="1"/>
  <c r="J2463" i="1"/>
  <c r="I2463" i="1"/>
  <c r="H2463" i="1"/>
  <c r="G2463" i="1"/>
  <c r="F2463" i="1"/>
  <c r="D2463" i="1"/>
  <c r="B2463" i="1"/>
  <c r="A2463" i="1"/>
  <c r="J2462" i="1"/>
  <c r="I2462" i="1"/>
  <c r="H2462" i="1"/>
  <c r="G2462" i="1"/>
  <c r="F2462" i="1"/>
  <c r="D2462" i="1"/>
  <c r="B2462" i="1"/>
  <c r="A2462" i="1"/>
  <c r="J2461" i="1"/>
  <c r="I2461" i="1"/>
  <c r="H2461" i="1"/>
  <c r="G2461" i="1"/>
  <c r="F2461" i="1"/>
  <c r="D2461" i="1"/>
  <c r="B2461" i="1"/>
  <c r="A2461" i="1"/>
  <c r="J2460" i="1"/>
  <c r="I2460" i="1"/>
  <c r="H2460" i="1"/>
  <c r="G2460" i="1"/>
  <c r="F2460" i="1"/>
  <c r="D2460" i="1"/>
  <c r="B2460" i="1"/>
  <c r="A2460" i="1"/>
  <c r="J2459" i="1"/>
  <c r="I2459" i="1"/>
  <c r="H2459" i="1"/>
  <c r="G2459" i="1"/>
  <c r="F2459" i="1"/>
  <c r="D2459" i="1"/>
  <c r="B2459" i="1"/>
  <c r="A2459" i="1"/>
  <c r="J2458" i="1"/>
  <c r="I2458" i="1"/>
  <c r="H2458" i="1"/>
  <c r="G2458" i="1"/>
  <c r="F2458" i="1"/>
  <c r="D2458" i="1"/>
  <c r="B2458" i="1"/>
  <c r="A2458" i="1"/>
  <c r="J2457" i="1"/>
  <c r="I2457" i="1"/>
  <c r="H2457" i="1"/>
  <c r="G2457" i="1"/>
  <c r="F2457" i="1"/>
  <c r="D2457" i="1"/>
  <c r="B2457" i="1"/>
  <c r="A2457" i="1"/>
  <c r="J2456" i="1"/>
  <c r="I2456" i="1"/>
  <c r="H2456" i="1"/>
  <c r="G2456" i="1"/>
  <c r="F2456" i="1"/>
  <c r="D2456" i="1"/>
  <c r="B2456" i="1"/>
  <c r="A2456" i="1"/>
  <c r="J2455" i="1"/>
  <c r="I2455" i="1"/>
  <c r="H2455" i="1"/>
  <c r="G2455" i="1"/>
  <c r="F2455" i="1"/>
  <c r="D2455" i="1"/>
  <c r="B2455" i="1"/>
  <c r="A2455" i="1"/>
  <c r="J2454" i="1"/>
  <c r="I2454" i="1"/>
  <c r="H2454" i="1"/>
  <c r="G2454" i="1"/>
  <c r="F2454" i="1"/>
  <c r="D2454" i="1"/>
  <c r="B2454" i="1"/>
  <c r="A2454" i="1"/>
  <c r="J2453" i="1"/>
  <c r="I2453" i="1"/>
  <c r="H2453" i="1"/>
  <c r="G2453" i="1"/>
  <c r="F2453" i="1"/>
  <c r="D2453" i="1"/>
  <c r="B2453" i="1"/>
  <c r="A2453" i="1"/>
  <c r="J2452" i="1"/>
  <c r="I2452" i="1"/>
  <c r="H2452" i="1"/>
  <c r="G2452" i="1"/>
  <c r="F2452" i="1"/>
  <c r="D2452" i="1"/>
  <c r="B2452" i="1"/>
  <c r="A2452" i="1"/>
  <c r="J2451" i="1"/>
  <c r="I2451" i="1"/>
  <c r="H2451" i="1"/>
  <c r="G2451" i="1"/>
  <c r="F2451" i="1"/>
  <c r="D2451" i="1"/>
  <c r="B2451" i="1"/>
  <c r="A2451" i="1"/>
  <c r="J2450" i="1"/>
  <c r="I2450" i="1"/>
  <c r="H2450" i="1"/>
  <c r="G2450" i="1"/>
  <c r="F2450" i="1"/>
  <c r="D2450" i="1"/>
  <c r="B2450" i="1"/>
  <c r="A2450" i="1"/>
  <c r="J2449" i="1"/>
  <c r="I2449" i="1"/>
  <c r="H2449" i="1"/>
  <c r="G2449" i="1"/>
  <c r="F2449" i="1"/>
  <c r="D2449" i="1"/>
  <c r="B2449" i="1"/>
  <c r="A2449" i="1"/>
  <c r="J2448" i="1"/>
  <c r="I2448" i="1"/>
  <c r="H2448" i="1"/>
  <c r="G2448" i="1"/>
  <c r="F2448" i="1"/>
  <c r="D2448" i="1"/>
  <c r="B2448" i="1"/>
  <c r="A2448" i="1"/>
  <c r="J2447" i="1"/>
  <c r="I2447" i="1"/>
  <c r="H2447" i="1"/>
  <c r="G2447" i="1"/>
  <c r="F2447" i="1"/>
  <c r="D2447" i="1"/>
  <c r="B2447" i="1"/>
  <c r="A2447" i="1"/>
  <c r="J2446" i="1"/>
  <c r="I2446" i="1"/>
  <c r="H2446" i="1"/>
  <c r="G2446" i="1"/>
  <c r="F2446" i="1"/>
  <c r="D2446" i="1"/>
  <c r="B2446" i="1"/>
  <c r="A2446" i="1"/>
  <c r="J2445" i="1"/>
  <c r="I2445" i="1"/>
  <c r="H2445" i="1"/>
  <c r="G2445" i="1"/>
  <c r="F2445" i="1"/>
  <c r="D2445" i="1"/>
  <c r="B2445" i="1"/>
  <c r="A2445" i="1"/>
  <c r="J2444" i="1"/>
  <c r="I2444" i="1"/>
  <c r="H2444" i="1"/>
  <c r="G2444" i="1"/>
  <c r="F2444" i="1"/>
  <c r="D2444" i="1"/>
  <c r="B2444" i="1"/>
  <c r="A2444" i="1"/>
  <c r="J2443" i="1"/>
  <c r="I2443" i="1"/>
  <c r="H2443" i="1"/>
  <c r="G2443" i="1"/>
  <c r="F2443" i="1"/>
  <c r="D2443" i="1"/>
  <c r="B2443" i="1"/>
  <c r="A2443" i="1"/>
  <c r="J2442" i="1"/>
  <c r="I2442" i="1"/>
  <c r="H2442" i="1"/>
  <c r="G2442" i="1"/>
  <c r="F2442" i="1"/>
  <c r="D2442" i="1"/>
  <c r="B2442" i="1"/>
  <c r="A2442" i="1"/>
  <c r="J2441" i="1"/>
  <c r="I2441" i="1"/>
  <c r="H2441" i="1"/>
  <c r="G2441" i="1"/>
  <c r="F2441" i="1"/>
  <c r="D2441" i="1"/>
  <c r="B2441" i="1"/>
  <c r="A2441" i="1"/>
  <c r="J2440" i="1"/>
  <c r="I2440" i="1"/>
  <c r="H2440" i="1"/>
  <c r="G2440" i="1"/>
  <c r="F2440" i="1"/>
  <c r="D2440" i="1"/>
  <c r="B2440" i="1"/>
  <c r="A2440" i="1"/>
  <c r="J2439" i="1"/>
  <c r="I2439" i="1"/>
  <c r="H2439" i="1"/>
  <c r="G2439" i="1"/>
  <c r="F2439" i="1"/>
  <c r="D2439" i="1"/>
  <c r="B2439" i="1"/>
  <c r="A2439" i="1"/>
  <c r="J2438" i="1"/>
  <c r="I2438" i="1"/>
  <c r="H2438" i="1"/>
  <c r="G2438" i="1"/>
  <c r="F2438" i="1"/>
  <c r="D2438" i="1"/>
  <c r="B2438" i="1"/>
  <c r="A2438" i="1"/>
  <c r="J2437" i="1"/>
  <c r="I2437" i="1"/>
  <c r="H2437" i="1"/>
  <c r="G2437" i="1"/>
  <c r="F2437" i="1"/>
  <c r="D2437" i="1"/>
  <c r="B2437" i="1"/>
  <c r="A2437" i="1"/>
  <c r="J2436" i="1"/>
  <c r="I2436" i="1"/>
  <c r="H2436" i="1"/>
  <c r="G2436" i="1"/>
  <c r="F2436" i="1"/>
  <c r="D2436" i="1"/>
  <c r="B2436" i="1"/>
  <c r="A2436" i="1"/>
  <c r="J2435" i="1"/>
  <c r="I2435" i="1"/>
  <c r="H2435" i="1"/>
  <c r="G2435" i="1"/>
  <c r="F2435" i="1"/>
  <c r="D2435" i="1"/>
  <c r="B2435" i="1"/>
  <c r="A2435" i="1"/>
  <c r="J2434" i="1"/>
  <c r="I2434" i="1"/>
  <c r="H2434" i="1"/>
  <c r="G2434" i="1"/>
  <c r="F2434" i="1"/>
  <c r="D2434" i="1"/>
  <c r="B2434" i="1"/>
  <c r="A2434" i="1"/>
  <c r="J2433" i="1"/>
  <c r="I2433" i="1"/>
  <c r="H2433" i="1"/>
  <c r="G2433" i="1"/>
  <c r="F2433" i="1"/>
  <c r="D2433" i="1"/>
  <c r="B2433" i="1"/>
  <c r="A2433" i="1"/>
  <c r="J2432" i="1"/>
  <c r="I2432" i="1"/>
  <c r="H2432" i="1"/>
  <c r="G2432" i="1"/>
  <c r="F2432" i="1"/>
  <c r="D2432" i="1"/>
  <c r="B2432" i="1"/>
  <c r="A2432" i="1"/>
  <c r="J2431" i="1"/>
  <c r="I2431" i="1"/>
  <c r="H2431" i="1"/>
  <c r="G2431" i="1"/>
  <c r="F2431" i="1"/>
  <c r="D2431" i="1"/>
  <c r="B2431" i="1"/>
  <c r="A2431" i="1"/>
  <c r="J2430" i="1"/>
  <c r="I2430" i="1"/>
  <c r="H2430" i="1"/>
  <c r="G2430" i="1"/>
  <c r="F2430" i="1"/>
  <c r="D2430" i="1"/>
  <c r="B2430" i="1"/>
  <c r="A2430" i="1"/>
  <c r="J2429" i="1"/>
  <c r="I2429" i="1"/>
  <c r="H2429" i="1"/>
  <c r="G2429" i="1"/>
  <c r="F2429" i="1"/>
  <c r="D2429" i="1"/>
  <c r="B2429" i="1"/>
  <c r="A2429" i="1"/>
  <c r="J2428" i="1"/>
  <c r="I2428" i="1"/>
  <c r="H2428" i="1"/>
  <c r="G2428" i="1"/>
  <c r="F2428" i="1"/>
  <c r="D2428" i="1"/>
  <c r="B2428" i="1"/>
  <c r="A2428" i="1"/>
  <c r="J2427" i="1"/>
  <c r="I2427" i="1"/>
  <c r="H2427" i="1"/>
  <c r="G2427" i="1"/>
  <c r="F2427" i="1"/>
  <c r="D2427" i="1"/>
  <c r="B2427" i="1"/>
  <c r="A2427" i="1"/>
  <c r="J2426" i="1"/>
  <c r="I2426" i="1"/>
  <c r="H2426" i="1"/>
  <c r="G2426" i="1"/>
  <c r="F2426" i="1"/>
  <c r="D2426" i="1"/>
  <c r="B2426" i="1"/>
  <c r="A2426" i="1"/>
  <c r="J2425" i="1"/>
  <c r="I2425" i="1"/>
  <c r="H2425" i="1"/>
  <c r="G2425" i="1"/>
  <c r="F2425" i="1"/>
  <c r="D2425" i="1"/>
  <c r="B2425" i="1"/>
  <c r="A2425" i="1"/>
  <c r="J2424" i="1"/>
  <c r="I2424" i="1"/>
  <c r="H2424" i="1"/>
  <c r="G2424" i="1"/>
  <c r="F2424" i="1"/>
  <c r="D2424" i="1"/>
  <c r="B2424" i="1"/>
  <c r="A2424" i="1"/>
  <c r="J2423" i="1"/>
  <c r="I2423" i="1"/>
  <c r="H2423" i="1"/>
  <c r="G2423" i="1"/>
  <c r="F2423" i="1"/>
  <c r="D2423" i="1"/>
  <c r="B2423" i="1"/>
  <c r="A2423" i="1"/>
  <c r="J2422" i="1"/>
  <c r="I2422" i="1"/>
  <c r="H2422" i="1"/>
  <c r="G2422" i="1"/>
  <c r="F2422" i="1"/>
  <c r="D2422" i="1"/>
  <c r="B2422" i="1"/>
  <c r="A2422" i="1"/>
  <c r="J2421" i="1"/>
  <c r="I2421" i="1"/>
  <c r="H2421" i="1"/>
  <c r="G2421" i="1"/>
  <c r="F2421" i="1"/>
  <c r="D2421" i="1"/>
  <c r="B2421" i="1"/>
  <c r="A2421" i="1"/>
  <c r="J2420" i="1"/>
  <c r="I2420" i="1"/>
  <c r="H2420" i="1"/>
  <c r="G2420" i="1"/>
  <c r="F2420" i="1"/>
  <c r="D2420" i="1"/>
  <c r="B2420" i="1"/>
  <c r="A2420" i="1"/>
  <c r="J2419" i="1"/>
  <c r="I2419" i="1"/>
  <c r="H2419" i="1"/>
  <c r="G2419" i="1"/>
  <c r="F2419" i="1"/>
  <c r="D2419" i="1"/>
  <c r="B2419" i="1"/>
  <c r="A2419" i="1"/>
  <c r="J2418" i="1"/>
  <c r="I2418" i="1"/>
  <c r="H2418" i="1"/>
  <c r="G2418" i="1"/>
  <c r="F2418" i="1"/>
  <c r="D2418" i="1"/>
  <c r="B2418" i="1"/>
  <c r="A2418" i="1"/>
  <c r="J2417" i="1"/>
  <c r="I2417" i="1"/>
  <c r="H2417" i="1"/>
  <c r="G2417" i="1"/>
  <c r="F2417" i="1"/>
  <c r="D2417" i="1"/>
  <c r="B2417" i="1"/>
  <c r="A2417" i="1"/>
  <c r="J2416" i="1"/>
  <c r="I2416" i="1"/>
  <c r="H2416" i="1"/>
  <c r="G2416" i="1"/>
  <c r="F2416" i="1"/>
  <c r="D2416" i="1"/>
  <c r="B2416" i="1"/>
  <c r="A2416" i="1"/>
  <c r="J2415" i="1"/>
  <c r="I2415" i="1"/>
  <c r="H2415" i="1"/>
  <c r="G2415" i="1"/>
  <c r="F2415" i="1"/>
  <c r="D2415" i="1"/>
  <c r="B2415" i="1"/>
  <c r="A2415" i="1"/>
  <c r="J2414" i="1"/>
  <c r="I2414" i="1"/>
  <c r="H2414" i="1"/>
  <c r="G2414" i="1"/>
  <c r="F2414" i="1"/>
  <c r="D2414" i="1"/>
  <c r="B2414" i="1"/>
  <c r="A2414" i="1"/>
  <c r="J2413" i="1"/>
  <c r="I2413" i="1"/>
  <c r="H2413" i="1"/>
  <c r="G2413" i="1"/>
  <c r="F2413" i="1"/>
  <c r="D2413" i="1"/>
  <c r="B2413" i="1"/>
  <c r="A2413" i="1"/>
  <c r="J2412" i="1"/>
  <c r="I2412" i="1"/>
  <c r="H2412" i="1"/>
  <c r="G2412" i="1"/>
  <c r="F2412" i="1"/>
  <c r="D2412" i="1"/>
  <c r="B2412" i="1"/>
  <c r="A2412" i="1"/>
  <c r="J2411" i="1"/>
  <c r="I2411" i="1"/>
  <c r="H2411" i="1"/>
  <c r="G2411" i="1"/>
  <c r="F2411" i="1"/>
  <c r="D2411" i="1"/>
  <c r="B2411" i="1"/>
  <c r="A2411" i="1"/>
  <c r="J2410" i="1"/>
  <c r="I2410" i="1"/>
  <c r="H2410" i="1"/>
  <c r="G2410" i="1"/>
  <c r="F2410" i="1"/>
  <c r="D2410" i="1"/>
  <c r="B2410" i="1"/>
  <c r="A2410" i="1"/>
  <c r="J2409" i="1"/>
  <c r="I2409" i="1"/>
  <c r="H2409" i="1"/>
  <c r="G2409" i="1"/>
  <c r="F2409" i="1"/>
  <c r="D2409" i="1"/>
  <c r="B2409" i="1"/>
  <c r="A2409" i="1"/>
  <c r="J2408" i="1"/>
  <c r="I2408" i="1"/>
  <c r="H2408" i="1"/>
  <c r="G2408" i="1"/>
  <c r="F2408" i="1"/>
  <c r="D2408" i="1"/>
  <c r="B2408" i="1"/>
  <c r="A2408" i="1"/>
  <c r="J2407" i="1"/>
  <c r="I2407" i="1"/>
  <c r="H2407" i="1"/>
  <c r="G2407" i="1"/>
  <c r="F2407" i="1"/>
  <c r="D2407" i="1"/>
  <c r="B2407" i="1"/>
  <c r="A2407" i="1"/>
  <c r="J2406" i="1"/>
  <c r="I2406" i="1"/>
  <c r="H2406" i="1"/>
  <c r="G2406" i="1"/>
  <c r="F2406" i="1"/>
  <c r="D2406" i="1"/>
  <c r="B2406" i="1"/>
  <c r="A2406" i="1"/>
  <c r="J2405" i="1"/>
  <c r="I2405" i="1"/>
  <c r="H2405" i="1"/>
  <c r="G2405" i="1"/>
  <c r="F2405" i="1"/>
  <c r="D2405" i="1"/>
  <c r="B2405" i="1"/>
  <c r="A2405" i="1"/>
  <c r="J2404" i="1"/>
  <c r="I2404" i="1"/>
  <c r="H2404" i="1"/>
  <c r="G2404" i="1"/>
  <c r="F2404" i="1"/>
  <c r="D2404" i="1"/>
  <c r="B2404" i="1"/>
  <c r="A2404" i="1"/>
  <c r="J2403" i="1"/>
  <c r="I2403" i="1"/>
  <c r="H2403" i="1"/>
  <c r="G2403" i="1"/>
  <c r="F2403" i="1"/>
  <c r="D2403" i="1"/>
  <c r="B2403" i="1"/>
  <c r="A2403" i="1"/>
  <c r="J2402" i="1"/>
  <c r="I2402" i="1"/>
  <c r="H2402" i="1"/>
  <c r="G2402" i="1"/>
  <c r="F2402" i="1"/>
  <c r="D2402" i="1"/>
  <c r="B2402" i="1"/>
  <c r="A2402" i="1"/>
  <c r="J2401" i="1"/>
  <c r="I2401" i="1"/>
  <c r="H2401" i="1"/>
  <c r="G2401" i="1"/>
  <c r="F2401" i="1"/>
  <c r="D2401" i="1"/>
  <c r="B2401" i="1"/>
  <c r="A2401" i="1"/>
  <c r="J2400" i="1"/>
  <c r="I2400" i="1"/>
  <c r="H2400" i="1"/>
  <c r="G2400" i="1"/>
  <c r="F2400" i="1"/>
  <c r="D2400" i="1"/>
  <c r="B2400" i="1"/>
  <c r="A2400" i="1"/>
  <c r="J2399" i="1"/>
  <c r="I2399" i="1"/>
  <c r="H2399" i="1"/>
  <c r="G2399" i="1"/>
  <c r="F2399" i="1"/>
  <c r="D2399" i="1"/>
  <c r="B2399" i="1"/>
  <c r="A2399" i="1"/>
  <c r="J2398" i="1"/>
  <c r="I2398" i="1"/>
  <c r="H2398" i="1"/>
  <c r="G2398" i="1"/>
  <c r="F2398" i="1"/>
  <c r="D2398" i="1"/>
  <c r="B2398" i="1"/>
  <c r="A2398" i="1"/>
  <c r="J2397" i="1"/>
  <c r="I2397" i="1"/>
  <c r="H2397" i="1"/>
  <c r="G2397" i="1"/>
  <c r="F2397" i="1"/>
  <c r="D2397" i="1"/>
  <c r="B2397" i="1"/>
  <c r="A2397" i="1"/>
  <c r="J2396" i="1"/>
  <c r="I2396" i="1"/>
  <c r="H2396" i="1"/>
  <c r="G2396" i="1"/>
  <c r="F2396" i="1"/>
  <c r="D2396" i="1"/>
  <c r="B2396" i="1"/>
  <c r="A2396" i="1"/>
  <c r="J2395" i="1"/>
  <c r="I2395" i="1"/>
  <c r="H2395" i="1"/>
  <c r="G2395" i="1"/>
  <c r="F2395" i="1"/>
  <c r="D2395" i="1"/>
  <c r="B2395" i="1"/>
  <c r="A2395" i="1"/>
  <c r="J2394" i="1"/>
  <c r="I2394" i="1"/>
  <c r="H2394" i="1"/>
  <c r="G2394" i="1"/>
  <c r="F2394" i="1"/>
  <c r="D2394" i="1"/>
  <c r="B2394" i="1"/>
  <c r="A2394" i="1"/>
  <c r="J2393" i="1"/>
  <c r="I2393" i="1"/>
  <c r="H2393" i="1"/>
  <c r="G2393" i="1"/>
  <c r="F2393" i="1"/>
  <c r="D2393" i="1"/>
  <c r="B2393" i="1"/>
  <c r="A2393" i="1"/>
  <c r="J2392" i="1"/>
  <c r="I2392" i="1"/>
  <c r="H2392" i="1"/>
  <c r="G2392" i="1"/>
  <c r="F2392" i="1"/>
  <c r="D2392" i="1"/>
  <c r="B2392" i="1"/>
  <c r="A2392" i="1"/>
  <c r="J2391" i="1"/>
  <c r="I2391" i="1"/>
  <c r="H2391" i="1"/>
  <c r="G2391" i="1"/>
  <c r="F2391" i="1"/>
  <c r="D2391" i="1"/>
  <c r="B2391" i="1"/>
  <c r="A2391" i="1"/>
  <c r="J2390" i="1"/>
  <c r="I2390" i="1"/>
  <c r="H2390" i="1"/>
  <c r="G2390" i="1"/>
  <c r="F2390" i="1"/>
  <c r="D2390" i="1"/>
  <c r="B2390" i="1"/>
  <c r="A2390" i="1"/>
  <c r="J2389" i="1"/>
  <c r="I2389" i="1"/>
  <c r="H2389" i="1"/>
  <c r="G2389" i="1"/>
  <c r="F2389" i="1"/>
  <c r="D2389" i="1"/>
  <c r="B2389" i="1"/>
  <c r="A2389" i="1"/>
  <c r="J2388" i="1"/>
  <c r="I2388" i="1"/>
  <c r="H2388" i="1"/>
  <c r="G2388" i="1"/>
  <c r="F2388" i="1"/>
  <c r="D2388" i="1"/>
  <c r="B2388" i="1"/>
  <c r="A2388" i="1"/>
  <c r="J2387" i="1"/>
  <c r="I2387" i="1"/>
  <c r="H2387" i="1"/>
  <c r="G2387" i="1"/>
  <c r="F2387" i="1"/>
  <c r="D2387" i="1"/>
  <c r="B2387" i="1"/>
  <c r="A2387" i="1"/>
  <c r="J2386" i="1"/>
  <c r="I2386" i="1"/>
  <c r="H2386" i="1"/>
  <c r="G2386" i="1"/>
  <c r="F2386" i="1"/>
  <c r="D2386" i="1"/>
  <c r="B2386" i="1"/>
  <c r="A2386" i="1"/>
  <c r="J2385" i="1"/>
  <c r="I2385" i="1"/>
  <c r="H2385" i="1"/>
  <c r="G2385" i="1"/>
  <c r="F2385" i="1"/>
  <c r="D2385" i="1"/>
  <c r="B2385" i="1"/>
  <c r="A2385" i="1"/>
  <c r="J2384" i="1"/>
  <c r="I2384" i="1"/>
  <c r="H2384" i="1"/>
  <c r="G2384" i="1"/>
  <c r="F2384" i="1"/>
  <c r="D2384" i="1"/>
  <c r="B2384" i="1"/>
  <c r="A2384" i="1"/>
  <c r="J2383" i="1"/>
  <c r="I2383" i="1"/>
  <c r="H2383" i="1"/>
  <c r="G2383" i="1"/>
  <c r="F2383" i="1"/>
  <c r="D2383" i="1"/>
  <c r="B2383" i="1"/>
  <c r="A2383" i="1"/>
  <c r="J2382" i="1"/>
  <c r="I2382" i="1"/>
  <c r="H2382" i="1"/>
  <c r="G2382" i="1"/>
  <c r="F2382" i="1"/>
  <c r="D2382" i="1"/>
  <c r="B2382" i="1"/>
  <c r="A2382" i="1"/>
  <c r="J2381" i="1"/>
  <c r="I2381" i="1"/>
  <c r="H2381" i="1"/>
  <c r="G2381" i="1"/>
  <c r="F2381" i="1"/>
  <c r="D2381" i="1"/>
  <c r="B2381" i="1"/>
  <c r="A2381" i="1"/>
  <c r="J2380" i="1"/>
  <c r="I2380" i="1"/>
  <c r="H2380" i="1"/>
  <c r="G2380" i="1"/>
  <c r="F2380" i="1"/>
  <c r="D2380" i="1"/>
  <c r="B2380" i="1"/>
  <c r="A2380" i="1"/>
  <c r="J2379" i="1"/>
  <c r="I2379" i="1"/>
  <c r="H2379" i="1"/>
  <c r="G2379" i="1"/>
  <c r="F2379" i="1"/>
  <c r="D2379" i="1"/>
  <c r="B2379" i="1"/>
  <c r="A2379" i="1"/>
  <c r="J2378" i="1"/>
  <c r="I2378" i="1"/>
  <c r="H2378" i="1"/>
  <c r="G2378" i="1"/>
  <c r="F2378" i="1"/>
  <c r="D2378" i="1"/>
  <c r="B2378" i="1"/>
  <c r="A2378" i="1"/>
  <c r="J2377" i="1"/>
  <c r="I2377" i="1"/>
  <c r="H2377" i="1"/>
  <c r="G2377" i="1"/>
  <c r="F2377" i="1"/>
  <c r="D2377" i="1"/>
  <c r="B2377" i="1"/>
  <c r="A2377" i="1"/>
  <c r="J2376" i="1"/>
  <c r="I2376" i="1"/>
  <c r="H2376" i="1"/>
  <c r="G2376" i="1"/>
  <c r="F2376" i="1"/>
  <c r="D2376" i="1"/>
  <c r="B2376" i="1"/>
  <c r="A2376" i="1"/>
  <c r="J2375" i="1"/>
  <c r="I2375" i="1"/>
  <c r="H2375" i="1"/>
  <c r="G2375" i="1"/>
  <c r="F2375" i="1"/>
  <c r="D2375" i="1"/>
  <c r="B2375" i="1"/>
  <c r="A2375" i="1"/>
  <c r="J2374" i="1"/>
  <c r="I2374" i="1"/>
  <c r="H2374" i="1"/>
  <c r="G2374" i="1"/>
  <c r="F2374" i="1"/>
  <c r="D2374" i="1"/>
  <c r="B2374" i="1"/>
  <c r="A2374" i="1"/>
  <c r="J2373" i="1"/>
  <c r="I2373" i="1"/>
  <c r="H2373" i="1"/>
  <c r="G2373" i="1"/>
  <c r="F2373" i="1"/>
  <c r="D2373" i="1"/>
  <c r="B2373" i="1"/>
  <c r="A2373" i="1"/>
  <c r="J2372" i="1"/>
  <c r="I2372" i="1"/>
  <c r="H2372" i="1"/>
  <c r="G2372" i="1"/>
  <c r="F2372" i="1"/>
  <c r="D2372" i="1"/>
  <c r="B2372" i="1"/>
  <c r="A2372" i="1"/>
  <c r="J2371" i="1"/>
  <c r="I2371" i="1"/>
  <c r="H2371" i="1"/>
  <c r="G2371" i="1"/>
  <c r="F2371" i="1"/>
  <c r="D2371" i="1"/>
  <c r="B2371" i="1"/>
  <c r="A2371" i="1"/>
  <c r="J2370" i="1"/>
  <c r="I2370" i="1"/>
  <c r="H2370" i="1"/>
  <c r="G2370" i="1"/>
  <c r="F2370" i="1"/>
  <c r="D2370" i="1"/>
  <c r="B2370" i="1"/>
  <c r="A2370" i="1"/>
  <c r="J2369" i="1"/>
  <c r="I2369" i="1"/>
  <c r="H2369" i="1"/>
  <c r="G2369" i="1"/>
  <c r="F2369" i="1"/>
  <c r="D2369" i="1"/>
  <c r="B2369" i="1"/>
  <c r="A2369" i="1"/>
  <c r="J2368" i="1"/>
  <c r="I2368" i="1"/>
  <c r="H2368" i="1"/>
  <c r="G2368" i="1"/>
  <c r="F2368" i="1"/>
  <c r="D2368" i="1"/>
  <c r="B2368" i="1"/>
  <c r="A2368" i="1"/>
  <c r="J2367" i="1"/>
  <c r="I2367" i="1"/>
  <c r="H2367" i="1"/>
  <c r="G2367" i="1"/>
  <c r="F2367" i="1"/>
  <c r="D2367" i="1"/>
  <c r="B2367" i="1"/>
  <c r="A2367" i="1"/>
  <c r="J2366" i="1"/>
  <c r="I2366" i="1"/>
  <c r="H2366" i="1"/>
  <c r="G2366" i="1"/>
  <c r="F2366" i="1"/>
  <c r="D2366" i="1"/>
  <c r="B2366" i="1"/>
  <c r="A2366" i="1"/>
  <c r="J2365" i="1"/>
  <c r="I2365" i="1"/>
  <c r="H2365" i="1"/>
  <c r="G2365" i="1"/>
  <c r="F2365" i="1"/>
  <c r="D2365" i="1"/>
  <c r="B2365" i="1"/>
  <c r="A2365" i="1"/>
  <c r="J2364" i="1"/>
  <c r="I2364" i="1"/>
  <c r="H2364" i="1"/>
  <c r="G2364" i="1"/>
  <c r="F2364" i="1"/>
  <c r="D2364" i="1"/>
  <c r="B2364" i="1"/>
  <c r="A2364" i="1"/>
  <c r="J2363" i="1"/>
  <c r="I2363" i="1"/>
  <c r="H2363" i="1"/>
  <c r="G2363" i="1"/>
  <c r="F2363" i="1"/>
  <c r="D2363" i="1"/>
  <c r="B2363" i="1"/>
  <c r="A2363" i="1"/>
  <c r="J2362" i="1"/>
  <c r="I2362" i="1"/>
  <c r="H2362" i="1"/>
  <c r="G2362" i="1"/>
  <c r="F2362" i="1"/>
  <c r="D2362" i="1"/>
  <c r="B2362" i="1"/>
  <c r="A2362" i="1"/>
  <c r="J2361" i="1"/>
  <c r="I2361" i="1"/>
  <c r="H2361" i="1"/>
  <c r="G2361" i="1"/>
  <c r="F2361" i="1"/>
  <c r="D2361" i="1"/>
  <c r="B2361" i="1"/>
  <c r="A2361" i="1"/>
  <c r="J2360" i="1"/>
  <c r="I2360" i="1"/>
  <c r="H2360" i="1"/>
  <c r="G2360" i="1"/>
  <c r="F2360" i="1"/>
  <c r="D2360" i="1"/>
  <c r="B2360" i="1"/>
  <c r="A2360" i="1"/>
  <c r="J2359" i="1"/>
  <c r="I2359" i="1"/>
  <c r="H2359" i="1"/>
  <c r="G2359" i="1"/>
  <c r="F2359" i="1"/>
  <c r="D2359" i="1"/>
  <c r="B2359" i="1"/>
  <c r="A2359" i="1"/>
  <c r="J2358" i="1"/>
  <c r="I2358" i="1"/>
  <c r="H2358" i="1"/>
  <c r="G2358" i="1"/>
  <c r="F2358" i="1"/>
  <c r="D2358" i="1"/>
  <c r="B2358" i="1"/>
  <c r="A2358" i="1"/>
  <c r="J2357" i="1"/>
  <c r="I2357" i="1"/>
  <c r="H2357" i="1"/>
  <c r="G2357" i="1"/>
  <c r="F2357" i="1"/>
  <c r="D2357" i="1"/>
  <c r="B2357" i="1"/>
  <c r="A2357" i="1"/>
  <c r="J2356" i="1"/>
  <c r="I2356" i="1"/>
  <c r="H2356" i="1"/>
  <c r="G2356" i="1"/>
  <c r="F2356" i="1"/>
  <c r="D2356" i="1"/>
  <c r="B2356" i="1"/>
  <c r="A2356" i="1"/>
  <c r="J2355" i="1"/>
  <c r="I2355" i="1"/>
  <c r="H2355" i="1"/>
  <c r="G2355" i="1"/>
  <c r="F2355" i="1"/>
  <c r="D2355" i="1"/>
  <c r="B2355" i="1"/>
  <c r="A2355" i="1"/>
  <c r="J2354" i="1"/>
  <c r="I2354" i="1"/>
  <c r="H2354" i="1"/>
  <c r="G2354" i="1"/>
  <c r="F2354" i="1"/>
  <c r="D2354" i="1"/>
  <c r="B2354" i="1"/>
  <c r="A2354" i="1"/>
  <c r="J2353" i="1"/>
  <c r="I2353" i="1"/>
  <c r="H2353" i="1"/>
  <c r="G2353" i="1"/>
  <c r="F2353" i="1"/>
  <c r="D2353" i="1"/>
  <c r="B2353" i="1"/>
  <c r="A2353" i="1"/>
  <c r="J2352" i="1"/>
  <c r="I2352" i="1"/>
  <c r="H2352" i="1"/>
  <c r="G2352" i="1"/>
  <c r="F2352" i="1"/>
  <c r="D2352" i="1"/>
  <c r="B2352" i="1"/>
  <c r="A2352" i="1"/>
  <c r="J2351" i="1"/>
  <c r="I2351" i="1"/>
  <c r="H2351" i="1"/>
  <c r="G2351" i="1"/>
  <c r="F2351" i="1"/>
  <c r="D2351" i="1"/>
  <c r="B2351" i="1"/>
  <c r="A2351" i="1"/>
  <c r="J2350" i="1"/>
  <c r="I2350" i="1"/>
  <c r="H2350" i="1"/>
  <c r="G2350" i="1"/>
  <c r="F2350" i="1"/>
  <c r="D2350" i="1"/>
  <c r="B2350" i="1"/>
  <c r="A2350" i="1"/>
  <c r="J2349" i="1"/>
  <c r="I2349" i="1"/>
  <c r="H2349" i="1"/>
  <c r="G2349" i="1"/>
  <c r="F2349" i="1"/>
  <c r="D2349" i="1"/>
  <c r="B2349" i="1"/>
  <c r="A2349" i="1"/>
  <c r="J2348" i="1"/>
  <c r="I2348" i="1"/>
  <c r="H2348" i="1"/>
  <c r="G2348" i="1"/>
  <c r="F2348" i="1"/>
  <c r="D2348" i="1"/>
  <c r="B2348" i="1"/>
  <c r="A2348" i="1"/>
  <c r="J2347" i="1"/>
  <c r="I2347" i="1"/>
  <c r="H2347" i="1"/>
  <c r="G2347" i="1"/>
  <c r="F2347" i="1"/>
  <c r="D2347" i="1"/>
  <c r="B2347" i="1"/>
  <c r="A2347" i="1"/>
  <c r="J2346" i="1"/>
  <c r="I2346" i="1"/>
  <c r="H2346" i="1"/>
  <c r="G2346" i="1"/>
  <c r="F2346" i="1"/>
  <c r="D2346" i="1"/>
  <c r="B2346" i="1"/>
  <c r="A2346" i="1"/>
  <c r="J2345" i="1"/>
  <c r="I2345" i="1"/>
  <c r="H2345" i="1"/>
  <c r="G2345" i="1"/>
  <c r="F2345" i="1"/>
  <c r="D2345" i="1"/>
  <c r="B2345" i="1"/>
  <c r="A2345" i="1"/>
  <c r="J2344" i="1"/>
  <c r="I2344" i="1"/>
  <c r="H2344" i="1"/>
  <c r="G2344" i="1"/>
  <c r="F2344" i="1"/>
  <c r="D2344" i="1"/>
  <c r="B2344" i="1"/>
  <c r="A2344" i="1"/>
  <c r="J2343" i="1"/>
  <c r="I2343" i="1"/>
  <c r="H2343" i="1"/>
  <c r="G2343" i="1"/>
  <c r="F2343" i="1"/>
  <c r="D2343" i="1"/>
  <c r="B2343" i="1"/>
  <c r="A2343" i="1"/>
  <c r="J2342" i="1"/>
  <c r="I2342" i="1"/>
  <c r="H2342" i="1"/>
  <c r="G2342" i="1"/>
  <c r="F2342" i="1"/>
  <c r="D2342" i="1"/>
  <c r="B2342" i="1"/>
  <c r="A2342" i="1"/>
  <c r="J2341" i="1"/>
  <c r="I2341" i="1"/>
  <c r="H2341" i="1"/>
  <c r="G2341" i="1"/>
  <c r="F2341" i="1"/>
  <c r="D2341" i="1"/>
  <c r="B2341" i="1"/>
  <c r="A2341" i="1"/>
  <c r="J2340" i="1"/>
  <c r="I2340" i="1"/>
  <c r="H2340" i="1"/>
  <c r="G2340" i="1"/>
  <c r="F2340" i="1"/>
  <c r="D2340" i="1"/>
  <c r="B2340" i="1"/>
  <c r="A2340" i="1"/>
  <c r="J2339" i="1"/>
  <c r="I2339" i="1"/>
  <c r="H2339" i="1"/>
  <c r="G2339" i="1"/>
  <c r="F2339" i="1"/>
  <c r="D2339" i="1"/>
  <c r="B2339" i="1"/>
  <c r="A2339" i="1"/>
  <c r="J2338" i="1"/>
  <c r="I2338" i="1"/>
  <c r="H2338" i="1"/>
  <c r="G2338" i="1"/>
  <c r="F2338" i="1"/>
  <c r="D2338" i="1"/>
  <c r="B2338" i="1"/>
  <c r="A2338" i="1"/>
  <c r="J2337" i="1"/>
  <c r="I2337" i="1"/>
  <c r="H2337" i="1"/>
  <c r="G2337" i="1"/>
  <c r="F2337" i="1"/>
  <c r="D2337" i="1"/>
  <c r="B2337" i="1"/>
  <c r="A2337" i="1"/>
  <c r="J2336" i="1"/>
  <c r="I2336" i="1"/>
  <c r="H2336" i="1"/>
  <c r="G2336" i="1"/>
  <c r="F2336" i="1"/>
  <c r="D2336" i="1"/>
  <c r="B2336" i="1"/>
  <c r="A2336" i="1"/>
  <c r="J2335" i="1"/>
  <c r="I2335" i="1"/>
  <c r="H2335" i="1"/>
  <c r="G2335" i="1"/>
  <c r="F2335" i="1"/>
  <c r="D2335" i="1"/>
  <c r="B2335" i="1"/>
  <c r="A2335" i="1"/>
  <c r="J2334" i="1"/>
  <c r="I2334" i="1"/>
  <c r="H2334" i="1"/>
  <c r="G2334" i="1"/>
  <c r="F2334" i="1"/>
  <c r="D2334" i="1"/>
  <c r="B2334" i="1"/>
  <c r="A2334" i="1"/>
  <c r="J2333" i="1"/>
  <c r="I2333" i="1"/>
  <c r="H2333" i="1"/>
  <c r="G2333" i="1"/>
  <c r="F2333" i="1"/>
  <c r="D2333" i="1"/>
  <c r="B2333" i="1"/>
  <c r="A2333" i="1"/>
  <c r="J2332" i="1"/>
  <c r="I2332" i="1"/>
  <c r="H2332" i="1"/>
  <c r="G2332" i="1"/>
  <c r="F2332" i="1"/>
  <c r="D2332" i="1"/>
  <c r="B2332" i="1"/>
  <c r="A2332" i="1"/>
  <c r="J2331" i="1"/>
  <c r="I2331" i="1"/>
  <c r="H2331" i="1"/>
  <c r="G2331" i="1"/>
  <c r="F2331" i="1"/>
  <c r="D2331" i="1"/>
  <c r="B2331" i="1"/>
  <c r="A2331" i="1"/>
  <c r="J2330" i="1"/>
  <c r="I2330" i="1"/>
  <c r="H2330" i="1"/>
  <c r="G2330" i="1"/>
  <c r="F2330" i="1"/>
  <c r="D2330" i="1"/>
  <c r="B2330" i="1"/>
  <c r="A2330" i="1"/>
  <c r="J2329" i="1"/>
  <c r="I2329" i="1"/>
  <c r="H2329" i="1"/>
  <c r="G2329" i="1"/>
  <c r="F2329" i="1"/>
  <c r="D2329" i="1"/>
  <c r="B2329" i="1"/>
  <c r="A2329" i="1"/>
  <c r="J2328" i="1"/>
  <c r="I2328" i="1"/>
  <c r="H2328" i="1"/>
  <c r="G2328" i="1"/>
  <c r="F2328" i="1"/>
  <c r="D2328" i="1"/>
  <c r="B2328" i="1"/>
  <c r="A2328" i="1"/>
  <c r="J2327" i="1"/>
  <c r="I2327" i="1"/>
  <c r="H2327" i="1"/>
  <c r="G2327" i="1"/>
  <c r="F2327" i="1"/>
  <c r="D2327" i="1"/>
  <c r="B2327" i="1"/>
  <c r="A2327" i="1"/>
  <c r="J2326" i="1"/>
  <c r="I2326" i="1"/>
  <c r="H2326" i="1"/>
  <c r="G2326" i="1"/>
  <c r="F2326" i="1"/>
  <c r="D2326" i="1"/>
  <c r="B2326" i="1"/>
  <c r="A2326" i="1"/>
  <c r="J2325" i="1"/>
  <c r="I2325" i="1"/>
  <c r="H2325" i="1"/>
  <c r="G2325" i="1"/>
  <c r="F2325" i="1"/>
  <c r="D2325" i="1"/>
  <c r="B2325" i="1"/>
  <c r="A2325" i="1"/>
  <c r="J2324" i="1"/>
  <c r="I2324" i="1"/>
  <c r="H2324" i="1"/>
  <c r="G2324" i="1"/>
  <c r="F2324" i="1"/>
  <c r="D2324" i="1"/>
  <c r="B2324" i="1"/>
  <c r="A2324" i="1"/>
  <c r="J2323" i="1"/>
  <c r="I2323" i="1"/>
  <c r="H2323" i="1"/>
  <c r="G2323" i="1"/>
  <c r="F2323" i="1"/>
  <c r="D2323" i="1"/>
  <c r="B2323" i="1"/>
  <c r="A2323" i="1"/>
  <c r="J2322" i="1"/>
  <c r="I2322" i="1"/>
  <c r="H2322" i="1"/>
  <c r="G2322" i="1"/>
  <c r="F2322" i="1"/>
  <c r="D2322" i="1"/>
  <c r="B2322" i="1"/>
  <c r="A2322" i="1"/>
  <c r="J2321" i="1"/>
  <c r="I2321" i="1"/>
  <c r="H2321" i="1"/>
  <c r="G2321" i="1"/>
  <c r="F2321" i="1"/>
  <c r="D2321" i="1"/>
  <c r="B2321" i="1"/>
  <c r="A2321" i="1"/>
  <c r="J2320" i="1"/>
  <c r="I2320" i="1"/>
  <c r="H2320" i="1"/>
  <c r="G2320" i="1"/>
  <c r="F2320" i="1"/>
  <c r="D2320" i="1"/>
  <c r="B2320" i="1"/>
  <c r="A2320" i="1"/>
  <c r="J2319" i="1"/>
  <c r="I2319" i="1"/>
  <c r="H2319" i="1"/>
  <c r="G2319" i="1"/>
  <c r="F2319" i="1"/>
  <c r="D2319" i="1"/>
  <c r="B2319" i="1"/>
  <c r="A2319" i="1"/>
  <c r="J2318" i="1"/>
  <c r="I2318" i="1"/>
  <c r="H2318" i="1"/>
  <c r="G2318" i="1"/>
  <c r="F2318" i="1"/>
  <c r="D2318" i="1"/>
  <c r="B2318" i="1"/>
  <c r="A2318" i="1"/>
  <c r="J2317" i="1"/>
  <c r="I2317" i="1"/>
  <c r="H2317" i="1"/>
  <c r="G2317" i="1"/>
  <c r="F2317" i="1"/>
  <c r="D2317" i="1"/>
  <c r="B2317" i="1"/>
  <c r="A2317" i="1"/>
  <c r="J2316" i="1"/>
  <c r="I2316" i="1"/>
  <c r="H2316" i="1"/>
  <c r="G2316" i="1"/>
  <c r="F2316" i="1"/>
  <c r="D2316" i="1"/>
  <c r="B2316" i="1"/>
  <c r="A2316" i="1"/>
  <c r="J2315" i="1"/>
  <c r="I2315" i="1"/>
  <c r="H2315" i="1"/>
  <c r="G2315" i="1"/>
  <c r="F2315" i="1"/>
  <c r="D2315" i="1"/>
  <c r="B2315" i="1"/>
  <c r="A2315" i="1"/>
  <c r="J2314" i="1"/>
  <c r="I2314" i="1"/>
  <c r="H2314" i="1"/>
  <c r="G2314" i="1"/>
  <c r="F2314" i="1"/>
  <c r="D2314" i="1"/>
  <c r="B2314" i="1"/>
  <c r="A2314" i="1"/>
  <c r="J2313" i="1"/>
  <c r="I2313" i="1"/>
  <c r="H2313" i="1"/>
  <c r="G2313" i="1"/>
  <c r="F2313" i="1"/>
  <c r="D2313" i="1"/>
  <c r="B2313" i="1"/>
  <c r="A2313" i="1"/>
  <c r="J2312" i="1"/>
  <c r="I2312" i="1"/>
  <c r="H2312" i="1"/>
  <c r="G2312" i="1"/>
  <c r="F2312" i="1"/>
  <c r="D2312" i="1"/>
  <c r="B2312" i="1"/>
  <c r="A2312" i="1"/>
  <c r="J2311" i="1"/>
  <c r="I2311" i="1"/>
  <c r="H2311" i="1"/>
  <c r="G2311" i="1"/>
  <c r="F2311" i="1"/>
  <c r="D2311" i="1"/>
  <c r="B2311" i="1"/>
  <c r="A2311" i="1"/>
  <c r="J2310" i="1"/>
  <c r="I2310" i="1"/>
  <c r="H2310" i="1"/>
  <c r="G2310" i="1"/>
  <c r="F2310" i="1"/>
  <c r="D2310" i="1"/>
  <c r="B2310" i="1"/>
  <c r="A2310" i="1"/>
  <c r="J2309" i="1"/>
  <c r="I2309" i="1"/>
  <c r="H2309" i="1"/>
  <c r="G2309" i="1"/>
  <c r="F2309" i="1"/>
  <c r="D2309" i="1"/>
  <c r="B2309" i="1"/>
  <c r="A2309" i="1"/>
  <c r="J2308" i="1"/>
  <c r="I2308" i="1"/>
  <c r="H2308" i="1"/>
  <c r="G2308" i="1"/>
  <c r="F2308" i="1"/>
  <c r="D2308" i="1"/>
  <c r="B2308" i="1"/>
  <c r="A2308" i="1"/>
  <c r="J2307" i="1"/>
  <c r="I2307" i="1"/>
  <c r="H2307" i="1"/>
  <c r="G2307" i="1"/>
  <c r="F2307" i="1"/>
  <c r="D2307" i="1"/>
  <c r="B2307" i="1"/>
  <c r="A2307" i="1"/>
  <c r="J2306" i="1"/>
  <c r="I2306" i="1"/>
  <c r="H2306" i="1"/>
  <c r="G2306" i="1"/>
  <c r="F2306" i="1"/>
  <c r="D2306" i="1"/>
  <c r="B2306" i="1"/>
  <c r="A2306" i="1"/>
  <c r="J2305" i="1"/>
  <c r="I2305" i="1"/>
  <c r="H2305" i="1"/>
  <c r="G2305" i="1"/>
  <c r="F2305" i="1"/>
  <c r="D2305" i="1"/>
  <c r="B2305" i="1"/>
  <c r="A2305" i="1"/>
  <c r="J2304" i="1"/>
  <c r="I2304" i="1"/>
  <c r="H2304" i="1"/>
  <c r="G2304" i="1"/>
  <c r="F2304" i="1"/>
  <c r="D2304" i="1"/>
  <c r="B2304" i="1"/>
  <c r="A2304" i="1"/>
  <c r="J2303" i="1"/>
  <c r="I2303" i="1"/>
  <c r="H2303" i="1"/>
  <c r="G2303" i="1"/>
  <c r="F2303" i="1"/>
  <c r="D2303" i="1"/>
  <c r="B2303" i="1"/>
  <c r="A2303" i="1"/>
  <c r="J2302" i="1"/>
  <c r="I2302" i="1"/>
  <c r="H2302" i="1"/>
  <c r="G2302" i="1"/>
  <c r="F2302" i="1"/>
  <c r="D2302" i="1"/>
  <c r="B2302" i="1"/>
  <c r="A2302" i="1"/>
  <c r="J2301" i="1"/>
  <c r="I2301" i="1"/>
  <c r="H2301" i="1"/>
  <c r="G2301" i="1"/>
  <c r="F2301" i="1"/>
  <c r="D2301" i="1"/>
  <c r="B2301" i="1"/>
  <c r="A2301" i="1"/>
  <c r="J2300" i="1"/>
  <c r="I2300" i="1"/>
  <c r="H2300" i="1"/>
  <c r="G2300" i="1"/>
  <c r="F2300" i="1"/>
  <c r="D2300" i="1"/>
  <c r="B2300" i="1"/>
  <c r="A2300" i="1"/>
  <c r="J2299" i="1"/>
  <c r="I2299" i="1"/>
  <c r="H2299" i="1"/>
  <c r="G2299" i="1"/>
  <c r="F2299" i="1"/>
  <c r="D2299" i="1"/>
  <c r="B2299" i="1"/>
  <c r="A2299" i="1"/>
  <c r="J2298" i="1"/>
  <c r="I2298" i="1"/>
  <c r="H2298" i="1"/>
  <c r="G2298" i="1"/>
  <c r="F2298" i="1"/>
  <c r="D2298" i="1"/>
  <c r="B2298" i="1"/>
  <c r="A2298" i="1"/>
  <c r="J2297" i="1"/>
  <c r="I2297" i="1"/>
  <c r="H2297" i="1"/>
  <c r="G2297" i="1"/>
  <c r="F2297" i="1"/>
  <c r="D2297" i="1"/>
  <c r="B2297" i="1"/>
  <c r="A2297" i="1"/>
  <c r="J2296" i="1"/>
  <c r="I2296" i="1"/>
  <c r="H2296" i="1"/>
  <c r="G2296" i="1"/>
  <c r="F2296" i="1"/>
  <c r="D2296" i="1"/>
  <c r="B2296" i="1"/>
  <c r="A2296" i="1"/>
  <c r="J2295" i="1"/>
  <c r="I2295" i="1"/>
  <c r="H2295" i="1"/>
  <c r="G2295" i="1"/>
  <c r="F2295" i="1"/>
  <c r="D2295" i="1"/>
  <c r="B2295" i="1"/>
  <c r="A2295" i="1"/>
  <c r="J2294" i="1"/>
  <c r="I2294" i="1"/>
  <c r="H2294" i="1"/>
  <c r="G2294" i="1"/>
  <c r="F2294" i="1"/>
  <c r="D2294" i="1"/>
  <c r="B2294" i="1"/>
  <c r="A2294" i="1"/>
  <c r="J2293" i="1"/>
  <c r="I2293" i="1"/>
  <c r="H2293" i="1"/>
  <c r="G2293" i="1"/>
  <c r="F2293" i="1"/>
  <c r="D2293" i="1"/>
  <c r="B2293" i="1"/>
  <c r="A2293" i="1"/>
  <c r="J2292" i="1"/>
  <c r="I2292" i="1"/>
  <c r="H2292" i="1"/>
  <c r="G2292" i="1"/>
  <c r="F2292" i="1"/>
  <c r="D2292" i="1"/>
  <c r="B2292" i="1"/>
  <c r="A2292" i="1"/>
  <c r="J2291" i="1"/>
  <c r="I2291" i="1"/>
  <c r="H2291" i="1"/>
  <c r="G2291" i="1"/>
  <c r="F2291" i="1"/>
  <c r="D2291" i="1"/>
  <c r="B2291" i="1"/>
  <c r="A2291" i="1"/>
  <c r="J2290" i="1"/>
  <c r="I2290" i="1"/>
  <c r="H2290" i="1"/>
  <c r="G2290" i="1"/>
  <c r="F2290" i="1"/>
  <c r="D2290" i="1"/>
  <c r="B2290" i="1"/>
  <c r="A2290" i="1"/>
  <c r="J2289" i="1"/>
  <c r="I2289" i="1"/>
  <c r="H2289" i="1"/>
  <c r="G2289" i="1"/>
  <c r="F2289" i="1"/>
  <c r="D2289" i="1"/>
  <c r="B2289" i="1"/>
  <c r="A2289" i="1"/>
  <c r="J2288" i="1"/>
  <c r="I2288" i="1"/>
  <c r="G2288" i="1"/>
  <c r="F2288" i="1"/>
  <c r="A2288" i="1"/>
  <c r="J2287" i="1"/>
  <c r="I2287" i="1"/>
  <c r="H2287" i="1"/>
  <c r="G2287" i="1"/>
  <c r="F2287" i="1"/>
  <c r="D2287" i="1"/>
  <c r="B2287" i="1"/>
  <c r="A2287" i="1"/>
  <c r="J2286" i="1"/>
  <c r="I2286" i="1"/>
  <c r="H2286" i="1"/>
  <c r="G2286" i="1"/>
  <c r="F2286" i="1"/>
  <c r="D2286" i="1"/>
  <c r="B2286" i="1"/>
  <c r="A2286" i="1"/>
  <c r="J2285" i="1"/>
  <c r="I2285" i="1"/>
  <c r="H2285" i="1"/>
  <c r="G2285" i="1"/>
  <c r="F2285" i="1"/>
  <c r="D2285" i="1"/>
  <c r="B2285" i="1"/>
  <c r="A2285" i="1"/>
  <c r="J2284" i="1"/>
  <c r="I2284" i="1"/>
  <c r="H2284" i="1"/>
  <c r="G2284" i="1"/>
  <c r="F2284" i="1"/>
  <c r="D2284" i="1"/>
  <c r="B2284" i="1"/>
  <c r="A2284" i="1"/>
  <c r="J2283" i="1"/>
  <c r="I2283" i="1"/>
  <c r="H2283" i="1"/>
  <c r="G2283" i="1"/>
  <c r="F2283" i="1"/>
  <c r="D2283" i="1"/>
  <c r="B2283" i="1"/>
  <c r="A2283" i="1"/>
  <c r="J2282" i="1"/>
  <c r="I2282" i="1"/>
  <c r="H2282" i="1"/>
  <c r="G2282" i="1"/>
  <c r="F2282" i="1"/>
  <c r="D2282" i="1"/>
  <c r="B2282" i="1"/>
  <c r="A2282" i="1"/>
  <c r="J2281" i="1"/>
  <c r="I2281" i="1"/>
  <c r="H2281" i="1"/>
  <c r="G2281" i="1"/>
  <c r="F2281" i="1"/>
  <c r="D2281" i="1"/>
  <c r="B2281" i="1"/>
  <c r="A2281" i="1"/>
  <c r="J2280" i="1"/>
  <c r="I2280" i="1"/>
  <c r="H2280" i="1"/>
  <c r="G2280" i="1"/>
  <c r="F2280" i="1"/>
  <c r="D2280" i="1"/>
  <c r="B2280" i="1"/>
  <c r="A2280" i="1"/>
  <c r="J2279" i="1"/>
  <c r="I2279" i="1"/>
  <c r="H2279" i="1"/>
  <c r="G2279" i="1"/>
  <c r="F2279" i="1"/>
  <c r="D2279" i="1"/>
  <c r="B2279" i="1"/>
  <c r="A2279" i="1"/>
  <c r="J2278" i="1"/>
  <c r="I2278" i="1"/>
  <c r="H2278" i="1"/>
  <c r="G2278" i="1"/>
  <c r="F2278" i="1"/>
  <c r="D2278" i="1"/>
  <c r="B2278" i="1"/>
  <c r="A2278" i="1"/>
  <c r="J2277" i="1"/>
  <c r="I2277" i="1"/>
  <c r="H2277" i="1"/>
  <c r="G2277" i="1"/>
  <c r="F2277" i="1"/>
  <c r="D2277" i="1"/>
  <c r="B2277" i="1"/>
  <c r="A2277" i="1"/>
  <c r="J2276" i="1"/>
  <c r="I2276" i="1"/>
  <c r="H2276" i="1"/>
  <c r="G2276" i="1"/>
  <c r="F2276" i="1"/>
  <c r="D2276" i="1"/>
  <c r="B2276" i="1"/>
  <c r="A2276" i="1"/>
  <c r="J2275" i="1"/>
  <c r="I2275" i="1"/>
  <c r="H2275" i="1"/>
  <c r="G2275" i="1"/>
  <c r="F2275" i="1"/>
  <c r="D2275" i="1"/>
  <c r="B2275" i="1"/>
  <c r="A2275" i="1"/>
  <c r="J2274" i="1"/>
  <c r="I2274" i="1"/>
  <c r="H2274" i="1"/>
  <c r="G2274" i="1"/>
  <c r="F2274" i="1"/>
  <c r="D2274" i="1"/>
  <c r="B2274" i="1"/>
  <c r="A2274" i="1"/>
  <c r="J2273" i="1"/>
  <c r="I2273" i="1"/>
  <c r="H2273" i="1"/>
  <c r="G2273" i="1"/>
  <c r="F2273" i="1"/>
  <c r="D2273" i="1"/>
  <c r="B2273" i="1"/>
  <c r="A2273" i="1"/>
  <c r="J2272" i="1"/>
  <c r="I2272" i="1"/>
  <c r="H2272" i="1"/>
  <c r="G2272" i="1"/>
  <c r="F2272" i="1"/>
  <c r="D2272" i="1"/>
  <c r="B2272" i="1"/>
  <c r="A2272" i="1"/>
  <c r="J2271" i="1"/>
  <c r="I2271" i="1"/>
  <c r="H2271" i="1"/>
  <c r="G2271" i="1"/>
  <c r="F2271" i="1"/>
  <c r="D2271" i="1"/>
  <c r="B2271" i="1"/>
  <c r="A2271" i="1"/>
  <c r="J2270" i="1"/>
  <c r="I2270" i="1"/>
  <c r="H2270" i="1"/>
  <c r="G2270" i="1"/>
  <c r="F2270" i="1"/>
  <c r="D2270" i="1"/>
  <c r="B2270" i="1"/>
  <c r="A2270" i="1"/>
  <c r="J2269" i="1"/>
  <c r="I2269" i="1"/>
  <c r="H2269" i="1"/>
  <c r="G2269" i="1"/>
  <c r="F2269" i="1"/>
  <c r="D2269" i="1"/>
  <c r="B2269" i="1"/>
  <c r="A2269" i="1"/>
  <c r="J2268" i="1"/>
  <c r="I2268" i="1"/>
  <c r="H2268" i="1"/>
  <c r="G2268" i="1"/>
  <c r="F2268" i="1"/>
  <c r="D2268" i="1"/>
  <c r="B2268" i="1"/>
  <c r="A2268" i="1"/>
  <c r="J2267" i="1"/>
  <c r="I2267" i="1"/>
  <c r="H2267" i="1"/>
  <c r="G2267" i="1"/>
  <c r="F2267" i="1"/>
  <c r="D2267" i="1"/>
  <c r="B2267" i="1"/>
  <c r="A2267" i="1"/>
  <c r="J2266" i="1"/>
  <c r="I2266" i="1"/>
  <c r="H2266" i="1"/>
  <c r="G2266" i="1"/>
  <c r="F2266" i="1"/>
  <c r="D2266" i="1"/>
  <c r="B2266" i="1"/>
  <c r="A2266" i="1"/>
  <c r="J2265" i="1"/>
  <c r="I2265" i="1"/>
  <c r="H2265" i="1"/>
  <c r="G2265" i="1"/>
  <c r="F2265" i="1"/>
  <c r="D2265" i="1"/>
  <c r="B2265" i="1"/>
  <c r="A2265" i="1"/>
  <c r="J2264" i="1"/>
  <c r="I2264" i="1"/>
  <c r="H2264" i="1"/>
  <c r="G2264" i="1"/>
  <c r="F2264" i="1"/>
  <c r="D2264" i="1"/>
  <c r="B2264" i="1"/>
  <c r="A2264" i="1"/>
  <c r="J2263" i="1"/>
  <c r="I2263" i="1"/>
  <c r="H2263" i="1"/>
  <c r="G2263" i="1"/>
  <c r="F2263" i="1"/>
  <c r="D2263" i="1"/>
  <c r="B2263" i="1"/>
  <c r="A2263" i="1"/>
  <c r="J2262" i="1"/>
  <c r="I2262" i="1"/>
  <c r="H2262" i="1"/>
  <c r="G2262" i="1"/>
  <c r="F2262" i="1"/>
  <c r="D2262" i="1"/>
  <c r="B2262" i="1"/>
  <c r="A2262" i="1"/>
  <c r="J2261" i="1"/>
  <c r="I2261" i="1"/>
  <c r="H2261" i="1"/>
  <c r="G2261" i="1"/>
  <c r="F2261" i="1"/>
  <c r="D2261" i="1"/>
  <c r="B2261" i="1"/>
  <c r="A2261" i="1"/>
  <c r="J2260" i="1"/>
  <c r="I2260" i="1"/>
  <c r="H2260" i="1"/>
  <c r="G2260" i="1"/>
  <c r="F2260" i="1"/>
  <c r="D2260" i="1"/>
  <c r="B2260" i="1"/>
  <c r="A2260" i="1"/>
  <c r="J2259" i="1"/>
  <c r="I2259" i="1"/>
  <c r="H2259" i="1"/>
  <c r="G2259" i="1"/>
  <c r="F2259" i="1"/>
  <c r="D2259" i="1"/>
  <c r="B2259" i="1"/>
  <c r="A2259" i="1"/>
  <c r="J2258" i="1"/>
  <c r="I2258" i="1"/>
  <c r="H2258" i="1"/>
  <c r="G2258" i="1"/>
  <c r="F2258" i="1"/>
  <c r="D2258" i="1"/>
  <c r="B2258" i="1"/>
  <c r="A2258" i="1"/>
  <c r="J2257" i="1"/>
  <c r="I2257" i="1"/>
  <c r="H2257" i="1"/>
  <c r="G2257" i="1"/>
  <c r="F2257" i="1"/>
  <c r="D2257" i="1"/>
  <c r="B2257" i="1"/>
  <c r="A2257" i="1"/>
  <c r="J2256" i="1"/>
  <c r="I2256" i="1"/>
  <c r="H2256" i="1"/>
  <c r="G2256" i="1"/>
  <c r="F2256" i="1"/>
  <c r="D2256" i="1"/>
  <c r="B2256" i="1"/>
  <c r="A2256" i="1"/>
  <c r="J2255" i="1"/>
  <c r="I2255" i="1"/>
  <c r="H2255" i="1"/>
  <c r="G2255" i="1"/>
  <c r="F2255" i="1"/>
  <c r="D2255" i="1"/>
  <c r="B2255" i="1"/>
  <c r="A2255" i="1"/>
  <c r="J2254" i="1"/>
  <c r="I2254" i="1"/>
  <c r="H2254" i="1"/>
  <c r="G2254" i="1"/>
  <c r="F2254" i="1"/>
  <c r="D2254" i="1"/>
  <c r="B2254" i="1"/>
  <c r="A2254" i="1"/>
  <c r="J2253" i="1"/>
  <c r="I2253" i="1"/>
  <c r="H2253" i="1"/>
  <c r="G2253" i="1"/>
  <c r="F2253" i="1"/>
  <c r="D2253" i="1"/>
  <c r="B2253" i="1"/>
  <c r="A2253" i="1"/>
  <c r="J2252" i="1"/>
  <c r="I2252" i="1"/>
  <c r="H2252" i="1"/>
  <c r="G2252" i="1"/>
  <c r="F2252" i="1"/>
  <c r="D2252" i="1"/>
  <c r="B2252" i="1"/>
  <c r="A2252" i="1"/>
  <c r="J2251" i="1"/>
  <c r="I2251" i="1"/>
  <c r="H2251" i="1"/>
  <c r="G2251" i="1"/>
  <c r="F2251" i="1"/>
  <c r="D2251" i="1"/>
  <c r="B2251" i="1"/>
  <c r="A2251" i="1"/>
  <c r="J2250" i="1"/>
  <c r="I2250" i="1"/>
  <c r="H2250" i="1"/>
  <c r="G2250" i="1"/>
  <c r="F2250" i="1"/>
  <c r="D2250" i="1"/>
  <c r="B2250" i="1"/>
  <c r="A2250" i="1"/>
  <c r="J2249" i="1"/>
  <c r="I2249" i="1"/>
  <c r="H2249" i="1"/>
  <c r="G2249" i="1"/>
  <c r="F2249" i="1"/>
  <c r="D2249" i="1"/>
  <c r="B2249" i="1"/>
  <c r="A2249" i="1"/>
  <c r="J2248" i="1"/>
  <c r="I2248" i="1"/>
  <c r="H2248" i="1"/>
  <c r="G2248" i="1"/>
  <c r="F2248" i="1"/>
  <c r="D2248" i="1"/>
  <c r="B2248" i="1"/>
  <c r="A2248" i="1"/>
  <c r="J2247" i="1"/>
  <c r="I2247" i="1"/>
  <c r="H2247" i="1"/>
  <c r="G2247" i="1"/>
  <c r="F2247" i="1"/>
  <c r="D2247" i="1"/>
  <c r="B2247" i="1"/>
  <c r="A2247" i="1"/>
  <c r="J2246" i="1"/>
  <c r="I2246" i="1"/>
  <c r="H2246" i="1"/>
  <c r="G2246" i="1"/>
  <c r="F2246" i="1"/>
  <c r="D2246" i="1"/>
  <c r="B2246" i="1"/>
  <c r="A2246" i="1"/>
  <c r="J2245" i="1"/>
  <c r="I2245" i="1"/>
  <c r="H2245" i="1"/>
  <c r="G2245" i="1"/>
  <c r="F2245" i="1"/>
  <c r="D2245" i="1"/>
  <c r="B2245" i="1"/>
  <c r="A2245" i="1"/>
  <c r="J2244" i="1"/>
  <c r="I2244" i="1"/>
  <c r="H2244" i="1"/>
  <c r="G2244" i="1"/>
  <c r="F2244" i="1"/>
  <c r="D2244" i="1"/>
  <c r="B2244" i="1"/>
  <c r="A2244" i="1"/>
  <c r="J2243" i="1"/>
  <c r="I2243" i="1"/>
  <c r="H2243" i="1"/>
  <c r="G2243" i="1"/>
  <c r="F2243" i="1"/>
  <c r="D2243" i="1"/>
  <c r="B2243" i="1"/>
  <c r="A2243" i="1"/>
  <c r="J2242" i="1"/>
  <c r="I2242" i="1"/>
  <c r="H2242" i="1"/>
  <c r="G2242" i="1"/>
  <c r="F2242" i="1"/>
  <c r="D2242" i="1"/>
  <c r="B2242" i="1"/>
  <c r="A2242" i="1"/>
  <c r="J2241" i="1"/>
  <c r="I2241" i="1"/>
  <c r="H2241" i="1"/>
  <c r="G2241" i="1"/>
  <c r="F2241" i="1"/>
  <c r="D2241" i="1"/>
  <c r="B2241" i="1"/>
  <c r="A2241" i="1"/>
  <c r="J2240" i="1"/>
  <c r="I2240" i="1"/>
  <c r="H2240" i="1"/>
  <c r="G2240" i="1"/>
  <c r="F2240" i="1"/>
  <c r="D2240" i="1"/>
  <c r="B2240" i="1"/>
  <c r="A2240" i="1"/>
  <c r="J2239" i="1"/>
  <c r="I2239" i="1"/>
  <c r="H2239" i="1"/>
  <c r="G2239" i="1"/>
  <c r="F2239" i="1"/>
  <c r="D2239" i="1"/>
  <c r="B2239" i="1"/>
  <c r="A2239" i="1"/>
  <c r="J2238" i="1"/>
  <c r="I2238" i="1"/>
  <c r="H2238" i="1"/>
  <c r="G2238" i="1"/>
  <c r="F2238" i="1"/>
  <c r="D2238" i="1"/>
  <c r="B2238" i="1"/>
  <c r="A2238" i="1"/>
  <c r="J2237" i="1"/>
  <c r="I2237" i="1"/>
  <c r="H2237" i="1"/>
  <c r="G2237" i="1"/>
  <c r="F2237" i="1"/>
  <c r="D2237" i="1"/>
  <c r="B2237" i="1"/>
  <c r="A2237" i="1"/>
  <c r="J2236" i="1"/>
  <c r="I2236" i="1"/>
  <c r="H2236" i="1"/>
  <c r="G2236" i="1"/>
  <c r="F2236" i="1"/>
  <c r="D2236" i="1"/>
  <c r="B2236" i="1"/>
  <c r="A2236" i="1"/>
  <c r="J2235" i="1"/>
  <c r="I2235" i="1"/>
  <c r="H2235" i="1"/>
  <c r="G2235" i="1"/>
  <c r="F2235" i="1"/>
  <c r="D2235" i="1"/>
  <c r="B2235" i="1"/>
  <c r="A2235" i="1"/>
  <c r="J2234" i="1"/>
  <c r="I2234" i="1"/>
  <c r="H2234" i="1"/>
  <c r="G2234" i="1"/>
  <c r="F2234" i="1"/>
  <c r="D2234" i="1"/>
  <c r="B2234" i="1"/>
  <c r="A2234" i="1"/>
  <c r="J2233" i="1"/>
  <c r="I2233" i="1"/>
  <c r="H2233" i="1"/>
  <c r="G2233" i="1"/>
  <c r="F2233" i="1"/>
  <c r="D2233" i="1"/>
  <c r="B2233" i="1"/>
  <c r="A2233" i="1"/>
  <c r="J2232" i="1"/>
  <c r="I2232" i="1"/>
  <c r="H2232" i="1"/>
  <c r="G2232" i="1"/>
  <c r="F2232" i="1"/>
  <c r="D2232" i="1"/>
  <c r="B2232" i="1"/>
  <c r="A2232" i="1"/>
  <c r="J2231" i="1"/>
  <c r="I2231" i="1"/>
  <c r="H2231" i="1"/>
  <c r="G2231" i="1"/>
  <c r="F2231" i="1"/>
  <c r="D2231" i="1"/>
  <c r="B2231" i="1"/>
  <c r="A2231" i="1"/>
  <c r="J2230" i="1"/>
  <c r="I2230" i="1"/>
  <c r="H2230" i="1"/>
  <c r="G2230" i="1"/>
  <c r="F2230" i="1"/>
  <c r="D2230" i="1"/>
  <c r="B2230" i="1"/>
  <c r="A2230" i="1"/>
  <c r="J2229" i="1"/>
  <c r="I2229" i="1"/>
  <c r="H2229" i="1"/>
  <c r="G2229" i="1"/>
  <c r="F2229" i="1"/>
  <c r="D2229" i="1"/>
  <c r="B2229" i="1"/>
  <c r="A2229" i="1"/>
  <c r="J2228" i="1"/>
  <c r="I2228" i="1"/>
  <c r="H2228" i="1"/>
  <c r="G2228" i="1"/>
  <c r="F2228" i="1"/>
  <c r="D2228" i="1"/>
  <c r="B2228" i="1"/>
  <c r="A2228" i="1"/>
  <c r="J2227" i="1"/>
  <c r="I2227" i="1"/>
  <c r="H2227" i="1"/>
  <c r="G2227" i="1"/>
  <c r="F2227" i="1"/>
  <c r="D2227" i="1"/>
  <c r="B2227" i="1"/>
  <c r="A2227" i="1"/>
  <c r="J2226" i="1"/>
  <c r="I2226" i="1"/>
  <c r="H2226" i="1"/>
  <c r="G2226" i="1"/>
  <c r="F2226" i="1"/>
  <c r="D2226" i="1"/>
  <c r="B2226" i="1"/>
  <c r="A2226" i="1"/>
  <c r="J2225" i="1"/>
  <c r="I2225" i="1"/>
  <c r="H2225" i="1"/>
  <c r="G2225" i="1"/>
  <c r="F2225" i="1"/>
  <c r="D2225" i="1"/>
  <c r="B2225" i="1"/>
  <c r="A2225" i="1"/>
  <c r="J2224" i="1"/>
  <c r="I2224" i="1"/>
  <c r="H2224" i="1"/>
  <c r="G2224" i="1"/>
  <c r="F2224" i="1"/>
  <c r="D2224" i="1"/>
  <c r="B2224" i="1"/>
  <c r="A2224" i="1"/>
  <c r="J2223" i="1"/>
  <c r="I2223" i="1"/>
  <c r="H2223" i="1"/>
  <c r="G2223" i="1"/>
  <c r="F2223" i="1"/>
  <c r="D2223" i="1"/>
  <c r="B2223" i="1"/>
  <c r="A2223" i="1"/>
  <c r="J2222" i="1"/>
  <c r="I2222" i="1"/>
  <c r="H2222" i="1"/>
  <c r="G2222" i="1"/>
  <c r="F2222" i="1"/>
  <c r="D2222" i="1"/>
  <c r="B2222" i="1"/>
  <c r="A2222" i="1"/>
  <c r="J2221" i="1"/>
  <c r="I2221" i="1"/>
  <c r="H2221" i="1"/>
  <c r="G2221" i="1"/>
  <c r="F2221" i="1"/>
  <c r="D2221" i="1"/>
  <c r="B2221" i="1"/>
  <c r="A2221" i="1"/>
  <c r="J2220" i="1"/>
  <c r="I2220" i="1"/>
  <c r="H2220" i="1"/>
  <c r="G2220" i="1"/>
  <c r="F2220" i="1"/>
  <c r="D2220" i="1"/>
  <c r="B2220" i="1"/>
  <c r="A2220" i="1"/>
  <c r="J2219" i="1"/>
  <c r="I2219" i="1"/>
  <c r="H2219" i="1"/>
  <c r="G2219" i="1"/>
  <c r="F2219" i="1"/>
  <c r="D2219" i="1"/>
  <c r="B2219" i="1"/>
  <c r="A2219" i="1"/>
  <c r="J2218" i="1"/>
  <c r="I2218" i="1"/>
  <c r="H2218" i="1"/>
  <c r="G2218" i="1"/>
  <c r="F2218" i="1"/>
  <c r="D2218" i="1"/>
  <c r="B2218" i="1"/>
  <c r="A2218" i="1"/>
  <c r="J2217" i="1"/>
  <c r="I2217" i="1"/>
  <c r="H2217" i="1"/>
  <c r="G2217" i="1"/>
  <c r="F2217" i="1"/>
  <c r="D2217" i="1"/>
  <c r="B2217" i="1"/>
  <c r="A2217" i="1"/>
  <c r="J2216" i="1"/>
  <c r="I2216" i="1"/>
  <c r="H2216" i="1"/>
  <c r="G2216" i="1"/>
  <c r="F2216" i="1"/>
  <c r="D2216" i="1"/>
  <c r="B2216" i="1"/>
  <c r="A2216" i="1"/>
  <c r="J2215" i="1"/>
  <c r="I2215" i="1"/>
  <c r="H2215" i="1"/>
  <c r="G2215" i="1"/>
  <c r="F2215" i="1"/>
  <c r="D2215" i="1"/>
  <c r="B2215" i="1"/>
  <c r="A2215" i="1"/>
  <c r="J2214" i="1"/>
  <c r="I2214" i="1"/>
  <c r="H2214" i="1"/>
  <c r="G2214" i="1"/>
  <c r="F2214" i="1"/>
  <c r="D2214" i="1"/>
  <c r="B2214" i="1"/>
  <c r="A2214" i="1"/>
  <c r="J2213" i="1"/>
  <c r="I2213" i="1"/>
  <c r="H2213" i="1"/>
  <c r="G2213" i="1"/>
  <c r="F2213" i="1"/>
  <c r="D2213" i="1"/>
  <c r="B2213" i="1"/>
  <c r="A2213" i="1"/>
  <c r="J2212" i="1"/>
  <c r="I2212" i="1"/>
  <c r="H2212" i="1"/>
  <c r="G2212" i="1"/>
  <c r="F2212" i="1"/>
  <c r="D2212" i="1"/>
  <c r="B2212" i="1"/>
  <c r="A2212" i="1"/>
  <c r="J2211" i="1"/>
  <c r="I2211" i="1"/>
  <c r="H2211" i="1"/>
  <c r="G2211" i="1"/>
  <c r="F2211" i="1"/>
  <c r="D2211" i="1"/>
  <c r="B2211" i="1"/>
  <c r="A2211" i="1"/>
  <c r="J2210" i="1"/>
  <c r="I2210" i="1"/>
  <c r="H2210" i="1"/>
  <c r="G2210" i="1"/>
  <c r="F2210" i="1"/>
  <c r="D2210" i="1"/>
  <c r="B2210" i="1"/>
  <c r="A2210" i="1"/>
  <c r="J2209" i="1"/>
  <c r="I2209" i="1"/>
  <c r="H2209" i="1"/>
  <c r="G2209" i="1"/>
  <c r="F2209" i="1"/>
  <c r="D2209" i="1"/>
  <c r="B2209" i="1"/>
  <c r="A2209" i="1"/>
  <c r="J2208" i="1"/>
  <c r="I2208" i="1"/>
  <c r="H2208" i="1"/>
  <c r="G2208" i="1"/>
  <c r="F2208" i="1"/>
  <c r="D2208" i="1"/>
  <c r="B2208" i="1"/>
  <c r="A2208" i="1"/>
  <c r="J2207" i="1"/>
  <c r="I2207" i="1"/>
  <c r="H2207" i="1"/>
  <c r="G2207" i="1"/>
  <c r="F2207" i="1"/>
  <c r="D2207" i="1"/>
  <c r="B2207" i="1"/>
  <c r="A2207" i="1"/>
  <c r="J2206" i="1"/>
  <c r="I2206" i="1"/>
  <c r="H2206" i="1"/>
  <c r="G2206" i="1"/>
  <c r="F2206" i="1"/>
  <c r="D2206" i="1"/>
  <c r="B2206" i="1"/>
  <c r="A2206" i="1"/>
  <c r="J2205" i="1"/>
  <c r="I2205" i="1"/>
  <c r="H2205" i="1"/>
  <c r="G2205" i="1"/>
  <c r="F2205" i="1"/>
  <c r="D2205" i="1"/>
  <c r="B2205" i="1"/>
  <c r="A2205" i="1"/>
  <c r="J2204" i="1"/>
  <c r="I2204" i="1"/>
  <c r="H2204" i="1"/>
  <c r="G2204" i="1"/>
  <c r="F2204" i="1"/>
  <c r="D2204" i="1"/>
  <c r="B2204" i="1"/>
  <c r="A2204" i="1"/>
  <c r="J2203" i="1"/>
  <c r="I2203" i="1"/>
  <c r="H2203" i="1"/>
  <c r="G2203" i="1"/>
  <c r="F2203" i="1"/>
  <c r="D2203" i="1"/>
  <c r="B2203" i="1"/>
  <c r="A2203" i="1"/>
  <c r="J2202" i="1"/>
  <c r="I2202" i="1"/>
  <c r="H2202" i="1"/>
  <c r="G2202" i="1"/>
  <c r="F2202" i="1"/>
  <c r="D2202" i="1"/>
  <c r="B2202" i="1"/>
  <c r="A2202" i="1"/>
  <c r="J2201" i="1"/>
  <c r="I2201" i="1"/>
  <c r="H2201" i="1"/>
  <c r="G2201" i="1"/>
  <c r="F2201" i="1"/>
  <c r="D2201" i="1"/>
  <c r="B2201" i="1"/>
  <c r="A2201" i="1"/>
  <c r="J2200" i="1"/>
  <c r="I2200" i="1"/>
  <c r="H2200" i="1"/>
  <c r="G2200" i="1"/>
  <c r="F2200" i="1"/>
  <c r="D2200" i="1"/>
  <c r="B2200" i="1"/>
  <c r="A2200" i="1"/>
  <c r="J2199" i="1"/>
  <c r="I2199" i="1"/>
  <c r="H2199" i="1"/>
  <c r="G2199" i="1"/>
  <c r="F2199" i="1"/>
  <c r="D2199" i="1"/>
  <c r="B2199" i="1"/>
  <c r="A2199" i="1"/>
  <c r="J2198" i="1"/>
  <c r="I2198" i="1"/>
  <c r="H2198" i="1"/>
  <c r="G2198" i="1"/>
  <c r="F2198" i="1"/>
  <c r="D2198" i="1"/>
  <c r="B2198" i="1"/>
  <c r="A2198" i="1"/>
  <c r="J2197" i="1"/>
  <c r="I2197" i="1"/>
  <c r="H2197" i="1"/>
  <c r="G2197" i="1"/>
  <c r="F2197" i="1"/>
  <c r="D2197" i="1"/>
  <c r="B2197" i="1"/>
  <c r="A2197" i="1"/>
  <c r="J2196" i="1"/>
  <c r="I2196" i="1"/>
  <c r="H2196" i="1"/>
  <c r="G2196" i="1"/>
  <c r="F2196" i="1"/>
  <c r="D2196" i="1"/>
  <c r="B2196" i="1"/>
  <c r="A2196" i="1"/>
  <c r="J2195" i="1"/>
  <c r="I2195" i="1"/>
  <c r="H2195" i="1"/>
  <c r="G2195" i="1"/>
  <c r="F2195" i="1"/>
  <c r="D2195" i="1"/>
  <c r="B2195" i="1"/>
  <c r="A2195" i="1"/>
  <c r="J2194" i="1"/>
  <c r="I2194" i="1"/>
  <c r="H2194" i="1"/>
  <c r="G2194" i="1"/>
  <c r="F2194" i="1"/>
  <c r="D2194" i="1"/>
  <c r="B2194" i="1"/>
  <c r="A2194" i="1"/>
  <c r="J2193" i="1"/>
  <c r="I2193" i="1"/>
  <c r="H2193" i="1"/>
  <c r="G2193" i="1"/>
  <c r="F2193" i="1"/>
  <c r="D2193" i="1"/>
  <c r="B2193" i="1"/>
  <c r="A2193" i="1"/>
  <c r="J2192" i="1"/>
  <c r="I2192" i="1"/>
  <c r="H2192" i="1"/>
  <c r="G2192" i="1"/>
  <c r="F2192" i="1"/>
  <c r="D2192" i="1"/>
  <c r="B2192" i="1"/>
  <c r="A2192" i="1"/>
  <c r="J2191" i="1"/>
  <c r="I2191" i="1"/>
  <c r="H2191" i="1"/>
  <c r="G2191" i="1"/>
  <c r="F2191" i="1"/>
  <c r="D2191" i="1"/>
  <c r="B2191" i="1"/>
  <c r="A2191" i="1"/>
  <c r="J2190" i="1"/>
  <c r="I2190" i="1"/>
  <c r="H2190" i="1"/>
  <c r="G2190" i="1"/>
  <c r="F2190" i="1"/>
  <c r="D2190" i="1"/>
  <c r="B2190" i="1"/>
  <c r="A2190" i="1"/>
  <c r="J2189" i="1"/>
  <c r="I2189" i="1"/>
  <c r="H2189" i="1"/>
  <c r="G2189" i="1"/>
  <c r="F2189" i="1"/>
  <c r="D2189" i="1"/>
  <c r="B2189" i="1"/>
  <c r="A2189" i="1"/>
  <c r="J2188" i="1"/>
  <c r="I2188" i="1"/>
  <c r="H2188" i="1"/>
  <c r="G2188" i="1"/>
  <c r="F2188" i="1"/>
  <c r="D2188" i="1"/>
  <c r="B2188" i="1"/>
  <c r="A2188" i="1"/>
  <c r="J2187" i="1"/>
  <c r="I2187" i="1"/>
  <c r="H2187" i="1"/>
  <c r="G2187" i="1"/>
  <c r="F2187" i="1"/>
  <c r="D2187" i="1"/>
  <c r="B2187" i="1"/>
  <c r="A2187" i="1"/>
  <c r="J2186" i="1"/>
  <c r="I2186" i="1"/>
  <c r="H2186" i="1"/>
  <c r="G2186" i="1"/>
  <c r="F2186" i="1"/>
  <c r="D2186" i="1"/>
  <c r="B2186" i="1"/>
  <c r="A2186" i="1"/>
  <c r="J2185" i="1"/>
  <c r="I2185" i="1"/>
  <c r="H2185" i="1"/>
  <c r="G2185" i="1"/>
  <c r="F2185" i="1"/>
  <c r="D2185" i="1"/>
  <c r="B2185" i="1"/>
  <c r="A2185" i="1"/>
  <c r="J2184" i="1"/>
  <c r="I2184" i="1"/>
  <c r="H2184" i="1"/>
  <c r="G2184" i="1"/>
  <c r="F2184" i="1"/>
  <c r="D2184" i="1"/>
  <c r="B2184" i="1"/>
  <c r="A2184" i="1"/>
  <c r="J2183" i="1"/>
  <c r="I2183" i="1"/>
  <c r="H2183" i="1"/>
  <c r="G2183" i="1"/>
  <c r="F2183" i="1"/>
  <c r="D2183" i="1"/>
  <c r="B2183" i="1"/>
  <c r="A2183" i="1"/>
  <c r="J2182" i="1"/>
  <c r="I2182" i="1"/>
  <c r="H2182" i="1"/>
  <c r="G2182" i="1"/>
  <c r="F2182" i="1"/>
  <c r="D2182" i="1"/>
  <c r="B2182" i="1"/>
  <c r="A2182" i="1"/>
  <c r="J2181" i="1"/>
  <c r="I2181" i="1"/>
  <c r="H2181" i="1"/>
  <c r="G2181" i="1"/>
  <c r="F2181" i="1"/>
  <c r="D2181" i="1"/>
  <c r="B2181" i="1"/>
  <c r="A2181" i="1"/>
  <c r="J2180" i="1"/>
  <c r="I2180" i="1"/>
  <c r="H2180" i="1"/>
  <c r="G2180" i="1"/>
  <c r="F2180" i="1"/>
  <c r="D2180" i="1"/>
  <c r="B2180" i="1"/>
  <c r="A2180" i="1"/>
  <c r="J2179" i="1"/>
  <c r="I2179" i="1"/>
  <c r="G2179" i="1"/>
  <c r="F2179" i="1"/>
  <c r="A2179" i="1"/>
  <c r="J2178" i="1"/>
  <c r="I2178" i="1"/>
  <c r="H2178" i="1"/>
  <c r="G2178" i="1"/>
  <c r="F2178" i="1"/>
  <c r="D2178" i="1"/>
  <c r="B2178" i="1"/>
  <c r="A2178" i="1"/>
  <c r="J2177" i="1"/>
  <c r="I2177" i="1"/>
  <c r="H2177" i="1"/>
  <c r="G2177" i="1"/>
  <c r="F2177" i="1"/>
  <c r="D2177" i="1"/>
  <c r="B2177" i="1"/>
  <c r="A2177" i="1"/>
  <c r="J2176" i="1"/>
  <c r="I2176" i="1"/>
  <c r="H2176" i="1"/>
  <c r="G2176" i="1"/>
  <c r="F2176" i="1"/>
  <c r="D2176" i="1"/>
  <c r="B2176" i="1"/>
  <c r="A2176" i="1"/>
  <c r="J2175" i="1"/>
  <c r="I2175" i="1"/>
  <c r="H2175" i="1"/>
  <c r="G2175" i="1"/>
  <c r="F2175" i="1"/>
  <c r="D2175" i="1"/>
  <c r="B2175" i="1"/>
  <c r="A2175" i="1"/>
  <c r="J2174" i="1"/>
  <c r="I2174" i="1"/>
  <c r="H2174" i="1"/>
  <c r="G2174" i="1"/>
  <c r="F2174" i="1"/>
  <c r="D2174" i="1"/>
  <c r="B2174" i="1"/>
  <c r="A2174" i="1"/>
  <c r="J2173" i="1"/>
  <c r="I2173" i="1"/>
  <c r="H2173" i="1"/>
  <c r="G2173" i="1"/>
  <c r="F2173" i="1"/>
  <c r="D2173" i="1"/>
  <c r="B2173" i="1"/>
  <c r="A2173" i="1"/>
  <c r="J2172" i="1"/>
  <c r="I2172" i="1"/>
  <c r="H2172" i="1"/>
  <c r="G2172" i="1"/>
  <c r="F2172" i="1"/>
  <c r="D2172" i="1"/>
  <c r="B2172" i="1"/>
  <c r="A2172" i="1"/>
  <c r="J2171" i="1"/>
  <c r="I2171" i="1"/>
  <c r="H2171" i="1"/>
  <c r="G2171" i="1"/>
  <c r="F2171" i="1"/>
  <c r="D2171" i="1"/>
  <c r="B2171" i="1"/>
  <c r="A2171" i="1"/>
  <c r="J2170" i="1"/>
  <c r="I2170" i="1"/>
  <c r="G2170" i="1"/>
  <c r="F2170" i="1"/>
  <c r="A2170" i="1"/>
  <c r="J2169" i="1"/>
  <c r="I2169" i="1"/>
  <c r="H2169" i="1"/>
  <c r="G2169" i="1"/>
  <c r="F2169" i="1"/>
  <c r="D2169" i="1"/>
  <c r="B2169" i="1"/>
  <c r="A2169" i="1"/>
  <c r="J2168" i="1"/>
  <c r="I2168" i="1"/>
  <c r="H2168" i="1"/>
  <c r="G2168" i="1"/>
  <c r="F2168" i="1"/>
  <c r="D2168" i="1"/>
  <c r="B2168" i="1"/>
  <c r="A2168" i="1"/>
  <c r="J2167" i="1"/>
  <c r="I2167" i="1"/>
  <c r="H2167" i="1"/>
  <c r="G2167" i="1"/>
  <c r="F2167" i="1"/>
  <c r="D2167" i="1"/>
  <c r="B2167" i="1"/>
  <c r="A2167" i="1"/>
  <c r="J2166" i="1"/>
  <c r="I2166" i="1"/>
  <c r="H2166" i="1"/>
  <c r="G2166" i="1"/>
  <c r="F2166" i="1"/>
  <c r="D2166" i="1"/>
  <c r="B2166" i="1"/>
  <c r="A2166" i="1"/>
  <c r="J2165" i="1"/>
  <c r="I2165" i="1"/>
  <c r="H2165" i="1"/>
  <c r="G2165" i="1"/>
  <c r="F2165" i="1"/>
  <c r="D2165" i="1"/>
  <c r="B2165" i="1"/>
  <c r="A2165" i="1"/>
  <c r="J2164" i="1"/>
  <c r="I2164" i="1"/>
  <c r="H2164" i="1"/>
  <c r="G2164" i="1"/>
  <c r="F2164" i="1"/>
  <c r="D2164" i="1"/>
  <c r="B2164" i="1"/>
  <c r="A2164" i="1"/>
  <c r="J2163" i="1"/>
  <c r="I2163" i="1"/>
  <c r="H2163" i="1"/>
  <c r="G2163" i="1"/>
  <c r="F2163" i="1"/>
  <c r="D2163" i="1"/>
  <c r="B2163" i="1"/>
  <c r="A2163" i="1"/>
  <c r="J2162" i="1"/>
  <c r="I2162" i="1"/>
  <c r="H2162" i="1"/>
  <c r="G2162" i="1"/>
  <c r="F2162" i="1"/>
  <c r="D2162" i="1"/>
  <c r="B2162" i="1"/>
  <c r="A2162" i="1"/>
  <c r="J2161" i="1"/>
  <c r="I2161" i="1"/>
  <c r="H2161" i="1"/>
  <c r="G2161" i="1"/>
  <c r="F2161" i="1"/>
  <c r="D2161" i="1"/>
  <c r="B2161" i="1"/>
  <c r="A2161" i="1"/>
  <c r="J2160" i="1"/>
  <c r="I2160" i="1"/>
  <c r="H2160" i="1"/>
  <c r="G2160" i="1"/>
  <c r="F2160" i="1"/>
  <c r="D2160" i="1"/>
  <c r="B2160" i="1"/>
  <c r="A2160" i="1"/>
  <c r="J2159" i="1"/>
  <c r="I2159" i="1"/>
  <c r="H2159" i="1"/>
  <c r="G2159" i="1"/>
  <c r="F2159" i="1"/>
  <c r="D2159" i="1"/>
  <c r="B2159" i="1"/>
  <c r="A2159" i="1"/>
  <c r="J2158" i="1"/>
  <c r="I2158" i="1"/>
  <c r="H2158" i="1"/>
  <c r="G2158" i="1"/>
  <c r="F2158" i="1"/>
  <c r="D2158" i="1"/>
  <c r="B2158" i="1"/>
  <c r="A2158" i="1"/>
  <c r="J2157" i="1"/>
  <c r="I2157" i="1"/>
  <c r="H2157" i="1"/>
  <c r="G2157" i="1"/>
  <c r="F2157" i="1"/>
  <c r="D2157" i="1"/>
  <c r="B2157" i="1"/>
  <c r="A2157" i="1"/>
  <c r="J2156" i="1"/>
  <c r="I2156" i="1"/>
  <c r="H2156" i="1"/>
  <c r="G2156" i="1"/>
  <c r="F2156" i="1"/>
  <c r="D2156" i="1"/>
  <c r="B2156" i="1"/>
  <c r="A2156" i="1"/>
  <c r="J2155" i="1"/>
  <c r="I2155" i="1"/>
  <c r="H2155" i="1"/>
  <c r="G2155" i="1"/>
  <c r="F2155" i="1"/>
  <c r="D2155" i="1"/>
  <c r="B2155" i="1"/>
  <c r="A2155" i="1"/>
  <c r="J2154" i="1"/>
  <c r="I2154" i="1"/>
  <c r="H2154" i="1"/>
  <c r="G2154" i="1"/>
  <c r="F2154" i="1"/>
  <c r="D2154" i="1"/>
  <c r="B2154" i="1"/>
  <c r="A2154" i="1"/>
  <c r="J2153" i="1"/>
  <c r="I2153" i="1"/>
  <c r="H2153" i="1"/>
  <c r="G2153" i="1"/>
  <c r="F2153" i="1"/>
  <c r="D2153" i="1"/>
  <c r="B2153" i="1"/>
  <c r="A2153" i="1"/>
  <c r="J2152" i="1"/>
  <c r="I2152" i="1"/>
  <c r="H2152" i="1"/>
  <c r="G2152" i="1"/>
  <c r="F2152" i="1"/>
  <c r="D2152" i="1"/>
  <c r="B2152" i="1"/>
  <c r="A2152" i="1"/>
  <c r="J2151" i="1"/>
  <c r="I2151" i="1"/>
  <c r="H2151" i="1"/>
  <c r="G2151" i="1"/>
  <c r="F2151" i="1"/>
  <c r="D2151" i="1"/>
  <c r="B2151" i="1"/>
  <c r="A2151" i="1"/>
  <c r="J2150" i="1"/>
  <c r="I2150" i="1"/>
  <c r="H2150" i="1"/>
  <c r="G2150" i="1"/>
  <c r="F2150" i="1"/>
  <c r="D2150" i="1"/>
  <c r="B2150" i="1"/>
  <c r="A2150" i="1"/>
  <c r="J2149" i="1"/>
  <c r="I2149" i="1"/>
  <c r="H2149" i="1"/>
  <c r="G2149" i="1"/>
  <c r="F2149" i="1"/>
  <c r="D2149" i="1"/>
  <c r="B2149" i="1"/>
  <c r="A2149" i="1"/>
  <c r="J2148" i="1"/>
  <c r="I2148" i="1"/>
  <c r="H2148" i="1"/>
  <c r="G2148" i="1"/>
  <c r="F2148" i="1"/>
  <c r="D2148" i="1"/>
  <c r="B2148" i="1"/>
  <c r="A2148" i="1"/>
  <c r="J2147" i="1"/>
  <c r="I2147" i="1"/>
  <c r="H2147" i="1"/>
  <c r="G2147" i="1"/>
  <c r="F2147" i="1"/>
  <c r="D2147" i="1"/>
  <c r="B2147" i="1"/>
  <c r="A2147" i="1"/>
  <c r="J2146" i="1"/>
  <c r="I2146" i="1"/>
  <c r="H2146" i="1"/>
  <c r="G2146" i="1"/>
  <c r="F2146" i="1"/>
  <c r="D2146" i="1"/>
  <c r="B2146" i="1"/>
  <c r="A2146" i="1"/>
  <c r="J2145" i="1"/>
  <c r="I2145" i="1"/>
  <c r="H2145" i="1"/>
  <c r="G2145" i="1"/>
  <c r="F2145" i="1"/>
  <c r="D2145" i="1"/>
  <c r="B2145" i="1"/>
  <c r="A2145" i="1"/>
  <c r="J2144" i="1"/>
  <c r="I2144" i="1"/>
  <c r="H2144" i="1"/>
  <c r="G2144" i="1"/>
  <c r="F2144" i="1"/>
  <c r="D2144" i="1"/>
  <c r="B2144" i="1"/>
  <c r="A2144" i="1"/>
  <c r="J2143" i="1"/>
  <c r="I2143" i="1"/>
  <c r="G2143" i="1"/>
  <c r="F2143" i="1"/>
  <c r="A2143" i="1"/>
  <c r="J2142" i="1"/>
  <c r="I2142" i="1"/>
  <c r="H2142" i="1"/>
  <c r="G2142" i="1"/>
  <c r="F2142" i="1"/>
  <c r="D2142" i="1"/>
  <c r="B2142" i="1"/>
  <c r="A2142" i="1"/>
  <c r="J2141" i="1"/>
  <c r="I2141" i="1"/>
  <c r="H2141" i="1"/>
  <c r="G2141" i="1"/>
  <c r="F2141" i="1"/>
  <c r="D2141" i="1"/>
  <c r="B2141" i="1"/>
  <c r="A2141" i="1"/>
  <c r="J2140" i="1"/>
  <c r="I2140" i="1"/>
  <c r="H2140" i="1"/>
  <c r="G2140" i="1"/>
  <c r="F2140" i="1"/>
  <c r="D2140" i="1"/>
  <c r="B2140" i="1"/>
  <c r="A2140" i="1"/>
  <c r="J2139" i="1"/>
  <c r="I2139" i="1"/>
  <c r="H2139" i="1"/>
  <c r="G2139" i="1"/>
  <c r="F2139" i="1"/>
  <c r="D2139" i="1"/>
  <c r="B2139" i="1"/>
  <c r="A2139" i="1"/>
  <c r="J2138" i="1"/>
  <c r="I2138" i="1"/>
  <c r="H2138" i="1"/>
  <c r="G2138" i="1"/>
  <c r="F2138" i="1"/>
  <c r="D2138" i="1"/>
  <c r="B2138" i="1"/>
  <c r="A2138" i="1"/>
  <c r="J2137" i="1"/>
  <c r="I2137" i="1"/>
  <c r="H2137" i="1"/>
  <c r="G2137" i="1"/>
  <c r="F2137" i="1"/>
  <c r="D2137" i="1"/>
  <c r="B2137" i="1"/>
  <c r="A2137" i="1"/>
  <c r="J2136" i="1"/>
  <c r="I2136" i="1"/>
  <c r="H2136" i="1"/>
  <c r="G2136" i="1"/>
  <c r="F2136" i="1"/>
  <c r="D2136" i="1"/>
  <c r="B2136" i="1"/>
  <c r="A2136" i="1"/>
  <c r="J2135" i="1"/>
  <c r="I2135" i="1"/>
  <c r="H2135" i="1"/>
  <c r="G2135" i="1"/>
  <c r="F2135" i="1"/>
  <c r="D2135" i="1"/>
  <c r="B2135" i="1"/>
  <c r="A2135" i="1"/>
  <c r="J2134" i="1"/>
  <c r="I2134" i="1"/>
  <c r="H2134" i="1"/>
  <c r="G2134" i="1"/>
  <c r="F2134" i="1"/>
  <c r="D2134" i="1"/>
  <c r="B2134" i="1"/>
  <c r="A2134" i="1"/>
  <c r="J2133" i="1"/>
  <c r="I2133" i="1"/>
  <c r="H2133" i="1"/>
  <c r="G2133" i="1"/>
  <c r="F2133" i="1"/>
  <c r="D2133" i="1"/>
  <c r="B2133" i="1"/>
  <c r="A2133" i="1"/>
  <c r="J2132" i="1"/>
  <c r="I2132" i="1"/>
  <c r="H2132" i="1"/>
  <c r="G2132" i="1"/>
  <c r="F2132" i="1"/>
  <c r="D2132" i="1"/>
  <c r="B2132" i="1"/>
  <c r="A2132" i="1"/>
  <c r="J2131" i="1"/>
  <c r="I2131" i="1"/>
  <c r="H2131" i="1"/>
  <c r="G2131" i="1"/>
  <c r="F2131" i="1"/>
  <c r="D2131" i="1"/>
  <c r="B2131" i="1"/>
  <c r="A2131" i="1"/>
  <c r="J2130" i="1"/>
  <c r="I2130" i="1"/>
  <c r="H2130" i="1"/>
  <c r="G2130" i="1"/>
  <c r="F2130" i="1"/>
  <c r="D2130" i="1"/>
  <c r="B2130" i="1"/>
  <c r="A2130" i="1"/>
  <c r="J2129" i="1"/>
  <c r="I2129" i="1"/>
  <c r="H2129" i="1"/>
  <c r="G2129" i="1"/>
  <c r="F2129" i="1"/>
  <c r="D2129" i="1"/>
  <c r="B2129" i="1"/>
  <c r="A2129" i="1"/>
  <c r="J2128" i="1"/>
  <c r="I2128" i="1"/>
  <c r="H2128" i="1"/>
  <c r="G2128" i="1"/>
  <c r="F2128" i="1"/>
  <c r="D2128" i="1"/>
  <c r="B2128" i="1"/>
  <c r="A2128" i="1"/>
  <c r="J2127" i="1"/>
  <c r="I2127" i="1"/>
  <c r="H2127" i="1"/>
  <c r="G2127" i="1"/>
  <c r="F2127" i="1"/>
  <c r="D2127" i="1"/>
  <c r="B2127" i="1"/>
  <c r="A2127" i="1"/>
  <c r="J2126" i="1"/>
  <c r="I2126" i="1"/>
  <c r="H2126" i="1"/>
  <c r="G2126" i="1"/>
  <c r="F2126" i="1"/>
  <c r="D2126" i="1"/>
  <c r="B2126" i="1"/>
  <c r="A2126" i="1"/>
  <c r="J2125" i="1"/>
  <c r="I2125" i="1"/>
  <c r="H2125" i="1"/>
  <c r="G2125" i="1"/>
  <c r="F2125" i="1"/>
  <c r="D2125" i="1"/>
  <c r="B2125" i="1"/>
  <c r="A2125" i="1"/>
  <c r="J2124" i="1"/>
  <c r="I2124" i="1"/>
  <c r="H2124" i="1"/>
  <c r="G2124" i="1"/>
  <c r="F2124" i="1"/>
  <c r="D2124" i="1"/>
  <c r="B2124" i="1"/>
  <c r="A2124" i="1"/>
  <c r="J2123" i="1"/>
  <c r="I2123" i="1"/>
  <c r="H2123" i="1"/>
  <c r="G2123" i="1"/>
  <c r="F2123" i="1"/>
  <c r="D2123" i="1"/>
  <c r="B2123" i="1"/>
  <c r="A2123" i="1"/>
  <c r="J2122" i="1"/>
  <c r="I2122" i="1"/>
  <c r="H2122" i="1"/>
  <c r="G2122" i="1"/>
  <c r="F2122" i="1"/>
  <c r="D2122" i="1"/>
  <c r="B2122" i="1"/>
  <c r="A2122" i="1"/>
  <c r="J2121" i="1"/>
  <c r="I2121" i="1"/>
  <c r="H2121" i="1"/>
  <c r="G2121" i="1"/>
  <c r="F2121" i="1"/>
  <c r="D2121" i="1"/>
  <c r="B2121" i="1"/>
  <c r="A2121" i="1"/>
  <c r="J2120" i="1"/>
  <c r="I2120" i="1"/>
  <c r="H2120" i="1"/>
  <c r="G2120" i="1"/>
  <c r="F2120" i="1"/>
  <c r="D2120" i="1"/>
  <c r="B2120" i="1"/>
  <c r="A2120" i="1"/>
  <c r="J2119" i="1"/>
  <c r="I2119" i="1"/>
  <c r="H2119" i="1"/>
  <c r="G2119" i="1"/>
  <c r="F2119" i="1"/>
  <c r="D2119" i="1"/>
  <c r="B2119" i="1"/>
  <c r="A2119" i="1"/>
  <c r="J2118" i="1"/>
  <c r="I2118" i="1"/>
  <c r="H2118" i="1"/>
  <c r="G2118" i="1"/>
  <c r="F2118" i="1"/>
  <c r="D2118" i="1"/>
  <c r="B2118" i="1"/>
  <c r="A2118" i="1"/>
  <c r="J2117" i="1"/>
  <c r="I2117" i="1"/>
  <c r="H2117" i="1"/>
  <c r="G2117" i="1"/>
  <c r="F2117" i="1"/>
  <c r="D2117" i="1"/>
  <c r="B2117" i="1"/>
  <c r="A2117" i="1"/>
  <c r="J2116" i="1"/>
  <c r="I2116" i="1"/>
  <c r="H2116" i="1"/>
  <c r="G2116" i="1"/>
  <c r="F2116" i="1"/>
  <c r="D2116" i="1"/>
  <c r="B2116" i="1"/>
  <c r="A2116" i="1"/>
  <c r="J2115" i="1"/>
  <c r="I2115" i="1"/>
  <c r="H2115" i="1"/>
  <c r="G2115" i="1"/>
  <c r="F2115" i="1"/>
  <c r="D2115" i="1"/>
  <c r="B2115" i="1"/>
  <c r="A2115" i="1"/>
  <c r="J2114" i="1"/>
  <c r="I2114" i="1"/>
  <c r="H2114" i="1"/>
  <c r="G2114" i="1"/>
  <c r="F2114" i="1"/>
  <c r="D2114" i="1"/>
  <c r="B2114" i="1"/>
  <c r="A2114" i="1"/>
  <c r="J2113" i="1"/>
  <c r="I2113" i="1"/>
  <c r="H2113" i="1"/>
  <c r="G2113" i="1"/>
  <c r="F2113" i="1"/>
  <c r="D2113" i="1"/>
  <c r="B2113" i="1"/>
  <c r="A2113" i="1"/>
  <c r="J2112" i="1"/>
  <c r="I2112" i="1"/>
  <c r="H2112" i="1"/>
  <c r="G2112" i="1"/>
  <c r="F2112" i="1"/>
  <c r="D2112" i="1"/>
  <c r="B2112" i="1"/>
  <c r="A2112" i="1"/>
  <c r="J2111" i="1"/>
  <c r="I2111" i="1"/>
  <c r="H2111" i="1"/>
  <c r="G2111" i="1"/>
  <c r="F2111" i="1"/>
  <c r="D2111" i="1"/>
  <c r="B2111" i="1"/>
  <c r="A2111" i="1"/>
  <c r="J2110" i="1"/>
  <c r="I2110" i="1"/>
  <c r="H2110" i="1"/>
  <c r="G2110" i="1"/>
  <c r="F2110" i="1"/>
  <c r="D2110" i="1"/>
  <c r="B2110" i="1"/>
  <c r="A2110" i="1"/>
  <c r="J2109" i="1"/>
  <c r="I2109" i="1"/>
  <c r="H2109" i="1"/>
  <c r="G2109" i="1"/>
  <c r="F2109" i="1"/>
  <c r="D2109" i="1"/>
  <c r="B2109" i="1"/>
  <c r="A2109" i="1"/>
  <c r="J2108" i="1"/>
  <c r="I2108" i="1"/>
  <c r="H2108" i="1"/>
  <c r="G2108" i="1"/>
  <c r="F2108" i="1"/>
  <c r="D2108" i="1"/>
  <c r="B2108" i="1"/>
  <c r="A2108" i="1"/>
  <c r="J2107" i="1"/>
  <c r="I2107" i="1"/>
  <c r="H2107" i="1"/>
  <c r="G2107" i="1"/>
  <c r="F2107" i="1"/>
  <c r="D2107" i="1"/>
  <c r="B2107" i="1"/>
  <c r="A2107" i="1"/>
  <c r="J2106" i="1"/>
  <c r="I2106" i="1"/>
  <c r="H2106" i="1"/>
  <c r="G2106" i="1"/>
  <c r="F2106" i="1"/>
  <c r="D2106" i="1"/>
  <c r="B2106" i="1"/>
  <c r="A2106" i="1"/>
  <c r="J2105" i="1"/>
  <c r="I2105" i="1"/>
  <c r="H2105" i="1"/>
  <c r="G2105" i="1"/>
  <c r="F2105" i="1"/>
  <c r="D2105" i="1"/>
  <c r="B2105" i="1"/>
  <c r="A2105" i="1"/>
  <c r="J2104" i="1"/>
  <c r="I2104" i="1"/>
  <c r="H2104" i="1"/>
  <c r="G2104" i="1"/>
  <c r="F2104" i="1"/>
  <c r="D2104" i="1"/>
  <c r="B2104" i="1"/>
  <c r="A2104" i="1"/>
  <c r="J2103" i="1"/>
  <c r="I2103" i="1"/>
  <c r="H2103" i="1"/>
  <c r="G2103" i="1"/>
  <c r="F2103" i="1"/>
  <c r="D2103" i="1"/>
  <c r="B2103" i="1"/>
  <c r="A2103" i="1"/>
  <c r="J2102" i="1"/>
  <c r="I2102" i="1"/>
  <c r="H2102" i="1"/>
  <c r="G2102" i="1"/>
  <c r="F2102" i="1"/>
  <c r="D2102" i="1"/>
  <c r="B2102" i="1"/>
  <c r="A2102" i="1"/>
  <c r="J2101" i="1"/>
  <c r="I2101" i="1"/>
  <c r="H2101" i="1"/>
  <c r="G2101" i="1"/>
  <c r="F2101" i="1"/>
  <c r="D2101" i="1"/>
  <c r="B2101" i="1"/>
  <c r="A2101" i="1"/>
  <c r="J2100" i="1"/>
  <c r="I2100" i="1"/>
  <c r="H2100" i="1"/>
  <c r="G2100" i="1"/>
  <c r="F2100" i="1"/>
  <c r="D2100" i="1"/>
  <c r="B2100" i="1"/>
  <c r="A2100" i="1"/>
  <c r="J2099" i="1"/>
  <c r="I2099" i="1"/>
  <c r="H2099" i="1"/>
  <c r="G2099" i="1"/>
  <c r="F2099" i="1"/>
  <c r="D2099" i="1"/>
  <c r="B2099" i="1"/>
  <c r="A2099" i="1"/>
  <c r="J2098" i="1"/>
  <c r="I2098" i="1"/>
  <c r="H2098" i="1"/>
  <c r="G2098" i="1"/>
  <c r="F2098" i="1"/>
  <c r="D2098" i="1"/>
  <c r="B2098" i="1"/>
  <c r="A2098" i="1"/>
  <c r="J2097" i="1"/>
  <c r="I2097" i="1"/>
  <c r="H2097" i="1"/>
  <c r="G2097" i="1"/>
  <c r="F2097" i="1"/>
  <c r="D2097" i="1"/>
  <c r="B2097" i="1"/>
  <c r="A2097" i="1"/>
  <c r="J2096" i="1"/>
  <c r="I2096" i="1"/>
  <c r="H2096" i="1"/>
  <c r="G2096" i="1"/>
  <c r="F2096" i="1"/>
  <c r="D2096" i="1"/>
  <c r="B2096" i="1"/>
  <c r="A2096" i="1"/>
  <c r="J2095" i="1"/>
  <c r="I2095" i="1"/>
  <c r="H2095" i="1"/>
  <c r="G2095" i="1"/>
  <c r="F2095" i="1"/>
  <c r="D2095" i="1"/>
  <c r="B2095" i="1"/>
  <c r="A2095" i="1"/>
  <c r="J2094" i="1"/>
  <c r="I2094" i="1"/>
  <c r="H2094" i="1"/>
  <c r="G2094" i="1"/>
  <c r="F2094" i="1"/>
  <c r="D2094" i="1"/>
  <c r="B2094" i="1"/>
  <c r="A2094" i="1"/>
  <c r="J2093" i="1"/>
  <c r="I2093" i="1"/>
  <c r="H2093" i="1"/>
  <c r="G2093" i="1"/>
  <c r="F2093" i="1"/>
  <c r="D2093" i="1"/>
  <c r="B2093" i="1"/>
  <c r="A2093" i="1"/>
  <c r="J2092" i="1"/>
  <c r="I2092" i="1"/>
  <c r="H2092" i="1"/>
  <c r="G2092" i="1"/>
  <c r="F2092" i="1"/>
  <c r="D2092" i="1"/>
  <c r="B2092" i="1"/>
  <c r="A2092" i="1"/>
  <c r="J2091" i="1"/>
  <c r="I2091" i="1"/>
  <c r="H2091" i="1"/>
  <c r="G2091" i="1"/>
  <c r="F2091" i="1"/>
  <c r="D2091" i="1"/>
  <c r="B2091" i="1"/>
  <c r="A2091" i="1"/>
  <c r="J2090" i="1"/>
  <c r="I2090" i="1"/>
  <c r="H2090" i="1"/>
  <c r="G2090" i="1"/>
  <c r="F2090" i="1"/>
  <c r="D2090" i="1"/>
  <c r="B2090" i="1"/>
  <c r="A2090" i="1"/>
  <c r="J2089" i="1"/>
  <c r="I2089" i="1"/>
  <c r="H2089" i="1"/>
  <c r="G2089" i="1"/>
  <c r="F2089" i="1"/>
  <c r="D2089" i="1"/>
  <c r="B2089" i="1"/>
  <c r="A2089" i="1"/>
  <c r="J2088" i="1"/>
  <c r="I2088" i="1"/>
  <c r="H2088" i="1"/>
  <c r="G2088" i="1"/>
  <c r="F2088" i="1"/>
  <c r="D2088" i="1"/>
  <c r="B2088" i="1"/>
  <c r="A2088" i="1"/>
  <c r="J2087" i="1"/>
  <c r="I2087" i="1"/>
  <c r="H2087" i="1"/>
  <c r="G2087" i="1"/>
  <c r="F2087" i="1"/>
  <c r="D2087" i="1"/>
  <c r="B2087" i="1"/>
  <c r="A2087" i="1"/>
  <c r="J2086" i="1"/>
  <c r="I2086" i="1"/>
  <c r="H2086" i="1"/>
  <c r="G2086" i="1"/>
  <c r="F2086" i="1"/>
  <c r="D2086" i="1"/>
  <c r="B2086" i="1"/>
  <c r="A2086" i="1"/>
  <c r="J2085" i="1"/>
  <c r="I2085" i="1"/>
  <c r="H2085" i="1"/>
  <c r="G2085" i="1"/>
  <c r="F2085" i="1"/>
  <c r="D2085" i="1"/>
  <c r="B2085" i="1"/>
  <c r="A2085" i="1"/>
  <c r="J2084" i="1"/>
  <c r="I2084" i="1"/>
  <c r="H2084" i="1"/>
  <c r="G2084" i="1"/>
  <c r="F2084" i="1"/>
  <c r="D2084" i="1"/>
  <c r="B2084" i="1"/>
  <c r="A2084" i="1"/>
  <c r="J2083" i="1"/>
  <c r="I2083" i="1"/>
  <c r="H2083" i="1"/>
  <c r="G2083" i="1"/>
  <c r="F2083" i="1"/>
  <c r="D2083" i="1"/>
  <c r="B2083" i="1"/>
  <c r="A2083" i="1"/>
  <c r="J2082" i="1"/>
  <c r="I2082" i="1"/>
  <c r="H2082" i="1"/>
  <c r="G2082" i="1"/>
  <c r="F2082" i="1"/>
  <c r="D2082" i="1"/>
  <c r="B2082" i="1"/>
  <c r="A2082" i="1"/>
  <c r="J2081" i="1"/>
  <c r="I2081" i="1"/>
  <c r="H2081" i="1"/>
  <c r="G2081" i="1"/>
  <c r="F2081" i="1"/>
  <c r="D2081" i="1"/>
  <c r="B2081" i="1"/>
  <c r="A2081" i="1"/>
  <c r="J2080" i="1"/>
  <c r="I2080" i="1"/>
  <c r="H2080" i="1"/>
  <c r="G2080" i="1"/>
  <c r="F2080" i="1"/>
  <c r="D2080" i="1"/>
  <c r="B2080" i="1"/>
  <c r="A2080" i="1"/>
  <c r="J2079" i="1"/>
  <c r="I2079" i="1"/>
  <c r="H2079" i="1"/>
  <c r="G2079" i="1"/>
  <c r="F2079" i="1"/>
  <c r="D2079" i="1"/>
  <c r="B2079" i="1"/>
  <c r="A2079" i="1"/>
  <c r="J2078" i="1"/>
  <c r="I2078" i="1"/>
  <c r="H2078" i="1"/>
  <c r="G2078" i="1"/>
  <c r="F2078" i="1"/>
  <c r="D2078" i="1"/>
  <c r="B2078" i="1"/>
  <c r="A2078" i="1"/>
  <c r="J2077" i="1"/>
  <c r="I2077" i="1"/>
  <c r="H2077" i="1"/>
  <c r="G2077" i="1"/>
  <c r="F2077" i="1"/>
  <c r="D2077" i="1"/>
  <c r="B2077" i="1"/>
  <c r="A2077" i="1"/>
  <c r="J2076" i="1"/>
  <c r="I2076" i="1"/>
  <c r="H2076" i="1"/>
  <c r="G2076" i="1"/>
  <c r="F2076" i="1"/>
  <c r="D2076" i="1"/>
  <c r="B2076" i="1"/>
  <c r="A2076" i="1"/>
  <c r="J2075" i="1"/>
  <c r="I2075" i="1"/>
  <c r="H2075" i="1"/>
  <c r="G2075" i="1"/>
  <c r="F2075" i="1"/>
  <c r="D2075" i="1"/>
  <c r="B2075" i="1"/>
  <c r="A2075" i="1"/>
  <c r="J2074" i="1"/>
  <c r="I2074" i="1"/>
  <c r="H2074" i="1"/>
  <c r="G2074" i="1"/>
  <c r="F2074" i="1"/>
  <c r="D2074" i="1"/>
  <c r="B2074" i="1"/>
  <c r="A2074" i="1"/>
  <c r="J2073" i="1"/>
  <c r="I2073" i="1"/>
  <c r="H2073" i="1"/>
  <c r="G2073" i="1"/>
  <c r="F2073" i="1"/>
  <c r="D2073" i="1"/>
  <c r="B2073" i="1"/>
  <c r="A2073" i="1"/>
  <c r="J2072" i="1"/>
  <c r="I2072" i="1"/>
  <c r="H2072" i="1"/>
  <c r="G2072" i="1"/>
  <c r="F2072" i="1"/>
  <c r="D2072" i="1"/>
  <c r="B2072" i="1"/>
  <c r="A2072" i="1"/>
  <c r="J2071" i="1"/>
  <c r="I2071" i="1"/>
  <c r="H2071" i="1"/>
  <c r="G2071" i="1"/>
  <c r="F2071" i="1"/>
  <c r="D2071" i="1"/>
  <c r="B2071" i="1"/>
  <c r="A2071" i="1"/>
  <c r="J2070" i="1"/>
  <c r="I2070" i="1"/>
  <c r="H2070" i="1"/>
  <c r="G2070" i="1"/>
  <c r="F2070" i="1"/>
  <c r="D2070" i="1"/>
  <c r="B2070" i="1"/>
  <c r="A2070" i="1"/>
  <c r="J2069" i="1"/>
  <c r="I2069" i="1"/>
  <c r="H2069" i="1"/>
  <c r="G2069" i="1"/>
  <c r="F2069" i="1"/>
  <c r="D2069" i="1"/>
  <c r="B2069" i="1"/>
  <c r="A2069" i="1"/>
  <c r="J2068" i="1"/>
  <c r="I2068" i="1"/>
  <c r="H2068" i="1"/>
  <c r="G2068" i="1"/>
  <c r="F2068" i="1"/>
  <c r="D2068" i="1"/>
  <c r="B2068" i="1"/>
  <c r="A2068" i="1"/>
  <c r="J2067" i="1"/>
  <c r="I2067" i="1"/>
  <c r="G2067" i="1"/>
  <c r="F2067" i="1"/>
  <c r="A2067" i="1"/>
  <c r="J2066" i="1"/>
  <c r="I2066" i="1"/>
  <c r="H2066" i="1"/>
  <c r="G2066" i="1"/>
  <c r="F2066" i="1"/>
  <c r="D2066" i="1"/>
  <c r="B2066" i="1"/>
  <c r="A2066" i="1"/>
  <c r="J2065" i="1"/>
  <c r="I2065" i="1"/>
  <c r="H2065" i="1"/>
  <c r="G2065" i="1"/>
  <c r="F2065" i="1"/>
  <c r="D2065" i="1"/>
  <c r="B2065" i="1"/>
  <c r="A2065" i="1"/>
  <c r="J2064" i="1"/>
  <c r="I2064" i="1"/>
  <c r="H2064" i="1"/>
  <c r="G2064" i="1"/>
  <c r="F2064" i="1"/>
  <c r="D2064" i="1"/>
  <c r="B2064" i="1"/>
  <c r="A2064" i="1"/>
  <c r="J2063" i="1"/>
  <c r="I2063" i="1"/>
  <c r="H2063" i="1"/>
  <c r="G2063" i="1"/>
  <c r="F2063" i="1"/>
  <c r="D2063" i="1"/>
  <c r="B2063" i="1"/>
  <c r="A2063" i="1"/>
  <c r="J2062" i="1"/>
  <c r="I2062" i="1"/>
  <c r="H2062" i="1"/>
  <c r="G2062" i="1"/>
  <c r="F2062" i="1"/>
  <c r="D2062" i="1"/>
  <c r="B2062" i="1"/>
  <c r="A2062" i="1"/>
  <c r="J2061" i="1"/>
  <c r="I2061" i="1"/>
  <c r="H2061" i="1"/>
  <c r="G2061" i="1"/>
  <c r="F2061" i="1"/>
  <c r="D2061" i="1"/>
  <c r="B2061" i="1"/>
  <c r="A2061" i="1"/>
  <c r="J2060" i="1"/>
  <c r="I2060" i="1"/>
  <c r="H2060" i="1"/>
  <c r="G2060" i="1"/>
  <c r="F2060" i="1"/>
  <c r="D2060" i="1"/>
  <c r="B2060" i="1"/>
  <c r="A2060" i="1"/>
  <c r="J2059" i="1"/>
  <c r="I2059" i="1"/>
  <c r="H2059" i="1"/>
  <c r="G2059" i="1"/>
  <c r="F2059" i="1"/>
  <c r="D2059" i="1"/>
  <c r="B2059" i="1"/>
  <c r="A2059" i="1"/>
  <c r="J2058" i="1"/>
  <c r="I2058" i="1"/>
  <c r="H2058" i="1"/>
  <c r="G2058" i="1"/>
  <c r="F2058" i="1"/>
  <c r="D2058" i="1"/>
  <c r="B2058" i="1"/>
  <c r="A2058" i="1"/>
  <c r="J2057" i="1"/>
  <c r="I2057" i="1"/>
  <c r="H2057" i="1"/>
  <c r="G2057" i="1"/>
  <c r="F2057" i="1"/>
  <c r="D2057" i="1"/>
  <c r="B2057" i="1"/>
  <c r="A2057" i="1"/>
  <c r="J2056" i="1"/>
  <c r="I2056" i="1"/>
  <c r="H2056" i="1"/>
  <c r="G2056" i="1"/>
  <c r="F2056" i="1"/>
  <c r="D2056" i="1"/>
  <c r="B2056" i="1"/>
  <c r="A2056" i="1"/>
  <c r="J2055" i="1"/>
  <c r="I2055" i="1"/>
  <c r="H2055" i="1"/>
  <c r="G2055" i="1"/>
  <c r="F2055" i="1"/>
  <c r="D2055" i="1"/>
  <c r="B2055" i="1"/>
  <c r="A2055" i="1"/>
  <c r="J2054" i="1"/>
  <c r="I2054" i="1"/>
  <c r="H2054" i="1"/>
  <c r="G2054" i="1"/>
  <c r="F2054" i="1"/>
  <c r="D2054" i="1"/>
  <c r="B2054" i="1"/>
  <c r="A2054" i="1"/>
  <c r="J2053" i="1"/>
  <c r="I2053" i="1"/>
  <c r="H2053" i="1"/>
  <c r="G2053" i="1"/>
  <c r="F2053" i="1"/>
  <c r="D2053" i="1"/>
  <c r="B2053" i="1"/>
  <c r="A2053" i="1"/>
  <c r="J2052" i="1"/>
  <c r="I2052" i="1"/>
  <c r="H2052" i="1"/>
  <c r="G2052" i="1"/>
  <c r="F2052" i="1"/>
  <c r="D2052" i="1"/>
  <c r="B2052" i="1"/>
  <c r="A2052" i="1"/>
  <c r="J2051" i="1"/>
  <c r="I2051" i="1"/>
  <c r="H2051" i="1"/>
  <c r="G2051" i="1"/>
  <c r="F2051" i="1"/>
  <c r="D2051" i="1"/>
  <c r="B2051" i="1"/>
  <c r="A2051" i="1"/>
  <c r="J2050" i="1"/>
  <c r="I2050" i="1"/>
  <c r="H2050" i="1"/>
  <c r="G2050" i="1"/>
  <c r="F2050" i="1"/>
  <c r="D2050" i="1"/>
  <c r="B2050" i="1"/>
  <c r="A2050" i="1"/>
  <c r="J2049" i="1"/>
  <c r="I2049" i="1"/>
  <c r="H2049" i="1"/>
  <c r="G2049" i="1"/>
  <c r="F2049" i="1"/>
  <c r="D2049" i="1"/>
  <c r="B2049" i="1"/>
  <c r="A2049" i="1"/>
  <c r="J2048" i="1"/>
  <c r="I2048" i="1"/>
  <c r="H2048" i="1"/>
  <c r="G2048" i="1"/>
  <c r="F2048" i="1"/>
  <c r="D2048" i="1"/>
  <c r="B2048" i="1"/>
  <c r="A2048" i="1"/>
  <c r="J2047" i="1"/>
  <c r="I2047" i="1"/>
  <c r="H2047" i="1"/>
  <c r="G2047" i="1"/>
  <c r="F2047" i="1"/>
  <c r="D2047" i="1"/>
  <c r="B2047" i="1"/>
  <c r="A2047" i="1"/>
  <c r="J2046" i="1"/>
  <c r="I2046" i="1"/>
  <c r="H2046" i="1"/>
  <c r="G2046" i="1"/>
  <c r="F2046" i="1"/>
  <c r="D2046" i="1"/>
  <c r="B2046" i="1"/>
  <c r="A2046" i="1"/>
  <c r="J2045" i="1"/>
  <c r="I2045" i="1"/>
  <c r="H2045" i="1"/>
  <c r="G2045" i="1"/>
  <c r="F2045" i="1"/>
  <c r="D2045" i="1"/>
  <c r="B2045" i="1"/>
  <c r="A2045" i="1"/>
  <c r="J2044" i="1"/>
  <c r="I2044" i="1"/>
  <c r="H2044" i="1"/>
  <c r="G2044" i="1"/>
  <c r="F2044" i="1"/>
  <c r="D2044" i="1"/>
  <c r="B2044" i="1"/>
  <c r="A2044" i="1"/>
  <c r="J2043" i="1"/>
  <c r="I2043" i="1"/>
  <c r="H2043" i="1"/>
  <c r="G2043" i="1"/>
  <c r="F2043" i="1"/>
  <c r="D2043" i="1"/>
  <c r="B2043" i="1"/>
  <c r="A2043" i="1"/>
  <c r="J2042" i="1"/>
  <c r="I2042" i="1"/>
  <c r="H2042" i="1"/>
  <c r="G2042" i="1"/>
  <c r="F2042" i="1"/>
  <c r="D2042" i="1"/>
  <c r="B2042" i="1"/>
  <c r="A2042" i="1"/>
  <c r="J2041" i="1"/>
  <c r="I2041" i="1"/>
  <c r="H2041" i="1"/>
  <c r="G2041" i="1"/>
  <c r="F2041" i="1"/>
  <c r="D2041" i="1"/>
  <c r="B2041" i="1"/>
  <c r="A2041" i="1"/>
  <c r="J2040" i="1"/>
  <c r="I2040" i="1"/>
  <c r="H2040" i="1"/>
  <c r="G2040" i="1"/>
  <c r="F2040" i="1"/>
  <c r="D2040" i="1"/>
  <c r="B2040" i="1"/>
  <c r="A2040" i="1"/>
  <c r="J2039" i="1"/>
  <c r="I2039" i="1"/>
  <c r="H2039" i="1"/>
  <c r="G2039" i="1"/>
  <c r="F2039" i="1"/>
  <c r="D2039" i="1"/>
  <c r="B2039" i="1"/>
  <c r="A2039" i="1"/>
  <c r="J2038" i="1"/>
  <c r="I2038" i="1"/>
  <c r="H2038" i="1"/>
  <c r="G2038" i="1"/>
  <c r="F2038" i="1"/>
  <c r="D2038" i="1"/>
  <c r="B2038" i="1"/>
  <c r="A2038" i="1"/>
  <c r="J2037" i="1"/>
  <c r="I2037" i="1"/>
  <c r="H2037" i="1"/>
  <c r="G2037" i="1"/>
  <c r="F2037" i="1"/>
  <c r="D2037" i="1"/>
  <c r="B2037" i="1"/>
  <c r="A2037" i="1"/>
  <c r="J2036" i="1"/>
  <c r="I2036" i="1"/>
  <c r="H2036" i="1"/>
  <c r="G2036" i="1"/>
  <c r="F2036" i="1"/>
  <c r="D2036" i="1"/>
  <c r="B2036" i="1"/>
  <c r="A2036" i="1"/>
  <c r="J2035" i="1"/>
  <c r="I2035" i="1"/>
  <c r="H2035" i="1"/>
  <c r="G2035" i="1"/>
  <c r="F2035" i="1"/>
  <c r="D2035" i="1"/>
  <c r="B2035" i="1"/>
  <c r="A2035" i="1"/>
  <c r="J2034" i="1"/>
  <c r="I2034" i="1"/>
  <c r="H2034" i="1"/>
  <c r="G2034" i="1"/>
  <c r="F2034" i="1"/>
  <c r="D2034" i="1"/>
  <c r="B2034" i="1"/>
  <c r="A2034" i="1"/>
  <c r="J2033" i="1"/>
  <c r="I2033" i="1"/>
  <c r="H2033" i="1"/>
  <c r="G2033" i="1"/>
  <c r="F2033" i="1"/>
  <c r="D2033" i="1"/>
  <c r="B2033" i="1"/>
  <c r="A2033" i="1"/>
  <c r="J2032" i="1"/>
  <c r="I2032" i="1"/>
  <c r="H2032" i="1"/>
  <c r="G2032" i="1"/>
  <c r="F2032" i="1"/>
  <c r="D2032" i="1"/>
  <c r="B2032" i="1"/>
  <c r="A2032" i="1"/>
  <c r="J2031" i="1"/>
  <c r="I2031" i="1"/>
  <c r="H2031" i="1"/>
  <c r="G2031" i="1"/>
  <c r="F2031" i="1"/>
  <c r="D2031" i="1"/>
  <c r="B2031" i="1"/>
  <c r="A2031" i="1"/>
  <c r="J2030" i="1"/>
  <c r="I2030" i="1"/>
  <c r="H2030" i="1"/>
  <c r="G2030" i="1"/>
  <c r="F2030" i="1"/>
  <c r="D2030" i="1"/>
  <c r="B2030" i="1"/>
  <c r="A2030" i="1"/>
  <c r="J2029" i="1"/>
  <c r="I2029" i="1"/>
  <c r="H2029" i="1"/>
  <c r="G2029" i="1"/>
  <c r="F2029" i="1"/>
  <c r="D2029" i="1"/>
  <c r="B2029" i="1"/>
  <c r="A2029" i="1"/>
  <c r="J2028" i="1"/>
  <c r="I2028" i="1"/>
  <c r="H2028" i="1"/>
  <c r="G2028" i="1"/>
  <c r="F2028" i="1"/>
  <c r="D2028" i="1"/>
  <c r="B2028" i="1"/>
  <c r="A2028" i="1"/>
  <c r="J2027" i="1"/>
  <c r="I2027" i="1"/>
  <c r="H2027" i="1"/>
  <c r="G2027" i="1"/>
  <c r="F2027" i="1"/>
  <c r="D2027" i="1"/>
  <c r="B2027" i="1"/>
  <c r="A2027" i="1"/>
  <c r="J2026" i="1"/>
  <c r="I2026" i="1"/>
  <c r="H2026" i="1"/>
  <c r="G2026" i="1"/>
  <c r="F2026" i="1"/>
  <c r="D2026" i="1"/>
  <c r="B2026" i="1"/>
  <c r="A2026" i="1"/>
  <c r="J2025" i="1"/>
  <c r="I2025" i="1"/>
  <c r="H2025" i="1"/>
  <c r="G2025" i="1"/>
  <c r="F2025" i="1"/>
  <c r="D2025" i="1"/>
  <c r="B2025" i="1"/>
  <c r="A2025" i="1"/>
  <c r="J2024" i="1"/>
  <c r="I2024" i="1"/>
  <c r="H2024" i="1"/>
  <c r="G2024" i="1"/>
  <c r="F2024" i="1"/>
  <c r="D2024" i="1"/>
  <c r="B2024" i="1"/>
  <c r="A2024" i="1"/>
  <c r="J2023" i="1"/>
  <c r="I2023" i="1"/>
  <c r="H2023" i="1"/>
  <c r="G2023" i="1"/>
  <c r="F2023" i="1"/>
  <c r="D2023" i="1"/>
  <c r="B2023" i="1"/>
  <c r="A2023" i="1"/>
  <c r="J2022" i="1"/>
  <c r="I2022" i="1"/>
  <c r="H2022" i="1"/>
  <c r="G2022" i="1"/>
  <c r="F2022" i="1"/>
  <c r="D2022" i="1"/>
  <c r="B2022" i="1"/>
  <c r="A2022" i="1"/>
  <c r="J2021" i="1"/>
  <c r="I2021" i="1"/>
  <c r="H2021" i="1"/>
  <c r="G2021" i="1"/>
  <c r="F2021" i="1"/>
  <c r="D2021" i="1"/>
  <c r="B2021" i="1"/>
  <c r="A2021" i="1"/>
  <c r="J2020" i="1"/>
  <c r="I2020" i="1"/>
  <c r="H2020" i="1"/>
  <c r="G2020" i="1"/>
  <c r="F2020" i="1"/>
  <c r="D2020" i="1"/>
  <c r="B2020" i="1"/>
  <c r="A2020" i="1"/>
  <c r="J2019" i="1"/>
  <c r="I2019" i="1"/>
  <c r="H2019" i="1"/>
  <c r="G2019" i="1"/>
  <c r="F2019" i="1"/>
  <c r="D2019" i="1"/>
  <c r="B2019" i="1"/>
  <c r="A2019" i="1"/>
  <c r="J2018" i="1"/>
  <c r="I2018" i="1"/>
  <c r="H2018" i="1"/>
  <c r="G2018" i="1"/>
  <c r="F2018" i="1"/>
  <c r="D2018" i="1"/>
  <c r="B2018" i="1"/>
  <c r="A2018" i="1"/>
  <c r="J2017" i="1"/>
  <c r="I2017" i="1"/>
  <c r="H2017" i="1"/>
  <c r="G2017" i="1"/>
  <c r="F2017" i="1"/>
  <c r="D2017" i="1"/>
  <c r="B2017" i="1"/>
  <c r="A2017" i="1"/>
  <c r="J2016" i="1"/>
  <c r="I2016" i="1"/>
  <c r="H2016" i="1"/>
  <c r="G2016" i="1"/>
  <c r="F2016" i="1"/>
  <c r="D2016" i="1"/>
  <c r="B2016" i="1"/>
  <c r="A2016" i="1"/>
  <c r="J2015" i="1"/>
  <c r="I2015" i="1"/>
  <c r="H2015" i="1"/>
  <c r="G2015" i="1"/>
  <c r="F2015" i="1"/>
  <c r="D2015" i="1"/>
  <c r="B2015" i="1"/>
  <c r="A2015" i="1"/>
  <c r="J2014" i="1"/>
  <c r="I2014" i="1"/>
  <c r="H2014" i="1"/>
  <c r="G2014" i="1"/>
  <c r="F2014" i="1"/>
  <c r="D2014" i="1"/>
  <c r="B2014" i="1"/>
  <c r="A2014" i="1"/>
  <c r="J2013" i="1"/>
  <c r="I2013" i="1"/>
  <c r="H2013" i="1"/>
  <c r="G2013" i="1"/>
  <c r="F2013" i="1"/>
  <c r="D2013" i="1"/>
  <c r="B2013" i="1"/>
  <c r="A2013" i="1"/>
  <c r="J2012" i="1"/>
  <c r="I2012" i="1"/>
  <c r="H2012" i="1"/>
  <c r="G2012" i="1"/>
  <c r="F2012" i="1"/>
  <c r="D2012" i="1"/>
  <c r="B2012" i="1"/>
  <c r="A2012" i="1"/>
  <c r="J2011" i="1"/>
  <c r="I2011" i="1"/>
  <c r="H2011" i="1"/>
  <c r="G2011" i="1"/>
  <c r="F2011" i="1"/>
  <c r="D2011" i="1"/>
  <c r="B2011" i="1"/>
  <c r="A2011" i="1"/>
  <c r="J2010" i="1"/>
  <c r="I2010" i="1"/>
  <c r="H2010" i="1"/>
  <c r="G2010" i="1"/>
  <c r="F2010" i="1"/>
  <c r="D2010" i="1"/>
  <c r="B2010" i="1"/>
  <c r="A2010" i="1"/>
  <c r="J2009" i="1"/>
  <c r="I2009" i="1"/>
  <c r="H2009" i="1"/>
  <c r="G2009" i="1"/>
  <c r="F2009" i="1"/>
  <c r="D2009" i="1"/>
  <c r="B2009" i="1"/>
  <c r="A2009" i="1"/>
  <c r="J2008" i="1"/>
  <c r="I2008" i="1"/>
  <c r="H2008" i="1"/>
  <c r="G2008" i="1"/>
  <c r="F2008" i="1"/>
  <c r="D2008" i="1"/>
  <c r="B2008" i="1"/>
  <c r="A2008" i="1"/>
  <c r="J2007" i="1"/>
  <c r="I2007" i="1"/>
  <c r="H2007" i="1"/>
  <c r="G2007" i="1"/>
  <c r="F2007" i="1"/>
  <c r="D2007" i="1"/>
  <c r="B2007" i="1"/>
  <c r="A2007" i="1"/>
  <c r="J2006" i="1"/>
  <c r="I2006" i="1"/>
  <c r="H2006" i="1"/>
  <c r="G2006" i="1"/>
  <c r="F2006" i="1"/>
  <c r="D2006" i="1"/>
  <c r="B2006" i="1"/>
  <c r="A2006" i="1"/>
  <c r="J2005" i="1"/>
  <c r="I2005" i="1"/>
  <c r="H2005" i="1"/>
  <c r="G2005" i="1"/>
  <c r="F2005" i="1"/>
  <c r="D2005" i="1"/>
  <c r="B2005" i="1"/>
  <c r="A2005" i="1"/>
  <c r="J2004" i="1"/>
  <c r="I2004" i="1"/>
  <c r="H2004" i="1"/>
  <c r="G2004" i="1"/>
  <c r="F2004" i="1"/>
  <c r="D2004" i="1"/>
  <c r="B2004" i="1"/>
  <c r="A2004" i="1"/>
  <c r="J2003" i="1"/>
  <c r="I2003" i="1"/>
  <c r="H2003" i="1"/>
  <c r="G2003" i="1"/>
  <c r="F2003" i="1"/>
  <c r="D2003" i="1"/>
  <c r="B2003" i="1"/>
  <c r="A2003" i="1"/>
  <c r="J2002" i="1"/>
  <c r="I2002" i="1"/>
  <c r="H2002" i="1"/>
  <c r="G2002" i="1"/>
  <c r="F2002" i="1"/>
  <c r="D2002" i="1"/>
  <c r="B2002" i="1"/>
  <c r="A2002" i="1"/>
  <c r="J2001" i="1"/>
  <c r="I2001" i="1"/>
  <c r="H2001" i="1"/>
  <c r="G2001" i="1"/>
  <c r="F2001" i="1"/>
  <c r="D2001" i="1"/>
  <c r="B2001" i="1"/>
  <c r="A2001" i="1"/>
  <c r="J2000" i="1"/>
  <c r="I2000" i="1"/>
  <c r="H2000" i="1"/>
  <c r="G2000" i="1"/>
  <c r="F2000" i="1"/>
  <c r="D2000" i="1"/>
  <c r="B2000" i="1"/>
  <c r="A2000" i="1"/>
  <c r="J1999" i="1"/>
  <c r="I1999" i="1"/>
  <c r="H1999" i="1"/>
  <c r="G1999" i="1"/>
  <c r="F1999" i="1"/>
  <c r="D1999" i="1"/>
  <c r="B1999" i="1"/>
  <c r="A1999" i="1"/>
  <c r="J1998" i="1"/>
  <c r="I1998" i="1"/>
  <c r="H1998" i="1"/>
  <c r="G1998" i="1"/>
  <c r="F1998" i="1"/>
  <c r="D1998" i="1"/>
  <c r="B1998" i="1"/>
  <c r="A1998" i="1"/>
  <c r="J1997" i="1"/>
  <c r="I1997" i="1"/>
  <c r="H1997" i="1"/>
  <c r="G1997" i="1"/>
  <c r="F1997" i="1"/>
  <c r="D1997" i="1"/>
  <c r="B1997" i="1"/>
  <c r="A1997" i="1"/>
  <c r="J1996" i="1"/>
  <c r="I1996" i="1"/>
  <c r="H1996" i="1"/>
  <c r="G1996" i="1"/>
  <c r="F1996" i="1"/>
  <c r="D1996" i="1"/>
  <c r="B1996" i="1"/>
  <c r="A1996" i="1"/>
  <c r="J1995" i="1"/>
  <c r="I1995" i="1"/>
  <c r="H1995" i="1"/>
  <c r="G1995" i="1"/>
  <c r="F1995" i="1"/>
  <c r="D1995" i="1"/>
  <c r="B1995" i="1"/>
  <c r="A1995" i="1"/>
  <c r="J1994" i="1"/>
  <c r="I1994" i="1"/>
  <c r="H1994" i="1"/>
  <c r="G1994" i="1"/>
  <c r="F1994" i="1"/>
  <c r="D1994" i="1"/>
  <c r="B1994" i="1"/>
  <c r="A1994" i="1"/>
  <c r="J1993" i="1"/>
  <c r="I1993" i="1"/>
  <c r="H1993" i="1"/>
  <c r="G1993" i="1"/>
  <c r="F1993" i="1"/>
  <c r="D1993" i="1"/>
  <c r="B1993" i="1"/>
  <c r="A1993" i="1"/>
  <c r="J1992" i="1"/>
  <c r="I1992" i="1"/>
  <c r="H1992" i="1"/>
  <c r="G1992" i="1"/>
  <c r="F1992" i="1"/>
  <c r="D1992" i="1"/>
  <c r="B1992" i="1"/>
  <c r="A1992" i="1"/>
  <c r="J1991" i="1"/>
  <c r="I1991" i="1"/>
  <c r="H1991" i="1"/>
  <c r="G1991" i="1"/>
  <c r="F1991" i="1"/>
  <c r="D1991" i="1"/>
  <c r="B1991" i="1"/>
  <c r="A1991" i="1"/>
  <c r="J1990" i="1"/>
  <c r="I1990" i="1"/>
  <c r="H1990" i="1"/>
  <c r="G1990" i="1"/>
  <c r="F1990" i="1"/>
  <c r="D1990" i="1"/>
  <c r="B1990" i="1"/>
  <c r="A1990" i="1"/>
  <c r="J1989" i="1"/>
  <c r="I1989" i="1"/>
  <c r="H1989" i="1"/>
  <c r="G1989" i="1"/>
  <c r="F1989" i="1"/>
  <c r="D1989" i="1"/>
  <c r="B1989" i="1"/>
  <c r="A1989" i="1"/>
  <c r="J1988" i="1"/>
  <c r="I1988" i="1"/>
  <c r="H1988" i="1"/>
  <c r="G1988" i="1"/>
  <c r="F1988" i="1"/>
  <c r="D1988" i="1"/>
  <c r="B1988" i="1"/>
  <c r="A1988" i="1"/>
  <c r="J1987" i="1"/>
  <c r="I1987" i="1"/>
  <c r="H1987" i="1"/>
  <c r="G1987" i="1"/>
  <c r="F1987" i="1"/>
  <c r="D1987" i="1"/>
  <c r="B1987" i="1"/>
  <c r="A1987" i="1"/>
  <c r="J1986" i="1"/>
  <c r="I1986" i="1"/>
  <c r="H1986" i="1"/>
  <c r="G1986" i="1"/>
  <c r="F1986" i="1"/>
  <c r="D1986" i="1"/>
  <c r="B1986" i="1"/>
  <c r="A1986" i="1"/>
  <c r="J1985" i="1"/>
  <c r="I1985" i="1"/>
  <c r="H1985" i="1"/>
  <c r="G1985" i="1"/>
  <c r="F1985" i="1"/>
  <c r="D1985" i="1"/>
  <c r="B1985" i="1"/>
  <c r="A1985" i="1"/>
  <c r="J1984" i="1"/>
  <c r="I1984" i="1"/>
  <c r="H1984" i="1"/>
  <c r="G1984" i="1"/>
  <c r="F1984" i="1"/>
  <c r="D1984" i="1"/>
  <c r="B1984" i="1"/>
  <c r="A1984" i="1"/>
  <c r="J1983" i="1"/>
  <c r="I1983" i="1"/>
  <c r="H1983" i="1"/>
  <c r="G1983" i="1"/>
  <c r="F1983" i="1"/>
  <c r="D1983" i="1"/>
  <c r="B1983" i="1"/>
  <c r="A1983" i="1"/>
  <c r="J1982" i="1"/>
  <c r="I1982" i="1"/>
  <c r="H1982" i="1"/>
  <c r="G1982" i="1"/>
  <c r="F1982" i="1"/>
  <c r="D1982" i="1"/>
  <c r="B1982" i="1"/>
  <c r="A1982" i="1"/>
  <c r="J1981" i="1"/>
  <c r="I1981" i="1"/>
  <c r="H1981" i="1"/>
  <c r="G1981" i="1"/>
  <c r="F1981" i="1"/>
  <c r="D1981" i="1"/>
  <c r="B1981" i="1"/>
  <c r="A1981" i="1"/>
  <c r="J1980" i="1"/>
  <c r="I1980" i="1"/>
  <c r="H1980" i="1"/>
  <c r="G1980" i="1"/>
  <c r="F1980" i="1"/>
  <c r="D1980" i="1"/>
  <c r="B1980" i="1"/>
  <c r="A1980" i="1"/>
  <c r="J1979" i="1"/>
  <c r="I1979" i="1"/>
  <c r="H1979" i="1"/>
  <c r="G1979" i="1"/>
  <c r="F1979" i="1"/>
  <c r="D1979" i="1"/>
  <c r="B1979" i="1"/>
  <c r="A1979" i="1"/>
  <c r="J1978" i="1"/>
  <c r="I1978" i="1"/>
  <c r="H1978" i="1"/>
  <c r="G1978" i="1"/>
  <c r="F1978" i="1"/>
  <c r="D1978" i="1"/>
  <c r="B1978" i="1"/>
  <c r="A1978" i="1"/>
  <c r="J1977" i="1"/>
  <c r="I1977" i="1"/>
  <c r="H1977" i="1"/>
  <c r="G1977" i="1"/>
  <c r="F1977" i="1"/>
  <c r="D1977" i="1"/>
  <c r="B1977" i="1"/>
  <c r="A1977" i="1"/>
  <c r="J1976" i="1"/>
  <c r="I1976" i="1"/>
  <c r="H1976" i="1"/>
  <c r="G1976" i="1"/>
  <c r="F1976" i="1"/>
  <c r="D1976" i="1"/>
  <c r="B1976" i="1"/>
  <c r="A1976" i="1"/>
  <c r="J1975" i="1"/>
  <c r="I1975" i="1"/>
  <c r="H1975" i="1"/>
  <c r="G1975" i="1"/>
  <c r="F1975" i="1"/>
  <c r="D1975" i="1"/>
  <c r="B1975" i="1"/>
  <c r="A1975" i="1"/>
  <c r="J1974" i="1"/>
  <c r="I1974" i="1"/>
  <c r="H1974" i="1"/>
  <c r="G1974" i="1"/>
  <c r="F1974" i="1"/>
  <c r="D1974" i="1"/>
  <c r="B1974" i="1"/>
  <c r="A1974" i="1"/>
  <c r="J1973" i="1"/>
  <c r="I1973" i="1"/>
  <c r="H1973" i="1"/>
  <c r="G1973" i="1"/>
  <c r="F1973" i="1"/>
  <c r="D1973" i="1"/>
  <c r="B1973" i="1"/>
  <c r="A1973" i="1"/>
  <c r="J1972" i="1"/>
  <c r="I1972" i="1"/>
  <c r="H1972" i="1"/>
  <c r="G1972" i="1"/>
  <c r="F1972" i="1"/>
  <c r="D1972" i="1"/>
  <c r="B1972" i="1"/>
  <c r="A1972" i="1"/>
  <c r="J1971" i="1"/>
  <c r="I1971" i="1"/>
  <c r="H1971" i="1"/>
  <c r="G1971" i="1"/>
  <c r="F1971" i="1"/>
  <c r="D1971" i="1"/>
  <c r="B1971" i="1"/>
  <c r="A1971" i="1"/>
  <c r="J1970" i="1"/>
  <c r="I1970" i="1"/>
  <c r="H1970" i="1"/>
  <c r="G1970" i="1"/>
  <c r="F1970" i="1"/>
  <c r="D1970" i="1"/>
  <c r="B1970" i="1"/>
  <c r="A1970" i="1"/>
  <c r="J1969" i="1"/>
  <c r="I1969" i="1"/>
  <c r="G1969" i="1"/>
  <c r="F1969" i="1"/>
  <c r="A1969" i="1"/>
  <c r="J1968" i="1"/>
  <c r="I1968" i="1"/>
  <c r="H1968" i="1"/>
  <c r="G1968" i="1"/>
  <c r="F1968" i="1"/>
  <c r="D1968" i="1"/>
  <c r="B1968" i="1"/>
  <c r="A1968" i="1"/>
  <c r="J1967" i="1"/>
  <c r="I1967" i="1"/>
  <c r="H1967" i="1"/>
  <c r="G1967" i="1"/>
  <c r="F1967" i="1"/>
  <c r="D1967" i="1"/>
  <c r="B1967" i="1"/>
  <c r="A1967" i="1"/>
  <c r="J1966" i="1"/>
  <c r="I1966" i="1"/>
  <c r="H1966" i="1"/>
  <c r="G1966" i="1"/>
  <c r="F1966" i="1"/>
  <c r="D1966" i="1"/>
  <c r="B1966" i="1"/>
  <c r="A1966" i="1"/>
  <c r="J1965" i="1"/>
  <c r="I1965" i="1"/>
  <c r="H1965" i="1"/>
  <c r="G1965" i="1"/>
  <c r="F1965" i="1"/>
  <c r="D1965" i="1"/>
  <c r="B1965" i="1"/>
  <c r="A1965" i="1"/>
  <c r="J1964" i="1"/>
  <c r="I1964" i="1"/>
  <c r="H1964" i="1"/>
  <c r="G1964" i="1"/>
  <c r="F1964" i="1"/>
  <c r="D1964" i="1"/>
  <c r="B1964" i="1"/>
  <c r="A1964" i="1"/>
  <c r="J1963" i="1"/>
  <c r="I1963" i="1"/>
  <c r="H1963" i="1"/>
  <c r="G1963" i="1"/>
  <c r="F1963" i="1"/>
  <c r="D1963" i="1"/>
  <c r="B1963" i="1"/>
  <c r="A1963" i="1"/>
  <c r="J1962" i="1"/>
  <c r="I1962" i="1"/>
  <c r="H1962" i="1"/>
  <c r="G1962" i="1"/>
  <c r="F1962" i="1"/>
  <c r="D1962" i="1"/>
  <c r="B1962" i="1"/>
  <c r="A1962" i="1"/>
  <c r="J1961" i="1"/>
  <c r="I1961" i="1"/>
  <c r="H1961" i="1"/>
  <c r="G1961" i="1"/>
  <c r="F1961" i="1"/>
  <c r="D1961" i="1"/>
  <c r="B1961" i="1"/>
  <c r="A1961" i="1"/>
  <c r="J1960" i="1"/>
  <c r="I1960" i="1"/>
  <c r="H1960" i="1"/>
  <c r="G1960" i="1"/>
  <c r="F1960" i="1"/>
  <c r="D1960" i="1"/>
  <c r="B1960" i="1"/>
  <c r="A1960" i="1"/>
  <c r="J1959" i="1"/>
  <c r="I1959" i="1"/>
  <c r="H1959" i="1"/>
  <c r="G1959" i="1"/>
  <c r="F1959" i="1"/>
  <c r="D1959" i="1"/>
  <c r="B1959" i="1"/>
  <c r="A1959" i="1"/>
  <c r="J1958" i="1"/>
  <c r="I1958" i="1"/>
  <c r="H1958" i="1"/>
  <c r="G1958" i="1"/>
  <c r="F1958" i="1"/>
  <c r="D1958" i="1"/>
  <c r="B1958" i="1"/>
  <c r="A1958" i="1"/>
  <c r="J1957" i="1"/>
  <c r="I1957" i="1"/>
  <c r="H1957" i="1"/>
  <c r="G1957" i="1"/>
  <c r="F1957" i="1"/>
  <c r="D1957" i="1"/>
  <c r="B1957" i="1"/>
  <c r="A1957" i="1"/>
  <c r="J1956" i="1"/>
  <c r="I1956" i="1"/>
  <c r="H1956" i="1"/>
  <c r="G1956" i="1"/>
  <c r="F1956" i="1"/>
  <c r="D1956" i="1"/>
  <c r="B1956" i="1"/>
  <c r="A1956" i="1"/>
  <c r="J1955" i="1"/>
  <c r="I1955" i="1"/>
  <c r="H1955" i="1"/>
  <c r="G1955" i="1"/>
  <c r="F1955" i="1"/>
  <c r="D1955" i="1"/>
  <c r="B1955" i="1"/>
  <c r="A1955" i="1"/>
  <c r="J1954" i="1"/>
  <c r="I1954" i="1"/>
  <c r="H1954" i="1"/>
  <c r="G1954" i="1"/>
  <c r="F1954" i="1"/>
  <c r="D1954" i="1"/>
  <c r="B1954" i="1"/>
  <c r="A1954" i="1"/>
  <c r="J1953" i="1"/>
  <c r="I1953" i="1"/>
  <c r="H1953" i="1"/>
  <c r="G1953" i="1"/>
  <c r="F1953" i="1"/>
  <c r="D1953" i="1"/>
  <c r="B1953" i="1"/>
  <c r="A1953" i="1"/>
  <c r="J1952" i="1"/>
  <c r="I1952" i="1"/>
  <c r="H1952" i="1"/>
  <c r="G1952" i="1"/>
  <c r="F1952" i="1"/>
  <c r="D1952" i="1"/>
  <c r="B1952" i="1"/>
  <c r="A1952" i="1"/>
  <c r="J1951" i="1"/>
  <c r="I1951" i="1"/>
  <c r="H1951" i="1"/>
  <c r="G1951" i="1"/>
  <c r="F1951" i="1"/>
  <c r="D1951" i="1"/>
  <c r="B1951" i="1"/>
  <c r="A1951" i="1"/>
  <c r="J1950" i="1"/>
  <c r="I1950" i="1"/>
  <c r="H1950" i="1"/>
  <c r="G1950" i="1"/>
  <c r="F1950" i="1"/>
  <c r="D1950" i="1"/>
  <c r="B1950" i="1"/>
  <c r="A1950" i="1"/>
  <c r="J1949" i="1"/>
  <c r="I1949" i="1"/>
  <c r="H1949" i="1"/>
  <c r="G1949" i="1"/>
  <c r="F1949" i="1"/>
  <c r="D1949" i="1"/>
  <c r="B1949" i="1"/>
  <c r="A1949" i="1"/>
  <c r="J1948" i="1"/>
  <c r="I1948" i="1"/>
  <c r="H1948" i="1"/>
  <c r="G1948" i="1"/>
  <c r="F1948" i="1"/>
  <c r="D1948" i="1"/>
  <c r="B1948" i="1"/>
  <c r="A1948" i="1"/>
  <c r="J1947" i="1"/>
  <c r="I1947" i="1"/>
  <c r="H1947" i="1"/>
  <c r="G1947" i="1"/>
  <c r="F1947" i="1"/>
  <c r="D1947" i="1"/>
  <c r="B1947" i="1"/>
  <c r="A1947" i="1"/>
  <c r="J1946" i="1"/>
  <c r="I1946" i="1"/>
  <c r="H1946" i="1"/>
  <c r="G1946" i="1"/>
  <c r="F1946" i="1"/>
  <c r="D1946" i="1"/>
  <c r="B1946" i="1"/>
  <c r="A1946" i="1"/>
  <c r="J1945" i="1"/>
  <c r="I1945" i="1"/>
  <c r="H1945" i="1"/>
  <c r="G1945" i="1"/>
  <c r="F1945" i="1"/>
  <c r="D1945" i="1"/>
  <c r="B1945" i="1"/>
  <c r="A1945" i="1"/>
  <c r="J1944" i="1"/>
  <c r="I1944" i="1"/>
  <c r="H1944" i="1"/>
  <c r="G1944" i="1"/>
  <c r="F1944" i="1"/>
  <c r="D1944" i="1"/>
  <c r="B1944" i="1"/>
  <c r="A1944" i="1"/>
  <c r="J1943" i="1"/>
  <c r="I1943" i="1"/>
  <c r="H1943" i="1"/>
  <c r="G1943" i="1"/>
  <c r="F1943" i="1"/>
  <c r="D1943" i="1"/>
  <c r="B1943" i="1"/>
  <c r="A1943" i="1"/>
  <c r="J1942" i="1"/>
  <c r="I1942" i="1"/>
  <c r="H1942" i="1"/>
  <c r="G1942" i="1"/>
  <c r="F1942" i="1"/>
  <c r="D1942" i="1"/>
  <c r="B1942" i="1"/>
  <c r="A1942" i="1"/>
  <c r="J1941" i="1"/>
  <c r="I1941" i="1"/>
  <c r="H1941" i="1"/>
  <c r="G1941" i="1"/>
  <c r="F1941" i="1"/>
  <c r="D1941" i="1"/>
  <c r="B1941" i="1"/>
  <c r="A1941" i="1"/>
  <c r="J1940" i="1"/>
  <c r="I1940" i="1"/>
  <c r="H1940" i="1"/>
  <c r="G1940" i="1"/>
  <c r="F1940" i="1"/>
  <c r="D1940" i="1"/>
  <c r="B1940" i="1"/>
  <c r="A1940" i="1"/>
  <c r="J1939" i="1"/>
  <c r="I1939" i="1"/>
  <c r="H1939" i="1"/>
  <c r="G1939" i="1"/>
  <c r="F1939" i="1"/>
  <c r="D1939" i="1"/>
  <c r="B1939" i="1"/>
  <c r="A1939" i="1"/>
  <c r="J1938" i="1"/>
  <c r="I1938" i="1"/>
  <c r="H1938" i="1"/>
  <c r="G1938" i="1"/>
  <c r="F1938" i="1"/>
  <c r="D1938" i="1"/>
  <c r="B1938" i="1"/>
  <c r="A1938" i="1"/>
  <c r="J1937" i="1"/>
  <c r="I1937" i="1"/>
  <c r="H1937" i="1"/>
  <c r="G1937" i="1"/>
  <c r="F1937" i="1"/>
  <c r="D1937" i="1"/>
  <c r="B1937" i="1"/>
  <c r="A1937" i="1"/>
  <c r="J1936" i="1"/>
  <c r="I1936" i="1"/>
  <c r="H1936" i="1"/>
  <c r="G1936" i="1"/>
  <c r="F1936" i="1"/>
  <c r="D1936" i="1"/>
  <c r="B1936" i="1"/>
  <c r="A1936" i="1"/>
  <c r="J1935" i="1"/>
  <c r="I1935" i="1"/>
  <c r="H1935" i="1"/>
  <c r="G1935" i="1"/>
  <c r="F1935" i="1"/>
  <c r="D1935" i="1"/>
  <c r="B1935" i="1"/>
  <c r="A1935" i="1"/>
  <c r="J1934" i="1"/>
  <c r="I1934" i="1"/>
  <c r="H1934" i="1"/>
  <c r="G1934" i="1"/>
  <c r="F1934" i="1"/>
  <c r="D1934" i="1"/>
  <c r="B1934" i="1"/>
  <c r="A1934" i="1"/>
  <c r="J1933" i="1"/>
  <c r="I1933" i="1"/>
  <c r="H1933" i="1"/>
  <c r="G1933" i="1"/>
  <c r="F1933" i="1"/>
  <c r="D1933" i="1"/>
  <c r="B1933" i="1"/>
  <c r="A1933" i="1"/>
  <c r="J1932" i="1"/>
  <c r="I1932" i="1"/>
  <c r="H1932" i="1"/>
  <c r="G1932" i="1"/>
  <c r="F1932" i="1"/>
  <c r="D1932" i="1"/>
  <c r="B1932" i="1"/>
  <c r="A1932" i="1"/>
  <c r="J1931" i="1"/>
  <c r="I1931" i="1"/>
  <c r="H1931" i="1"/>
  <c r="G1931" i="1"/>
  <c r="F1931" i="1"/>
  <c r="D1931" i="1"/>
  <c r="B1931" i="1"/>
  <c r="A1931" i="1"/>
  <c r="J1930" i="1"/>
  <c r="I1930" i="1"/>
  <c r="H1930" i="1"/>
  <c r="G1930" i="1"/>
  <c r="F1930" i="1"/>
  <c r="D1930" i="1"/>
  <c r="B1930" i="1"/>
  <c r="A1930" i="1"/>
  <c r="J1929" i="1"/>
  <c r="I1929" i="1"/>
  <c r="H1929" i="1"/>
  <c r="G1929" i="1"/>
  <c r="F1929" i="1"/>
  <c r="D1929" i="1"/>
  <c r="B1929" i="1"/>
  <c r="A1929" i="1"/>
  <c r="J1928" i="1"/>
  <c r="I1928" i="1"/>
  <c r="H1928" i="1"/>
  <c r="G1928" i="1"/>
  <c r="F1928" i="1"/>
  <c r="D1928" i="1"/>
  <c r="B1928" i="1"/>
  <c r="A1928" i="1"/>
  <c r="J1927" i="1"/>
  <c r="I1927" i="1"/>
  <c r="H1927" i="1"/>
  <c r="G1927" i="1"/>
  <c r="F1927" i="1"/>
  <c r="D1927" i="1"/>
  <c r="B1927" i="1"/>
  <c r="A1927" i="1"/>
  <c r="J1926" i="1"/>
  <c r="I1926" i="1"/>
  <c r="H1926" i="1"/>
  <c r="G1926" i="1"/>
  <c r="F1926" i="1"/>
  <c r="D1926" i="1"/>
  <c r="B1926" i="1"/>
  <c r="A1926" i="1"/>
  <c r="J1925" i="1"/>
  <c r="I1925" i="1"/>
  <c r="H1925" i="1"/>
  <c r="G1925" i="1"/>
  <c r="F1925" i="1"/>
  <c r="D1925" i="1"/>
  <c r="B1925" i="1"/>
  <c r="A1925" i="1"/>
  <c r="J1924" i="1"/>
  <c r="I1924" i="1"/>
  <c r="H1924" i="1"/>
  <c r="G1924" i="1"/>
  <c r="F1924" i="1"/>
  <c r="D1924" i="1"/>
  <c r="B1924" i="1"/>
  <c r="A1924" i="1"/>
  <c r="J1923" i="1"/>
  <c r="I1923" i="1"/>
  <c r="H1923" i="1"/>
  <c r="G1923" i="1"/>
  <c r="F1923" i="1"/>
  <c r="D1923" i="1"/>
  <c r="B1923" i="1"/>
  <c r="A1923" i="1"/>
  <c r="J1922" i="1"/>
  <c r="I1922" i="1"/>
  <c r="H1922" i="1"/>
  <c r="G1922" i="1"/>
  <c r="F1922" i="1"/>
  <c r="D1922" i="1"/>
  <c r="B1922" i="1"/>
  <c r="A1922" i="1"/>
  <c r="J1921" i="1"/>
  <c r="I1921" i="1"/>
  <c r="H1921" i="1"/>
  <c r="G1921" i="1"/>
  <c r="F1921" i="1"/>
  <c r="D1921" i="1"/>
  <c r="B1921" i="1"/>
  <c r="A1921" i="1"/>
  <c r="J1920" i="1"/>
  <c r="I1920" i="1"/>
  <c r="H1920" i="1"/>
  <c r="G1920" i="1"/>
  <c r="F1920" i="1"/>
  <c r="D1920" i="1"/>
  <c r="B1920" i="1"/>
  <c r="A1920" i="1"/>
  <c r="J1919" i="1"/>
  <c r="I1919" i="1"/>
  <c r="H1919" i="1"/>
  <c r="G1919" i="1"/>
  <c r="F1919" i="1"/>
  <c r="D1919" i="1"/>
  <c r="B1919" i="1"/>
  <c r="A1919" i="1"/>
  <c r="J1918" i="1"/>
  <c r="I1918" i="1"/>
  <c r="H1918" i="1"/>
  <c r="G1918" i="1"/>
  <c r="F1918" i="1"/>
  <c r="D1918" i="1"/>
  <c r="B1918" i="1"/>
  <c r="A1918" i="1"/>
  <c r="J1917" i="1"/>
  <c r="I1917" i="1"/>
  <c r="H1917" i="1"/>
  <c r="G1917" i="1"/>
  <c r="F1917" i="1"/>
  <c r="D1917" i="1"/>
  <c r="B1917" i="1"/>
  <c r="A1917" i="1"/>
  <c r="J1916" i="1"/>
  <c r="I1916" i="1"/>
  <c r="H1916" i="1"/>
  <c r="G1916" i="1"/>
  <c r="F1916" i="1"/>
  <c r="D1916" i="1"/>
  <c r="B1916" i="1"/>
  <c r="A1916" i="1"/>
  <c r="J1915" i="1"/>
  <c r="I1915" i="1"/>
  <c r="H1915" i="1"/>
  <c r="G1915" i="1"/>
  <c r="F1915" i="1"/>
  <c r="D1915" i="1"/>
  <c r="B1915" i="1"/>
  <c r="A1915" i="1"/>
  <c r="J1914" i="1"/>
  <c r="I1914" i="1"/>
  <c r="H1914" i="1"/>
  <c r="G1914" i="1"/>
  <c r="F1914" i="1"/>
  <c r="D1914" i="1"/>
  <c r="B1914" i="1"/>
  <c r="A1914" i="1"/>
  <c r="J1913" i="1"/>
  <c r="I1913" i="1"/>
  <c r="H1913" i="1"/>
  <c r="G1913" i="1"/>
  <c r="F1913" i="1"/>
  <c r="D1913" i="1"/>
  <c r="B1913" i="1"/>
  <c r="A1913" i="1"/>
  <c r="J1912" i="1"/>
  <c r="I1912" i="1"/>
  <c r="H1912" i="1"/>
  <c r="G1912" i="1"/>
  <c r="F1912" i="1"/>
  <c r="D1912" i="1"/>
  <c r="B1912" i="1"/>
  <c r="A1912" i="1"/>
  <c r="J1911" i="1"/>
  <c r="I1911" i="1"/>
  <c r="H1911" i="1"/>
  <c r="G1911" i="1"/>
  <c r="F1911" i="1"/>
  <c r="D1911" i="1"/>
  <c r="B1911" i="1"/>
  <c r="A1911" i="1"/>
  <c r="J1910" i="1"/>
  <c r="I1910" i="1"/>
  <c r="H1910" i="1"/>
  <c r="G1910" i="1"/>
  <c r="F1910" i="1"/>
  <c r="D1910" i="1"/>
  <c r="B1910" i="1"/>
  <c r="A1910" i="1"/>
  <c r="J1909" i="1"/>
  <c r="I1909" i="1"/>
  <c r="H1909" i="1"/>
  <c r="G1909" i="1"/>
  <c r="F1909" i="1"/>
  <c r="D1909" i="1"/>
  <c r="B1909" i="1"/>
  <c r="A1909" i="1"/>
  <c r="J1908" i="1"/>
  <c r="I1908" i="1"/>
  <c r="H1908" i="1"/>
  <c r="G1908" i="1"/>
  <c r="F1908" i="1"/>
  <c r="D1908" i="1"/>
  <c r="B1908" i="1"/>
  <c r="A1908" i="1"/>
  <c r="J1907" i="1"/>
  <c r="I1907" i="1"/>
  <c r="H1907" i="1"/>
  <c r="G1907" i="1"/>
  <c r="F1907" i="1"/>
  <c r="D1907" i="1"/>
  <c r="B1907" i="1"/>
  <c r="A1907" i="1"/>
  <c r="J1906" i="1"/>
  <c r="I1906" i="1"/>
  <c r="H1906" i="1"/>
  <c r="G1906" i="1"/>
  <c r="F1906" i="1"/>
  <c r="D1906" i="1"/>
  <c r="B1906" i="1"/>
  <c r="A1906" i="1"/>
  <c r="J1905" i="1"/>
  <c r="I1905" i="1"/>
  <c r="H1905" i="1"/>
  <c r="G1905" i="1"/>
  <c r="F1905" i="1"/>
  <c r="D1905" i="1"/>
  <c r="B1905" i="1"/>
  <c r="A1905" i="1"/>
  <c r="J1904" i="1"/>
  <c r="I1904" i="1"/>
  <c r="H1904" i="1"/>
  <c r="G1904" i="1"/>
  <c r="F1904" i="1"/>
  <c r="D1904" i="1"/>
  <c r="B1904" i="1"/>
  <c r="A1904" i="1"/>
  <c r="J1903" i="1"/>
  <c r="I1903" i="1"/>
  <c r="H1903" i="1"/>
  <c r="G1903" i="1"/>
  <c r="F1903" i="1"/>
  <c r="D1903" i="1"/>
  <c r="B1903" i="1"/>
  <c r="A1903" i="1"/>
  <c r="J1902" i="1"/>
  <c r="I1902" i="1"/>
  <c r="H1902" i="1"/>
  <c r="G1902" i="1"/>
  <c r="F1902" i="1"/>
  <c r="D1902" i="1"/>
  <c r="B1902" i="1"/>
  <c r="A1902" i="1"/>
  <c r="J1901" i="1"/>
  <c r="I1901" i="1"/>
  <c r="H1901" i="1"/>
  <c r="G1901" i="1"/>
  <c r="F1901" i="1"/>
  <c r="D1901" i="1"/>
  <c r="B1901" i="1"/>
  <c r="A1901" i="1"/>
  <c r="J1900" i="1"/>
  <c r="I1900" i="1"/>
  <c r="H1900" i="1"/>
  <c r="G1900" i="1"/>
  <c r="F1900" i="1"/>
  <c r="D1900" i="1"/>
  <c r="B1900" i="1"/>
  <c r="A1900" i="1"/>
  <c r="J1899" i="1"/>
  <c r="I1899" i="1"/>
  <c r="H1899" i="1"/>
  <c r="G1899" i="1"/>
  <c r="F1899" i="1"/>
  <c r="D1899" i="1"/>
  <c r="B1899" i="1"/>
  <c r="A1899" i="1"/>
  <c r="J1898" i="1"/>
  <c r="I1898" i="1"/>
  <c r="H1898" i="1"/>
  <c r="G1898" i="1"/>
  <c r="F1898" i="1"/>
  <c r="D1898" i="1"/>
  <c r="B1898" i="1"/>
  <c r="A1898" i="1"/>
  <c r="J1897" i="1"/>
  <c r="I1897" i="1"/>
  <c r="H1897" i="1"/>
  <c r="G1897" i="1"/>
  <c r="F1897" i="1"/>
  <c r="D1897" i="1"/>
  <c r="B1897" i="1"/>
  <c r="A1897" i="1"/>
  <c r="J1896" i="1"/>
  <c r="I1896" i="1"/>
  <c r="H1896" i="1"/>
  <c r="G1896" i="1"/>
  <c r="F1896" i="1"/>
  <c r="D1896" i="1"/>
  <c r="B1896" i="1"/>
  <c r="A1896" i="1"/>
  <c r="J1895" i="1"/>
  <c r="I1895" i="1"/>
  <c r="H1895" i="1"/>
  <c r="G1895" i="1"/>
  <c r="F1895" i="1"/>
  <c r="D1895" i="1"/>
  <c r="B1895" i="1"/>
  <c r="A1895" i="1"/>
  <c r="J1894" i="1"/>
  <c r="I1894" i="1"/>
  <c r="H1894" i="1"/>
  <c r="G1894" i="1"/>
  <c r="F1894" i="1"/>
  <c r="D1894" i="1"/>
  <c r="B1894" i="1"/>
  <c r="A1894" i="1"/>
  <c r="J1893" i="1"/>
  <c r="I1893" i="1"/>
  <c r="H1893" i="1"/>
  <c r="G1893" i="1"/>
  <c r="F1893" i="1"/>
  <c r="D1893" i="1"/>
  <c r="B1893" i="1"/>
  <c r="A1893" i="1"/>
  <c r="J1892" i="1"/>
  <c r="I1892" i="1"/>
  <c r="H1892" i="1"/>
  <c r="G1892" i="1"/>
  <c r="F1892" i="1"/>
  <c r="D1892" i="1"/>
  <c r="B1892" i="1"/>
  <c r="A1892" i="1"/>
  <c r="J1891" i="1"/>
  <c r="I1891" i="1"/>
  <c r="H1891" i="1"/>
  <c r="G1891" i="1"/>
  <c r="F1891" i="1"/>
  <c r="D1891" i="1"/>
  <c r="B1891" i="1"/>
  <c r="A1891" i="1"/>
  <c r="J1890" i="1"/>
  <c r="I1890" i="1"/>
  <c r="H1890" i="1"/>
  <c r="G1890" i="1"/>
  <c r="F1890" i="1"/>
  <c r="D1890" i="1"/>
  <c r="B1890" i="1"/>
  <c r="A1890" i="1"/>
  <c r="J1889" i="1"/>
  <c r="I1889" i="1"/>
  <c r="H1889" i="1"/>
  <c r="G1889" i="1"/>
  <c r="F1889" i="1"/>
  <c r="D1889" i="1"/>
  <c r="B1889" i="1"/>
  <c r="A1889" i="1"/>
  <c r="J1888" i="1"/>
  <c r="I1888" i="1"/>
  <c r="H1888" i="1"/>
  <c r="G1888" i="1"/>
  <c r="F1888" i="1"/>
  <c r="D1888" i="1"/>
  <c r="B1888" i="1"/>
  <c r="A1888" i="1"/>
  <c r="J1887" i="1"/>
  <c r="I1887" i="1"/>
  <c r="H1887" i="1"/>
  <c r="G1887" i="1"/>
  <c r="F1887" i="1"/>
  <c r="D1887" i="1"/>
  <c r="B1887" i="1"/>
  <c r="A1887" i="1"/>
  <c r="J1886" i="1"/>
  <c r="I1886" i="1"/>
  <c r="H1886" i="1"/>
  <c r="G1886" i="1"/>
  <c r="F1886" i="1"/>
  <c r="D1886" i="1"/>
  <c r="B1886" i="1"/>
  <c r="A1886" i="1"/>
  <c r="J1885" i="1"/>
  <c r="I1885" i="1"/>
  <c r="H1885" i="1"/>
  <c r="G1885" i="1"/>
  <c r="F1885" i="1"/>
  <c r="D1885" i="1"/>
  <c r="B1885" i="1"/>
  <c r="A1885" i="1"/>
  <c r="J1884" i="1"/>
  <c r="I1884" i="1"/>
  <c r="H1884" i="1"/>
  <c r="G1884" i="1"/>
  <c r="F1884" i="1"/>
  <c r="D1884" i="1"/>
  <c r="B1884" i="1"/>
  <c r="A1884" i="1"/>
  <c r="J1883" i="1"/>
  <c r="I1883" i="1"/>
  <c r="H1883" i="1"/>
  <c r="G1883" i="1"/>
  <c r="F1883" i="1"/>
  <c r="D1883" i="1"/>
  <c r="B1883" i="1"/>
  <c r="A1883" i="1"/>
  <c r="J1882" i="1"/>
  <c r="I1882" i="1"/>
  <c r="H1882" i="1"/>
  <c r="G1882" i="1"/>
  <c r="F1882" i="1"/>
  <c r="D1882" i="1"/>
  <c r="B1882" i="1"/>
  <c r="A1882" i="1"/>
  <c r="J1881" i="1"/>
  <c r="I1881" i="1"/>
  <c r="H1881" i="1"/>
  <c r="G1881" i="1"/>
  <c r="F1881" i="1"/>
  <c r="D1881" i="1"/>
  <c r="B1881" i="1"/>
  <c r="A1881" i="1"/>
  <c r="J1880" i="1"/>
  <c r="I1880" i="1"/>
  <c r="H1880" i="1"/>
  <c r="G1880" i="1"/>
  <c r="F1880" i="1"/>
  <c r="D1880" i="1"/>
  <c r="B1880" i="1"/>
  <c r="A1880" i="1"/>
  <c r="J1879" i="1"/>
  <c r="I1879" i="1"/>
  <c r="H1879" i="1"/>
  <c r="G1879" i="1"/>
  <c r="F1879" i="1"/>
  <c r="D1879" i="1"/>
  <c r="B1879" i="1"/>
  <c r="A1879" i="1"/>
  <c r="J1878" i="1"/>
  <c r="I1878" i="1"/>
  <c r="H1878" i="1"/>
  <c r="G1878" i="1"/>
  <c r="F1878" i="1"/>
  <c r="D1878" i="1"/>
  <c r="B1878" i="1"/>
  <c r="A1878" i="1"/>
  <c r="J1877" i="1"/>
  <c r="I1877" i="1"/>
  <c r="H1877" i="1"/>
  <c r="G1877" i="1"/>
  <c r="F1877" i="1"/>
  <c r="D1877" i="1"/>
  <c r="B1877" i="1"/>
  <c r="A1877" i="1"/>
  <c r="J1876" i="1"/>
  <c r="I1876" i="1"/>
  <c r="H1876" i="1"/>
  <c r="G1876" i="1"/>
  <c r="F1876" i="1"/>
  <c r="D1876" i="1"/>
  <c r="B1876" i="1"/>
  <c r="A1876" i="1"/>
  <c r="J1875" i="1"/>
  <c r="I1875" i="1"/>
  <c r="H1875" i="1"/>
  <c r="G1875" i="1"/>
  <c r="F1875" i="1"/>
  <c r="D1875" i="1"/>
  <c r="B1875" i="1"/>
  <c r="A1875" i="1"/>
  <c r="J1874" i="1"/>
  <c r="I1874" i="1"/>
  <c r="H1874" i="1"/>
  <c r="G1874" i="1"/>
  <c r="F1874" i="1"/>
  <c r="D1874" i="1"/>
  <c r="B1874" i="1"/>
  <c r="A1874" i="1"/>
  <c r="J1873" i="1"/>
  <c r="I1873" i="1"/>
  <c r="G1873" i="1"/>
  <c r="F1873" i="1"/>
  <c r="A1873" i="1"/>
  <c r="J1872" i="1"/>
  <c r="I1872" i="1"/>
  <c r="H1872" i="1"/>
  <c r="G1872" i="1"/>
  <c r="F1872" i="1"/>
  <c r="D1872" i="1"/>
  <c r="B1872" i="1"/>
  <c r="A1872" i="1"/>
  <c r="J1871" i="1"/>
  <c r="I1871" i="1"/>
  <c r="H1871" i="1"/>
  <c r="G1871" i="1"/>
  <c r="F1871" i="1"/>
  <c r="D1871" i="1"/>
  <c r="B1871" i="1"/>
  <c r="A1871" i="1"/>
  <c r="J1870" i="1"/>
  <c r="I1870" i="1"/>
  <c r="H1870" i="1"/>
  <c r="G1870" i="1"/>
  <c r="F1870" i="1"/>
  <c r="D1870" i="1"/>
  <c r="B1870" i="1"/>
  <c r="A1870" i="1"/>
  <c r="J1869" i="1"/>
  <c r="I1869" i="1"/>
  <c r="H1869" i="1"/>
  <c r="G1869" i="1"/>
  <c r="F1869" i="1"/>
  <c r="D1869" i="1"/>
  <c r="B1869" i="1"/>
  <c r="A1869" i="1"/>
  <c r="J1868" i="1"/>
  <c r="I1868" i="1"/>
  <c r="H1868" i="1"/>
  <c r="G1868" i="1"/>
  <c r="F1868" i="1"/>
  <c r="D1868" i="1"/>
  <c r="B1868" i="1"/>
  <c r="A1868" i="1"/>
  <c r="J1867" i="1"/>
  <c r="I1867" i="1"/>
  <c r="H1867" i="1"/>
  <c r="G1867" i="1"/>
  <c r="F1867" i="1"/>
  <c r="D1867" i="1"/>
  <c r="B1867" i="1"/>
  <c r="A1867" i="1"/>
  <c r="J1866" i="1"/>
  <c r="I1866" i="1"/>
  <c r="H1866" i="1"/>
  <c r="G1866" i="1"/>
  <c r="F1866" i="1"/>
  <c r="D1866" i="1"/>
  <c r="B1866" i="1"/>
  <c r="A1866" i="1"/>
  <c r="J1865" i="1"/>
  <c r="I1865" i="1"/>
  <c r="H1865" i="1"/>
  <c r="G1865" i="1"/>
  <c r="F1865" i="1"/>
  <c r="D1865" i="1"/>
  <c r="B1865" i="1"/>
  <c r="A1865" i="1"/>
  <c r="J1864" i="1"/>
  <c r="I1864" i="1"/>
  <c r="H1864" i="1"/>
  <c r="G1864" i="1"/>
  <c r="F1864" i="1"/>
  <c r="D1864" i="1"/>
  <c r="B1864" i="1"/>
  <c r="A1864" i="1"/>
  <c r="J1863" i="1"/>
  <c r="I1863" i="1"/>
  <c r="H1863" i="1"/>
  <c r="G1863" i="1"/>
  <c r="F1863" i="1"/>
  <c r="D1863" i="1"/>
  <c r="B1863" i="1"/>
  <c r="A1863" i="1"/>
  <c r="J1862" i="1"/>
  <c r="I1862" i="1"/>
  <c r="H1862" i="1"/>
  <c r="G1862" i="1"/>
  <c r="F1862" i="1"/>
  <c r="D1862" i="1"/>
  <c r="B1862" i="1"/>
  <c r="A1862" i="1"/>
  <c r="J1861" i="1"/>
  <c r="I1861" i="1"/>
  <c r="H1861" i="1"/>
  <c r="G1861" i="1"/>
  <c r="F1861" i="1"/>
  <c r="D1861" i="1"/>
  <c r="B1861" i="1"/>
  <c r="A1861" i="1"/>
  <c r="J1860" i="1"/>
  <c r="I1860" i="1"/>
  <c r="H1860" i="1"/>
  <c r="G1860" i="1"/>
  <c r="F1860" i="1"/>
  <c r="D1860" i="1"/>
  <c r="B1860" i="1"/>
  <c r="A1860" i="1"/>
  <c r="J1859" i="1"/>
  <c r="I1859" i="1"/>
  <c r="H1859" i="1"/>
  <c r="G1859" i="1"/>
  <c r="F1859" i="1"/>
  <c r="D1859" i="1"/>
  <c r="B1859" i="1"/>
  <c r="A1859" i="1"/>
  <c r="J1858" i="1"/>
  <c r="I1858" i="1"/>
  <c r="H1858" i="1"/>
  <c r="G1858" i="1"/>
  <c r="F1858" i="1"/>
  <c r="D1858" i="1"/>
  <c r="B1858" i="1"/>
  <c r="A1858" i="1"/>
  <c r="J1857" i="1"/>
  <c r="I1857" i="1"/>
  <c r="H1857" i="1"/>
  <c r="G1857" i="1"/>
  <c r="F1857" i="1"/>
  <c r="D1857" i="1"/>
  <c r="B1857" i="1"/>
  <c r="A1857" i="1"/>
  <c r="J1856" i="1"/>
  <c r="I1856" i="1"/>
  <c r="H1856" i="1"/>
  <c r="G1856" i="1"/>
  <c r="F1856" i="1"/>
  <c r="D1856" i="1"/>
  <c r="B1856" i="1"/>
  <c r="A1856" i="1"/>
  <c r="J1855" i="1"/>
  <c r="I1855" i="1"/>
  <c r="H1855" i="1"/>
  <c r="G1855" i="1"/>
  <c r="F1855" i="1"/>
  <c r="D1855" i="1"/>
  <c r="B1855" i="1"/>
  <c r="A1855" i="1"/>
  <c r="J1854" i="1"/>
  <c r="I1854" i="1"/>
  <c r="H1854" i="1"/>
  <c r="G1854" i="1"/>
  <c r="F1854" i="1"/>
  <c r="D1854" i="1"/>
  <c r="B1854" i="1"/>
  <c r="A1854" i="1"/>
  <c r="J1853" i="1"/>
  <c r="I1853" i="1"/>
  <c r="H1853" i="1"/>
  <c r="G1853" i="1"/>
  <c r="F1853" i="1"/>
  <c r="D1853" i="1"/>
  <c r="B1853" i="1"/>
  <c r="A1853" i="1"/>
  <c r="J1852" i="1"/>
  <c r="I1852" i="1"/>
  <c r="H1852" i="1"/>
  <c r="G1852" i="1"/>
  <c r="F1852" i="1"/>
  <c r="D1852" i="1"/>
  <c r="B1852" i="1"/>
  <c r="A1852" i="1"/>
  <c r="J1851" i="1"/>
  <c r="I1851" i="1"/>
  <c r="H1851" i="1"/>
  <c r="G1851" i="1"/>
  <c r="F1851" i="1"/>
  <c r="D1851" i="1"/>
  <c r="B1851" i="1"/>
  <c r="A1851" i="1"/>
  <c r="J1850" i="1"/>
  <c r="I1850" i="1"/>
  <c r="H1850" i="1"/>
  <c r="G1850" i="1"/>
  <c r="F1850" i="1"/>
  <c r="D1850" i="1"/>
  <c r="B1850" i="1"/>
  <c r="A1850" i="1"/>
  <c r="J1849" i="1"/>
  <c r="I1849" i="1"/>
  <c r="H1849" i="1"/>
  <c r="G1849" i="1"/>
  <c r="F1849" i="1"/>
  <c r="D1849" i="1"/>
  <c r="B1849" i="1"/>
  <c r="A1849" i="1"/>
  <c r="J1848" i="1"/>
  <c r="I1848" i="1"/>
  <c r="H1848" i="1"/>
  <c r="G1848" i="1"/>
  <c r="F1848" i="1"/>
  <c r="D1848" i="1"/>
  <c r="B1848" i="1"/>
  <c r="A1848" i="1"/>
  <c r="J1847" i="1"/>
  <c r="I1847" i="1"/>
  <c r="H1847" i="1"/>
  <c r="G1847" i="1"/>
  <c r="F1847" i="1"/>
  <c r="D1847" i="1"/>
  <c r="B1847" i="1"/>
  <c r="A1847" i="1"/>
  <c r="J1846" i="1"/>
  <c r="I1846" i="1"/>
  <c r="H1846" i="1"/>
  <c r="G1846" i="1"/>
  <c r="F1846" i="1"/>
  <c r="D1846" i="1"/>
  <c r="B1846" i="1"/>
  <c r="A1846" i="1"/>
  <c r="J1845" i="1"/>
  <c r="I1845" i="1"/>
  <c r="H1845" i="1"/>
  <c r="G1845" i="1"/>
  <c r="F1845" i="1"/>
  <c r="D1845" i="1"/>
  <c r="B1845" i="1"/>
  <c r="A1845" i="1"/>
  <c r="J1844" i="1"/>
  <c r="I1844" i="1"/>
  <c r="G1844" i="1"/>
  <c r="F1844" i="1"/>
  <c r="A1844" i="1"/>
  <c r="J1843" i="1"/>
  <c r="I1843" i="1"/>
  <c r="H1843" i="1"/>
  <c r="G1843" i="1"/>
  <c r="F1843" i="1"/>
  <c r="D1843" i="1"/>
  <c r="B1843" i="1"/>
  <c r="A1843" i="1"/>
  <c r="J1842" i="1"/>
  <c r="I1842" i="1"/>
  <c r="H1842" i="1"/>
  <c r="G1842" i="1"/>
  <c r="F1842" i="1"/>
  <c r="D1842" i="1"/>
  <c r="B1842" i="1"/>
  <c r="A1842" i="1"/>
  <c r="J1841" i="1"/>
  <c r="I1841" i="1"/>
  <c r="H1841" i="1"/>
  <c r="G1841" i="1"/>
  <c r="F1841" i="1"/>
  <c r="D1841" i="1"/>
  <c r="B1841" i="1"/>
  <c r="A1841" i="1"/>
  <c r="J1840" i="1"/>
  <c r="I1840" i="1"/>
  <c r="H1840" i="1"/>
  <c r="G1840" i="1"/>
  <c r="F1840" i="1"/>
  <c r="D1840" i="1"/>
  <c r="B1840" i="1"/>
  <c r="A1840" i="1"/>
  <c r="J1839" i="1"/>
  <c r="I1839" i="1"/>
  <c r="H1839" i="1"/>
  <c r="G1839" i="1"/>
  <c r="F1839" i="1"/>
  <c r="D1839" i="1"/>
  <c r="B1839" i="1"/>
  <c r="A1839" i="1"/>
  <c r="J1838" i="1"/>
  <c r="I1838" i="1"/>
  <c r="H1838" i="1"/>
  <c r="G1838" i="1"/>
  <c r="F1838" i="1"/>
  <c r="D1838" i="1"/>
  <c r="B1838" i="1"/>
  <c r="A1838" i="1"/>
  <c r="J1837" i="1"/>
  <c r="I1837" i="1"/>
  <c r="H1837" i="1"/>
  <c r="G1837" i="1"/>
  <c r="F1837" i="1"/>
  <c r="D1837" i="1"/>
  <c r="B1837" i="1"/>
  <c r="A1837" i="1"/>
  <c r="J1836" i="1"/>
  <c r="I1836" i="1"/>
  <c r="H1836" i="1"/>
  <c r="G1836" i="1"/>
  <c r="F1836" i="1"/>
  <c r="D1836" i="1"/>
  <c r="B1836" i="1"/>
  <c r="A1836" i="1"/>
  <c r="J1835" i="1"/>
  <c r="I1835" i="1"/>
  <c r="H1835" i="1"/>
  <c r="G1835" i="1"/>
  <c r="F1835" i="1"/>
  <c r="D1835" i="1"/>
  <c r="B1835" i="1"/>
  <c r="A1835" i="1"/>
  <c r="J1834" i="1"/>
  <c r="I1834" i="1"/>
  <c r="H1834" i="1"/>
  <c r="G1834" i="1"/>
  <c r="F1834" i="1"/>
  <c r="D1834" i="1"/>
  <c r="B1834" i="1"/>
  <c r="A1834" i="1"/>
  <c r="J1833" i="1"/>
  <c r="I1833" i="1"/>
  <c r="H1833" i="1"/>
  <c r="G1833" i="1"/>
  <c r="F1833" i="1"/>
  <c r="D1833" i="1"/>
  <c r="B1833" i="1"/>
  <c r="A1833" i="1"/>
  <c r="J1832" i="1"/>
  <c r="I1832" i="1"/>
  <c r="H1832" i="1"/>
  <c r="G1832" i="1"/>
  <c r="F1832" i="1"/>
  <c r="D1832" i="1"/>
  <c r="B1832" i="1"/>
  <c r="A1832" i="1"/>
  <c r="J1831" i="1"/>
  <c r="I1831" i="1"/>
  <c r="H1831" i="1"/>
  <c r="G1831" i="1"/>
  <c r="F1831" i="1"/>
  <c r="D1831" i="1"/>
  <c r="B1831" i="1"/>
  <c r="A1831" i="1"/>
  <c r="J1830" i="1"/>
  <c r="I1830" i="1"/>
  <c r="H1830" i="1"/>
  <c r="G1830" i="1"/>
  <c r="F1830" i="1"/>
  <c r="D1830" i="1"/>
  <c r="B1830" i="1"/>
  <c r="A1830" i="1"/>
  <c r="J1829" i="1"/>
  <c r="I1829" i="1"/>
  <c r="H1829" i="1"/>
  <c r="G1829" i="1"/>
  <c r="F1829" i="1"/>
  <c r="D1829" i="1"/>
  <c r="B1829" i="1"/>
  <c r="A1829" i="1"/>
  <c r="J1828" i="1"/>
  <c r="I1828" i="1"/>
  <c r="H1828" i="1"/>
  <c r="G1828" i="1"/>
  <c r="F1828" i="1"/>
  <c r="D1828" i="1"/>
  <c r="B1828" i="1"/>
  <c r="A1828" i="1"/>
  <c r="J1827" i="1"/>
  <c r="I1827" i="1"/>
  <c r="H1827" i="1"/>
  <c r="G1827" i="1"/>
  <c r="F1827" i="1"/>
  <c r="D1827" i="1"/>
  <c r="B1827" i="1"/>
  <c r="A1827" i="1"/>
  <c r="J1826" i="1"/>
  <c r="I1826" i="1"/>
  <c r="H1826" i="1"/>
  <c r="G1826" i="1"/>
  <c r="F1826" i="1"/>
  <c r="D1826" i="1"/>
  <c r="B1826" i="1"/>
  <c r="A1826" i="1"/>
  <c r="J1825" i="1"/>
  <c r="I1825" i="1"/>
  <c r="H1825" i="1"/>
  <c r="G1825" i="1"/>
  <c r="F1825" i="1"/>
  <c r="D1825" i="1"/>
  <c r="B1825" i="1"/>
  <c r="A1825" i="1"/>
  <c r="J1824" i="1"/>
  <c r="I1824" i="1"/>
  <c r="H1824" i="1"/>
  <c r="G1824" i="1"/>
  <c r="F1824" i="1"/>
  <c r="D1824" i="1"/>
  <c r="B1824" i="1"/>
  <c r="A1824" i="1"/>
  <c r="J1823" i="1"/>
  <c r="I1823" i="1"/>
  <c r="H1823" i="1"/>
  <c r="G1823" i="1"/>
  <c r="F1823" i="1"/>
  <c r="D1823" i="1"/>
  <c r="B1823" i="1"/>
  <c r="A1823" i="1"/>
  <c r="J1822" i="1"/>
  <c r="I1822" i="1"/>
  <c r="H1822" i="1"/>
  <c r="G1822" i="1"/>
  <c r="F1822" i="1"/>
  <c r="D1822" i="1"/>
  <c r="B1822" i="1"/>
  <c r="A1822" i="1"/>
  <c r="J1821" i="1"/>
  <c r="I1821" i="1"/>
  <c r="H1821" i="1"/>
  <c r="G1821" i="1"/>
  <c r="F1821" i="1"/>
  <c r="D1821" i="1"/>
  <c r="B1821" i="1"/>
  <c r="A1821" i="1"/>
  <c r="J1820" i="1"/>
  <c r="I1820" i="1"/>
  <c r="H1820" i="1"/>
  <c r="G1820" i="1"/>
  <c r="F1820" i="1"/>
  <c r="D1820" i="1"/>
  <c r="B1820" i="1"/>
  <c r="A1820" i="1"/>
  <c r="J1819" i="1"/>
  <c r="I1819" i="1"/>
  <c r="H1819" i="1"/>
  <c r="G1819" i="1"/>
  <c r="F1819" i="1"/>
  <c r="D1819" i="1"/>
  <c r="B1819" i="1"/>
  <c r="A1819" i="1"/>
  <c r="J1818" i="1"/>
  <c r="I1818" i="1"/>
  <c r="H1818" i="1"/>
  <c r="G1818" i="1"/>
  <c r="F1818" i="1"/>
  <c r="D1818" i="1"/>
  <c r="B1818" i="1"/>
  <c r="A1818" i="1"/>
  <c r="J1817" i="1"/>
  <c r="I1817" i="1"/>
  <c r="H1817" i="1"/>
  <c r="G1817" i="1"/>
  <c r="F1817" i="1"/>
  <c r="D1817" i="1"/>
  <c r="B1817" i="1"/>
  <c r="A1817" i="1"/>
  <c r="J1816" i="1"/>
  <c r="I1816" i="1"/>
  <c r="H1816" i="1"/>
  <c r="G1816" i="1"/>
  <c r="F1816" i="1"/>
  <c r="D1816" i="1"/>
  <c r="B1816" i="1"/>
  <c r="A1816" i="1"/>
  <c r="J1815" i="1"/>
  <c r="I1815" i="1"/>
  <c r="H1815" i="1"/>
  <c r="G1815" i="1"/>
  <c r="F1815" i="1"/>
  <c r="D1815" i="1"/>
  <c r="B1815" i="1"/>
  <c r="A1815" i="1"/>
  <c r="J1814" i="1"/>
  <c r="I1814" i="1"/>
  <c r="H1814" i="1"/>
  <c r="G1814" i="1"/>
  <c r="F1814" i="1"/>
  <c r="D1814" i="1"/>
  <c r="B1814" i="1"/>
  <c r="A1814" i="1"/>
  <c r="J1813" i="1"/>
  <c r="I1813" i="1"/>
  <c r="H1813" i="1"/>
  <c r="G1813" i="1"/>
  <c r="F1813" i="1"/>
  <c r="D1813" i="1"/>
  <c r="B1813" i="1"/>
  <c r="A1813" i="1"/>
  <c r="J1812" i="1"/>
  <c r="I1812" i="1"/>
  <c r="H1812" i="1"/>
  <c r="G1812" i="1"/>
  <c r="F1812" i="1"/>
  <c r="D1812" i="1"/>
  <c r="B1812" i="1"/>
  <c r="A1812" i="1"/>
  <c r="J1811" i="1"/>
  <c r="I1811" i="1"/>
  <c r="H1811" i="1"/>
  <c r="G1811" i="1"/>
  <c r="F1811" i="1"/>
  <c r="D1811" i="1"/>
  <c r="B1811" i="1"/>
  <c r="A1811" i="1"/>
  <c r="J1810" i="1"/>
  <c r="I1810" i="1"/>
  <c r="H1810" i="1"/>
  <c r="G1810" i="1"/>
  <c r="F1810" i="1"/>
  <c r="D1810" i="1"/>
  <c r="B1810" i="1"/>
  <c r="A1810" i="1"/>
  <c r="J1809" i="1"/>
  <c r="I1809" i="1"/>
  <c r="H1809" i="1"/>
  <c r="G1809" i="1"/>
  <c r="F1809" i="1"/>
  <c r="D1809" i="1"/>
  <c r="B1809" i="1"/>
  <c r="A1809" i="1"/>
  <c r="J1808" i="1"/>
  <c r="I1808" i="1"/>
  <c r="H1808" i="1"/>
  <c r="G1808" i="1"/>
  <c r="F1808" i="1"/>
  <c r="D1808" i="1"/>
  <c r="B1808" i="1"/>
  <c r="A1808" i="1"/>
  <c r="J1807" i="1"/>
  <c r="I1807" i="1"/>
  <c r="H1807" i="1"/>
  <c r="G1807" i="1"/>
  <c r="F1807" i="1"/>
  <c r="D1807" i="1"/>
  <c r="B1807" i="1"/>
  <c r="A1807" i="1"/>
  <c r="J1806" i="1"/>
  <c r="I1806" i="1"/>
  <c r="H1806" i="1"/>
  <c r="G1806" i="1"/>
  <c r="F1806" i="1"/>
  <c r="D1806" i="1"/>
  <c r="B1806" i="1"/>
  <c r="A1806" i="1"/>
  <c r="J1805" i="1"/>
  <c r="I1805" i="1"/>
  <c r="H1805" i="1"/>
  <c r="G1805" i="1"/>
  <c r="F1805" i="1"/>
  <c r="D1805" i="1"/>
  <c r="B1805" i="1"/>
  <c r="A1805" i="1"/>
  <c r="J1804" i="1"/>
  <c r="I1804" i="1"/>
  <c r="G1804" i="1"/>
  <c r="F1804" i="1"/>
  <c r="A1804" i="1"/>
  <c r="J1803" i="1"/>
  <c r="I1803" i="1"/>
  <c r="H1803" i="1"/>
  <c r="G1803" i="1"/>
  <c r="F1803" i="1"/>
  <c r="D1803" i="1"/>
  <c r="B1803" i="1"/>
  <c r="A1803" i="1"/>
  <c r="J1802" i="1"/>
  <c r="I1802" i="1"/>
  <c r="H1802" i="1"/>
  <c r="G1802" i="1"/>
  <c r="F1802" i="1"/>
  <c r="D1802" i="1"/>
  <c r="B1802" i="1"/>
  <c r="A1802" i="1"/>
  <c r="J1801" i="1"/>
  <c r="I1801" i="1"/>
  <c r="H1801" i="1"/>
  <c r="G1801" i="1"/>
  <c r="F1801" i="1"/>
  <c r="D1801" i="1"/>
  <c r="B1801" i="1"/>
  <c r="A1801" i="1"/>
  <c r="J1800" i="1"/>
  <c r="I1800" i="1"/>
  <c r="H1800" i="1"/>
  <c r="G1800" i="1"/>
  <c r="F1800" i="1"/>
  <c r="D1800" i="1"/>
  <c r="B1800" i="1"/>
  <c r="A1800" i="1"/>
  <c r="J1799" i="1"/>
  <c r="I1799" i="1"/>
  <c r="H1799" i="1"/>
  <c r="G1799" i="1"/>
  <c r="F1799" i="1"/>
  <c r="D1799" i="1"/>
  <c r="B1799" i="1"/>
  <c r="A1799" i="1"/>
  <c r="J1798" i="1"/>
  <c r="I1798" i="1"/>
  <c r="H1798" i="1"/>
  <c r="G1798" i="1"/>
  <c r="F1798" i="1"/>
  <c r="D1798" i="1"/>
  <c r="B1798" i="1"/>
  <c r="A1798" i="1"/>
  <c r="J1797" i="1"/>
  <c r="I1797" i="1"/>
  <c r="H1797" i="1"/>
  <c r="G1797" i="1"/>
  <c r="F1797" i="1"/>
  <c r="D1797" i="1"/>
  <c r="B1797" i="1"/>
  <c r="A1797" i="1"/>
  <c r="J1796" i="1"/>
  <c r="I1796" i="1"/>
  <c r="H1796" i="1"/>
  <c r="G1796" i="1"/>
  <c r="F1796" i="1"/>
  <c r="D1796" i="1"/>
  <c r="B1796" i="1"/>
  <c r="A1796" i="1"/>
  <c r="J1795" i="1"/>
  <c r="I1795" i="1"/>
  <c r="H1795" i="1"/>
  <c r="G1795" i="1"/>
  <c r="F1795" i="1"/>
  <c r="D1795" i="1"/>
  <c r="B1795" i="1"/>
  <c r="A1795" i="1"/>
  <c r="J1794" i="1"/>
  <c r="I1794" i="1"/>
  <c r="H1794" i="1"/>
  <c r="G1794" i="1"/>
  <c r="F1794" i="1"/>
  <c r="D1794" i="1"/>
  <c r="B1794" i="1"/>
  <c r="A1794" i="1"/>
  <c r="J1793" i="1"/>
  <c r="I1793" i="1"/>
  <c r="H1793" i="1"/>
  <c r="G1793" i="1"/>
  <c r="F1793" i="1"/>
  <c r="D1793" i="1"/>
  <c r="B1793" i="1"/>
  <c r="A1793" i="1"/>
  <c r="J1792" i="1"/>
  <c r="I1792" i="1"/>
  <c r="H1792" i="1"/>
  <c r="G1792" i="1"/>
  <c r="F1792" i="1"/>
  <c r="D1792" i="1"/>
  <c r="B1792" i="1"/>
  <c r="A1792" i="1"/>
  <c r="J1791" i="1"/>
  <c r="I1791" i="1"/>
  <c r="H1791" i="1"/>
  <c r="G1791" i="1"/>
  <c r="F1791" i="1"/>
  <c r="D1791" i="1"/>
  <c r="B1791" i="1"/>
  <c r="A1791" i="1"/>
  <c r="J1790" i="1"/>
  <c r="I1790" i="1"/>
  <c r="H1790" i="1"/>
  <c r="G1790" i="1"/>
  <c r="F1790" i="1"/>
  <c r="D1790" i="1"/>
  <c r="B1790" i="1"/>
  <c r="A1790" i="1"/>
  <c r="J1789" i="1"/>
  <c r="I1789" i="1"/>
  <c r="H1789" i="1"/>
  <c r="G1789" i="1"/>
  <c r="F1789" i="1"/>
  <c r="D1789" i="1"/>
  <c r="B1789" i="1"/>
  <c r="A1789" i="1"/>
  <c r="J1788" i="1"/>
  <c r="I1788" i="1"/>
  <c r="H1788" i="1"/>
  <c r="G1788" i="1"/>
  <c r="F1788" i="1"/>
  <c r="D1788" i="1"/>
  <c r="B1788" i="1"/>
  <c r="A1788" i="1"/>
  <c r="J1787" i="1"/>
  <c r="I1787" i="1"/>
  <c r="H1787" i="1"/>
  <c r="G1787" i="1"/>
  <c r="F1787" i="1"/>
  <c r="D1787" i="1"/>
  <c r="B1787" i="1"/>
  <c r="A1787" i="1"/>
  <c r="J1786" i="1"/>
  <c r="I1786" i="1"/>
  <c r="H1786" i="1"/>
  <c r="G1786" i="1"/>
  <c r="F1786" i="1"/>
  <c r="D1786" i="1"/>
  <c r="B1786" i="1"/>
  <c r="A1786" i="1"/>
  <c r="J1785" i="1"/>
  <c r="I1785" i="1"/>
  <c r="H1785" i="1"/>
  <c r="G1785" i="1"/>
  <c r="F1785" i="1"/>
  <c r="D1785" i="1"/>
  <c r="B1785" i="1"/>
  <c r="A1785" i="1"/>
  <c r="J1784" i="1"/>
  <c r="I1784" i="1"/>
  <c r="H1784" i="1"/>
  <c r="G1784" i="1"/>
  <c r="F1784" i="1"/>
  <c r="D1784" i="1"/>
  <c r="B1784" i="1"/>
  <c r="A1784" i="1"/>
  <c r="J1783" i="1"/>
  <c r="I1783" i="1"/>
  <c r="H1783" i="1"/>
  <c r="G1783" i="1"/>
  <c r="F1783" i="1"/>
  <c r="D1783" i="1"/>
  <c r="B1783" i="1"/>
  <c r="A1783" i="1"/>
  <c r="J1782" i="1"/>
  <c r="I1782" i="1"/>
  <c r="H1782" i="1"/>
  <c r="G1782" i="1"/>
  <c r="F1782" i="1"/>
  <c r="D1782" i="1"/>
  <c r="B1782" i="1"/>
  <c r="A1782" i="1"/>
  <c r="J1781" i="1"/>
  <c r="I1781" i="1"/>
  <c r="H1781" i="1"/>
  <c r="G1781" i="1"/>
  <c r="F1781" i="1"/>
  <c r="D1781" i="1"/>
  <c r="B1781" i="1"/>
  <c r="A1781" i="1"/>
  <c r="J1780" i="1"/>
  <c r="I1780" i="1"/>
  <c r="H1780" i="1"/>
  <c r="G1780" i="1"/>
  <c r="F1780" i="1"/>
  <c r="D1780" i="1"/>
  <c r="B1780" i="1"/>
  <c r="A1780" i="1"/>
  <c r="J1779" i="1"/>
  <c r="I1779" i="1"/>
  <c r="H1779" i="1"/>
  <c r="G1779" i="1"/>
  <c r="F1779" i="1"/>
  <c r="D1779" i="1"/>
  <c r="B1779" i="1"/>
  <c r="A1779" i="1"/>
  <c r="J1778" i="1"/>
  <c r="I1778" i="1"/>
  <c r="H1778" i="1"/>
  <c r="G1778" i="1"/>
  <c r="F1778" i="1"/>
  <c r="D1778" i="1"/>
  <c r="B1778" i="1"/>
  <c r="A1778" i="1"/>
  <c r="J1777" i="1"/>
  <c r="I1777" i="1"/>
  <c r="H1777" i="1"/>
  <c r="G1777" i="1"/>
  <c r="F1777" i="1"/>
  <c r="D1777" i="1"/>
  <c r="B1777" i="1"/>
  <c r="A1777" i="1"/>
  <c r="J1776" i="1"/>
  <c r="I1776" i="1"/>
  <c r="H1776" i="1"/>
  <c r="G1776" i="1"/>
  <c r="F1776" i="1"/>
  <c r="D1776" i="1"/>
  <c r="B1776" i="1"/>
  <c r="A1776" i="1"/>
  <c r="J1775" i="1"/>
  <c r="I1775" i="1"/>
  <c r="H1775" i="1"/>
  <c r="G1775" i="1"/>
  <c r="F1775" i="1"/>
  <c r="D1775" i="1"/>
  <c r="B1775" i="1"/>
  <c r="A1775" i="1"/>
  <c r="J1774" i="1"/>
  <c r="I1774" i="1"/>
  <c r="H1774" i="1"/>
  <c r="G1774" i="1"/>
  <c r="F1774" i="1"/>
  <c r="D1774" i="1"/>
  <c r="B1774" i="1"/>
  <c r="A1774" i="1"/>
  <c r="J1773" i="1"/>
  <c r="I1773" i="1"/>
  <c r="H1773" i="1"/>
  <c r="G1773" i="1"/>
  <c r="F1773" i="1"/>
  <c r="D1773" i="1"/>
  <c r="B1773" i="1"/>
  <c r="A1773" i="1"/>
  <c r="J1772" i="1"/>
  <c r="I1772" i="1"/>
  <c r="H1772" i="1"/>
  <c r="G1772" i="1"/>
  <c r="F1772" i="1"/>
  <c r="D1772" i="1"/>
  <c r="B1772" i="1"/>
  <c r="A1772" i="1"/>
  <c r="J1771" i="1"/>
  <c r="I1771" i="1"/>
  <c r="H1771" i="1"/>
  <c r="G1771" i="1"/>
  <c r="F1771" i="1"/>
  <c r="D1771" i="1"/>
  <c r="B1771" i="1"/>
  <c r="A1771" i="1"/>
  <c r="J1770" i="1"/>
  <c r="I1770" i="1"/>
  <c r="H1770" i="1"/>
  <c r="G1770" i="1"/>
  <c r="F1770" i="1"/>
  <c r="D1770" i="1"/>
  <c r="B1770" i="1"/>
  <c r="A1770" i="1"/>
  <c r="J1769" i="1"/>
  <c r="I1769" i="1"/>
  <c r="H1769" i="1"/>
  <c r="G1769" i="1"/>
  <c r="F1769" i="1"/>
  <c r="D1769" i="1"/>
  <c r="B1769" i="1"/>
  <c r="A1769" i="1"/>
  <c r="J1768" i="1"/>
  <c r="I1768" i="1"/>
  <c r="H1768" i="1"/>
  <c r="G1768" i="1"/>
  <c r="F1768" i="1"/>
  <c r="D1768" i="1"/>
  <c r="B1768" i="1"/>
  <c r="A1768" i="1"/>
  <c r="J1767" i="1"/>
  <c r="I1767" i="1"/>
  <c r="H1767" i="1"/>
  <c r="G1767" i="1"/>
  <c r="F1767" i="1"/>
  <c r="D1767" i="1"/>
  <c r="B1767" i="1"/>
  <c r="A1767" i="1"/>
  <c r="J1766" i="1"/>
  <c r="I1766" i="1"/>
  <c r="H1766" i="1"/>
  <c r="G1766" i="1"/>
  <c r="F1766" i="1"/>
  <c r="D1766" i="1"/>
  <c r="B1766" i="1"/>
  <c r="A1766" i="1"/>
  <c r="J1765" i="1"/>
  <c r="I1765" i="1"/>
  <c r="H1765" i="1"/>
  <c r="G1765" i="1"/>
  <c r="F1765" i="1"/>
  <c r="D1765" i="1"/>
  <c r="B1765" i="1"/>
  <c r="A1765" i="1"/>
  <c r="J1764" i="1"/>
  <c r="I1764" i="1"/>
  <c r="H1764" i="1"/>
  <c r="G1764" i="1"/>
  <c r="F1764" i="1"/>
  <c r="D1764" i="1"/>
  <c r="B1764" i="1"/>
  <c r="A1764" i="1"/>
  <c r="J1763" i="1"/>
  <c r="I1763" i="1"/>
  <c r="H1763" i="1"/>
  <c r="G1763" i="1"/>
  <c r="F1763" i="1"/>
  <c r="D1763" i="1"/>
  <c r="B1763" i="1"/>
  <c r="A1763" i="1"/>
  <c r="J1762" i="1"/>
  <c r="I1762" i="1"/>
  <c r="H1762" i="1"/>
  <c r="G1762" i="1"/>
  <c r="F1762" i="1"/>
  <c r="D1762" i="1"/>
  <c r="B1762" i="1"/>
  <c r="A1762" i="1"/>
  <c r="J1761" i="1"/>
  <c r="I1761" i="1"/>
  <c r="H1761" i="1"/>
  <c r="G1761" i="1"/>
  <c r="F1761" i="1"/>
  <c r="D1761" i="1"/>
  <c r="B1761" i="1"/>
  <c r="A1761" i="1"/>
  <c r="J1760" i="1"/>
  <c r="I1760" i="1"/>
  <c r="H1760" i="1"/>
  <c r="G1760" i="1"/>
  <c r="F1760" i="1"/>
  <c r="D1760" i="1"/>
  <c r="B1760" i="1"/>
  <c r="A1760" i="1"/>
  <c r="J1759" i="1"/>
  <c r="I1759" i="1"/>
  <c r="H1759" i="1"/>
  <c r="G1759" i="1"/>
  <c r="F1759" i="1"/>
  <c r="D1759" i="1"/>
  <c r="B1759" i="1"/>
  <c r="A1759" i="1"/>
  <c r="J1758" i="1"/>
  <c r="I1758" i="1"/>
  <c r="H1758" i="1"/>
  <c r="G1758" i="1"/>
  <c r="F1758" i="1"/>
  <c r="D1758" i="1"/>
  <c r="B1758" i="1"/>
  <c r="A1758" i="1"/>
  <c r="J1757" i="1"/>
  <c r="I1757" i="1"/>
  <c r="H1757" i="1"/>
  <c r="G1757" i="1"/>
  <c r="F1757" i="1"/>
  <c r="D1757" i="1"/>
  <c r="B1757" i="1"/>
  <c r="A1757" i="1"/>
  <c r="J1756" i="1"/>
  <c r="I1756" i="1"/>
  <c r="H1756" i="1"/>
  <c r="G1756" i="1"/>
  <c r="F1756" i="1"/>
  <c r="D1756" i="1"/>
  <c r="B1756" i="1"/>
  <c r="A1756" i="1"/>
  <c r="J1755" i="1"/>
  <c r="I1755" i="1"/>
  <c r="H1755" i="1"/>
  <c r="G1755" i="1"/>
  <c r="F1755" i="1"/>
  <c r="D1755" i="1"/>
  <c r="B1755" i="1"/>
  <c r="A1755" i="1"/>
  <c r="J1754" i="1"/>
  <c r="I1754" i="1"/>
  <c r="H1754" i="1"/>
  <c r="G1754" i="1"/>
  <c r="F1754" i="1"/>
  <c r="D1754" i="1"/>
  <c r="B1754" i="1"/>
  <c r="A1754" i="1"/>
  <c r="J1753" i="1"/>
  <c r="I1753" i="1"/>
  <c r="H1753" i="1"/>
  <c r="G1753" i="1"/>
  <c r="F1753" i="1"/>
  <c r="D1753" i="1"/>
  <c r="B1753" i="1"/>
  <c r="A1753" i="1"/>
  <c r="J1752" i="1"/>
  <c r="I1752" i="1"/>
  <c r="H1752" i="1"/>
  <c r="G1752" i="1"/>
  <c r="F1752" i="1"/>
  <c r="D1752" i="1"/>
  <c r="B1752" i="1"/>
  <c r="A1752" i="1"/>
  <c r="J1751" i="1"/>
  <c r="I1751" i="1"/>
  <c r="G1751" i="1"/>
  <c r="F1751" i="1"/>
  <c r="A1751" i="1"/>
  <c r="J1750" i="1"/>
  <c r="I1750" i="1"/>
  <c r="H1750" i="1"/>
  <c r="G1750" i="1"/>
  <c r="F1750" i="1"/>
  <c r="D1750" i="1"/>
  <c r="B1750" i="1"/>
  <c r="A1750" i="1"/>
  <c r="J1749" i="1"/>
  <c r="I1749" i="1"/>
  <c r="H1749" i="1"/>
  <c r="G1749" i="1"/>
  <c r="F1749" i="1"/>
  <c r="D1749" i="1"/>
  <c r="B1749" i="1"/>
  <c r="A1749" i="1"/>
  <c r="J1748" i="1"/>
  <c r="I1748" i="1"/>
  <c r="H1748" i="1"/>
  <c r="G1748" i="1"/>
  <c r="F1748" i="1"/>
  <c r="D1748" i="1"/>
  <c r="B1748" i="1"/>
  <c r="A1748" i="1"/>
  <c r="J1747" i="1"/>
  <c r="I1747" i="1"/>
  <c r="H1747" i="1"/>
  <c r="G1747" i="1"/>
  <c r="F1747" i="1"/>
  <c r="D1747" i="1"/>
  <c r="B1747" i="1"/>
  <c r="A1747" i="1"/>
  <c r="J1746" i="1"/>
  <c r="I1746" i="1"/>
  <c r="H1746" i="1"/>
  <c r="G1746" i="1"/>
  <c r="F1746" i="1"/>
  <c r="D1746" i="1"/>
  <c r="B1746" i="1"/>
  <c r="A1746" i="1"/>
  <c r="J1745" i="1"/>
  <c r="I1745" i="1"/>
  <c r="H1745" i="1"/>
  <c r="G1745" i="1"/>
  <c r="F1745" i="1"/>
  <c r="D1745" i="1"/>
  <c r="B1745" i="1"/>
  <c r="A1745" i="1"/>
  <c r="J1744" i="1"/>
  <c r="I1744" i="1"/>
  <c r="H1744" i="1"/>
  <c r="G1744" i="1"/>
  <c r="F1744" i="1"/>
  <c r="D1744" i="1"/>
  <c r="B1744" i="1"/>
  <c r="A1744" i="1"/>
  <c r="J1743" i="1"/>
  <c r="I1743" i="1"/>
  <c r="H1743" i="1"/>
  <c r="G1743" i="1"/>
  <c r="F1743" i="1"/>
  <c r="D1743" i="1"/>
  <c r="B1743" i="1"/>
  <c r="A1743" i="1"/>
  <c r="J1742" i="1"/>
  <c r="I1742" i="1"/>
  <c r="H1742" i="1"/>
  <c r="G1742" i="1"/>
  <c r="F1742" i="1"/>
  <c r="D1742" i="1"/>
  <c r="B1742" i="1"/>
  <c r="A1742" i="1"/>
  <c r="J1741" i="1"/>
  <c r="I1741" i="1"/>
  <c r="H1741" i="1"/>
  <c r="G1741" i="1"/>
  <c r="F1741" i="1"/>
  <c r="D1741" i="1"/>
  <c r="B1741" i="1"/>
  <c r="A1741" i="1"/>
  <c r="J1740" i="1"/>
  <c r="I1740" i="1"/>
  <c r="H1740" i="1"/>
  <c r="G1740" i="1"/>
  <c r="F1740" i="1"/>
  <c r="D1740" i="1"/>
  <c r="B1740" i="1"/>
  <c r="A1740" i="1"/>
  <c r="J1739" i="1"/>
  <c r="I1739" i="1"/>
  <c r="H1739" i="1"/>
  <c r="G1739" i="1"/>
  <c r="F1739" i="1"/>
  <c r="D1739" i="1"/>
  <c r="B1739" i="1"/>
  <c r="A1739" i="1"/>
  <c r="J1738" i="1"/>
  <c r="I1738" i="1"/>
  <c r="H1738" i="1"/>
  <c r="G1738" i="1"/>
  <c r="F1738" i="1"/>
  <c r="D1738" i="1"/>
  <c r="B1738" i="1"/>
  <c r="A1738" i="1"/>
  <c r="J1737" i="1"/>
  <c r="I1737" i="1"/>
  <c r="H1737" i="1"/>
  <c r="G1737" i="1"/>
  <c r="F1737" i="1"/>
  <c r="D1737" i="1"/>
  <c r="B1737" i="1"/>
  <c r="A1737" i="1"/>
  <c r="J1736" i="1"/>
  <c r="I1736" i="1"/>
  <c r="H1736" i="1"/>
  <c r="G1736" i="1"/>
  <c r="F1736" i="1"/>
  <c r="D1736" i="1"/>
  <c r="B1736" i="1"/>
  <c r="A1736" i="1"/>
  <c r="J1735" i="1"/>
  <c r="I1735" i="1"/>
  <c r="H1735" i="1"/>
  <c r="G1735" i="1"/>
  <c r="F1735" i="1"/>
  <c r="D1735" i="1"/>
  <c r="B1735" i="1"/>
  <c r="A1735" i="1"/>
  <c r="J1734" i="1"/>
  <c r="I1734" i="1"/>
  <c r="H1734" i="1"/>
  <c r="G1734" i="1"/>
  <c r="F1734" i="1"/>
  <c r="D1734" i="1"/>
  <c r="B1734" i="1"/>
  <c r="A1734" i="1"/>
  <c r="J1733" i="1"/>
  <c r="I1733" i="1"/>
  <c r="H1733" i="1"/>
  <c r="G1733" i="1"/>
  <c r="F1733" i="1"/>
  <c r="D1733" i="1"/>
  <c r="B1733" i="1"/>
  <c r="A1733" i="1"/>
  <c r="J1732" i="1"/>
  <c r="I1732" i="1"/>
  <c r="H1732" i="1"/>
  <c r="G1732" i="1"/>
  <c r="F1732" i="1"/>
  <c r="D1732" i="1"/>
  <c r="B1732" i="1"/>
  <c r="A1732" i="1"/>
  <c r="J1731" i="1"/>
  <c r="I1731" i="1"/>
  <c r="H1731" i="1"/>
  <c r="G1731" i="1"/>
  <c r="F1731" i="1"/>
  <c r="D1731" i="1"/>
  <c r="B1731" i="1"/>
  <c r="A1731" i="1"/>
  <c r="J1730" i="1"/>
  <c r="I1730" i="1"/>
  <c r="H1730" i="1"/>
  <c r="G1730" i="1"/>
  <c r="F1730" i="1"/>
  <c r="D1730" i="1"/>
  <c r="B1730" i="1"/>
  <c r="A1730" i="1"/>
  <c r="J1729" i="1"/>
  <c r="I1729" i="1"/>
  <c r="H1729" i="1"/>
  <c r="G1729" i="1"/>
  <c r="F1729" i="1"/>
  <c r="D1729" i="1"/>
  <c r="B1729" i="1"/>
  <c r="A1729" i="1"/>
  <c r="J1728" i="1"/>
  <c r="I1728" i="1"/>
  <c r="H1728" i="1"/>
  <c r="G1728" i="1"/>
  <c r="F1728" i="1"/>
  <c r="D1728" i="1"/>
  <c r="B1728" i="1"/>
  <c r="A1728" i="1"/>
  <c r="J1727" i="1"/>
  <c r="I1727" i="1"/>
  <c r="H1727" i="1"/>
  <c r="G1727" i="1"/>
  <c r="F1727" i="1"/>
  <c r="D1727" i="1"/>
  <c r="B1727" i="1"/>
  <c r="A1727" i="1"/>
  <c r="J1726" i="1"/>
  <c r="I1726" i="1"/>
  <c r="H1726" i="1"/>
  <c r="G1726" i="1"/>
  <c r="F1726" i="1"/>
  <c r="D1726" i="1"/>
  <c r="B1726" i="1"/>
  <c r="A1726" i="1"/>
  <c r="J1725" i="1"/>
  <c r="I1725" i="1"/>
  <c r="H1725" i="1"/>
  <c r="G1725" i="1"/>
  <c r="F1725" i="1"/>
  <c r="D1725" i="1"/>
  <c r="B1725" i="1"/>
  <c r="A1725" i="1"/>
  <c r="J1724" i="1"/>
  <c r="I1724" i="1"/>
  <c r="H1724" i="1"/>
  <c r="G1724" i="1"/>
  <c r="F1724" i="1"/>
  <c r="D1724" i="1"/>
  <c r="B1724" i="1"/>
  <c r="A1724" i="1"/>
  <c r="J1723" i="1"/>
  <c r="I1723" i="1"/>
  <c r="H1723" i="1"/>
  <c r="G1723" i="1"/>
  <c r="F1723" i="1"/>
  <c r="D1723" i="1"/>
  <c r="B1723" i="1"/>
  <c r="A1723" i="1"/>
  <c r="J1722" i="1"/>
  <c r="I1722" i="1"/>
  <c r="H1722" i="1"/>
  <c r="G1722" i="1"/>
  <c r="F1722" i="1"/>
  <c r="D1722" i="1"/>
  <c r="B1722" i="1"/>
  <c r="A1722" i="1"/>
  <c r="J1721" i="1"/>
  <c r="I1721" i="1"/>
  <c r="H1721" i="1"/>
  <c r="G1721" i="1"/>
  <c r="F1721" i="1"/>
  <c r="D1721" i="1"/>
  <c r="B1721" i="1"/>
  <c r="A1721" i="1"/>
  <c r="J1720" i="1"/>
  <c r="I1720" i="1"/>
  <c r="H1720" i="1"/>
  <c r="G1720" i="1"/>
  <c r="F1720" i="1"/>
  <c r="D1720" i="1"/>
  <c r="B1720" i="1"/>
  <c r="A1720" i="1"/>
  <c r="J1719" i="1"/>
  <c r="I1719" i="1"/>
  <c r="H1719" i="1"/>
  <c r="G1719" i="1"/>
  <c r="F1719" i="1"/>
  <c r="D1719" i="1"/>
  <c r="B1719" i="1"/>
  <c r="A1719" i="1"/>
  <c r="J1718" i="1"/>
  <c r="I1718" i="1"/>
  <c r="H1718" i="1"/>
  <c r="G1718" i="1"/>
  <c r="F1718" i="1"/>
  <c r="D1718" i="1"/>
  <c r="B1718" i="1"/>
  <c r="A1718" i="1"/>
  <c r="J1717" i="1"/>
  <c r="I1717" i="1"/>
  <c r="H1717" i="1"/>
  <c r="G1717" i="1"/>
  <c r="F1717" i="1"/>
  <c r="D1717" i="1"/>
  <c r="B1717" i="1"/>
  <c r="A1717" i="1"/>
  <c r="J1716" i="1"/>
  <c r="I1716" i="1"/>
  <c r="H1716" i="1"/>
  <c r="G1716" i="1"/>
  <c r="F1716" i="1"/>
  <c r="D1716" i="1"/>
  <c r="B1716" i="1"/>
  <c r="A1716" i="1"/>
  <c r="J1715" i="1"/>
  <c r="I1715" i="1"/>
  <c r="H1715" i="1"/>
  <c r="G1715" i="1"/>
  <c r="F1715" i="1"/>
  <c r="D1715" i="1"/>
  <c r="B1715" i="1"/>
  <c r="A1715" i="1"/>
  <c r="J1714" i="1"/>
  <c r="I1714" i="1"/>
  <c r="H1714" i="1"/>
  <c r="G1714" i="1"/>
  <c r="F1714" i="1"/>
  <c r="D1714" i="1"/>
  <c r="B1714" i="1"/>
  <c r="A1714" i="1"/>
  <c r="J1713" i="1"/>
  <c r="I1713" i="1"/>
  <c r="H1713" i="1"/>
  <c r="G1713" i="1"/>
  <c r="F1713" i="1"/>
  <c r="D1713" i="1"/>
  <c r="B1713" i="1"/>
  <c r="A1713" i="1"/>
  <c r="J1712" i="1"/>
  <c r="I1712" i="1"/>
  <c r="H1712" i="1"/>
  <c r="G1712" i="1"/>
  <c r="F1712" i="1"/>
  <c r="D1712" i="1"/>
  <c r="B1712" i="1"/>
  <c r="A1712" i="1"/>
  <c r="J1711" i="1"/>
  <c r="I1711" i="1"/>
  <c r="H1711" i="1"/>
  <c r="G1711" i="1"/>
  <c r="F1711" i="1"/>
  <c r="D1711" i="1"/>
  <c r="B1711" i="1"/>
  <c r="A1711" i="1"/>
  <c r="J1710" i="1"/>
  <c r="I1710" i="1"/>
  <c r="H1710" i="1"/>
  <c r="G1710" i="1"/>
  <c r="F1710" i="1"/>
  <c r="D1710" i="1"/>
  <c r="B1710" i="1"/>
  <c r="A1710" i="1"/>
  <c r="J1709" i="1"/>
  <c r="I1709" i="1"/>
  <c r="H1709" i="1"/>
  <c r="G1709" i="1"/>
  <c r="F1709" i="1"/>
  <c r="D1709" i="1"/>
  <c r="B1709" i="1"/>
  <c r="A1709" i="1"/>
  <c r="J1708" i="1"/>
  <c r="I1708" i="1"/>
  <c r="H1708" i="1"/>
  <c r="G1708" i="1"/>
  <c r="F1708" i="1"/>
  <c r="D1708" i="1"/>
  <c r="B1708" i="1"/>
  <c r="A1708" i="1"/>
  <c r="J1707" i="1"/>
  <c r="I1707" i="1"/>
  <c r="H1707" i="1"/>
  <c r="G1707" i="1"/>
  <c r="F1707" i="1"/>
  <c r="D1707" i="1"/>
  <c r="B1707" i="1"/>
  <c r="A1707" i="1"/>
  <c r="J1706" i="1"/>
  <c r="I1706" i="1"/>
  <c r="H1706" i="1"/>
  <c r="G1706" i="1"/>
  <c r="F1706" i="1"/>
  <c r="D1706" i="1"/>
  <c r="B1706" i="1"/>
  <c r="A1706" i="1"/>
  <c r="J1705" i="1"/>
  <c r="I1705" i="1"/>
  <c r="H1705" i="1"/>
  <c r="G1705" i="1"/>
  <c r="F1705" i="1"/>
  <c r="D1705" i="1"/>
  <c r="B1705" i="1"/>
  <c r="A1705" i="1"/>
  <c r="J1704" i="1"/>
  <c r="I1704" i="1"/>
  <c r="H1704" i="1"/>
  <c r="G1704" i="1"/>
  <c r="F1704" i="1"/>
  <c r="D1704" i="1"/>
  <c r="B1704" i="1"/>
  <c r="A1704" i="1"/>
  <c r="J1703" i="1"/>
  <c r="I1703" i="1"/>
  <c r="H1703" i="1"/>
  <c r="G1703" i="1"/>
  <c r="F1703" i="1"/>
  <c r="D1703" i="1"/>
  <c r="B1703" i="1"/>
  <c r="A1703" i="1"/>
  <c r="J1702" i="1"/>
  <c r="I1702" i="1"/>
  <c r="H1702" i="1"/>
  <c r="G1702" i="1"/>
  <c r="F1702" i="1"/>
  <c r="D1702" i="1"/>
  <c r="B1702" i="1"/>
  <c r="A1702" i="1"/>
  <c r="J1701" i="1"/>
  <c r="I1701" i="1"/>
  <c r="H1701" i="1"/>
  <c r="G1701" i="1"/>
  <c r="F1701" i="1"/>
  <c r="D1701" i="1"/>
  <c r="B1701" i="1"/>
  <c r="A1701" i="1"/>
  <c r="J1700" i="1"/>
  <c r="I1700" i="1"/>
  <c r="H1700" i="1"/>
  <c r="G1700" i="1"/>
  <c r="F1700" i="1"/>
  <c r="D1700" i="1"/>
  <c r="B1700" i="1"/>
  <c r="A1700" i="1"/>
  <c r="J1699" i="1"/>
  <c r="I1699" i="1"/>
  <c r="H1699" i="1"/>
  <c r="G1699" i="1"/>
  <c r="F1699" i="1"/>
  <c r="D1699" i="1"/>
  <c r="B1699" i="1"/>
  <c r="A1699" i="1"/>
  <c r="J1698" i="1"/>
  <c r="I1698" i="1"/>
  <c r="H1698" i="1"/>
  <c r="G1698" i="1"/>
  <c r="F1698" i="1"/>
  <c r="D1698" i="1"/>
  <c r="B1698" i="1"/>
  <c r="A1698" i="1"/>
  <c r="J1697" i="1"/>
  <c r="I1697" i="1"/>
  <c r="H1697" i="1"/>
  <c r="G1697" i="1"/>
  <c r="F1697" i="1"/>
  <c r="D1697" i="1"/>
  <c r="B1697" i="1"/>
  <c r="A1697" i="1"/>
  <c r="J1696" i="1"/>
  <c r="I1696" i="1"/>
  <c r="H1696" i="1"/>
  <c r="G1696" i="1"/>
  <c r="F1696" i="1"/>
  <c r="D1696" i="1"/>
  <c r="B1696" i="1"/>
  <c r="A1696" i="1"/>
  <c r="J1695" i="1"/>
  <c r="I1695" i="1"/>
  <c r="H1695" i="1"/>
  <c r="G1695" i="1"/>
  <c r="F1695" i="1"/>
  <c r="D1695" i="1"/>
  <c r="B1695" i="1"/>
  <c r="A1695" i="1"/>
  <c r="J1694" i="1"/>
  <c r="I1694" i="1"/>
  <c r="H1694" i="1"/>
  <c r="G1694" i="1"/>
  <c r="F1694" i="1"/>
  <c r="D1694" i="1"/>
  <c r="B1694" i="1"/>
  <c r="A1694" i="1"/>
  <c r="J1693" i="1"/>
  <c r="I1693" i="1"/>
  <c r="H1693" i="1"/>
  <c r="G1693" i="1"/>
  <c r="F1693" i="1"/>
  <c r="D1693" i="1"/>
  <c r="B1693" i="1"/>
  <c r="A1693" i="1"/>
  <c r="J1692" i="1"/>
  <c r="I1692" i="1"/>
  <c r="H1692" i="1"/>
  <c r="G1692" i="1"/>
  <c r="F1692" i="1"/>
  <c r="D1692" i="1"/>
  <c r="B1692" i="1"/>
  <c r="A1692" i="1"/>
  <c r="J1691" i="1"/>
  <c r="I1691" i="1"/>
  <c r="H1691" i="1"/>
  <c r="G1691" i="1"/>
  <c r="F1691" i="1"/>
  <c r="D1691" i="1"/>
  <c r="B1691" i="1"/>
  <c r="A1691" i="1"/>
  <c r="J1690" i="1"/>
  <c r="I1690" i="1"/>
  <c r="H1690" i="1"/>
  <c r="G1690" i="1"/>
  <c r="F1690" i="1"/>
  <c r="D1690" i="1"/>
  <c r="B1690" i="1"/>
  <c r="A1690" i="1"/>
  <c r="J1689" i="1"/>
  <c r="I1689" i="1"/>
  <c r="H1689" i="1"/>
  <c r="G1689" i="1"/>
  <c r="F1689" i="1"/>
  <c r="D1689" i="1"/>
  <c r="B1689" i="1"/>
  <c r="A1689" i="1"/>
  <c r="J1688" i="1"/>
  <c r="I1688" i="1"/>
  <c r="H1688" i="1"/>
  <c r="G1688" i="1"/>
  <c r="F1688" i="1"/>
  <c r="D1688" i="1"/>
  <c r="B1688" i="1"/>
  <c r="A1688" i="1"/>
  <c r="J1687" i="1"/>
  <c r="I1687" i="1"/>
  <c r="H1687" i="1"/>
  <c r="G1687" i="1"/>
  <c r="F1687" i="1"/>
  <c r="D1687" i="1"/>
  <c r="B1687" i="1"/>
  <c r="A1687" i="1"/>
  <c r="J1686" i="1"/>
  <c r="I1686" i="1"/>
  <c r="H1686" i="1"/>
  <c r="G1686" i="1"/>
  <c r="F1686" i="1"/>
  <c r="D1686" i="1"/>
  <c r="B1686" i="1"/>
  <c r="A1686" i="1"/>
  <c r="J1685" i="1"/>
  <c r="I1685" i="1"/>
  <c r="H1685" i="1"/>
  <c r="G1685" i="1"/>
  <c r="F1685" i="1"/>
  <c r="D1685" i="1"/>
  <c r="B1685" i="1"/>
  <c r="A1685" i="1"/>
  <c r="J1684" i="1"/>
  <c r="I1684" i="1"/>
  <c r="H1684" i="1"/>
  <c r="G1684" i="1"/>
  <c r="F1684" i="1"/>
  <c r="D1684" i="1"/>
  <c r="B1684" i="1"/>
  <c r="A1684" i="1"/>
  <c r="J1683" i="1"/>
  <c r="I1683" i="1"/>
  <c r="H1683" i="1"/>
  <c r="G1683" i="1"/>
  <c r="F1683" i="1"/>
  <c r="D1683" i="1"/>
  <c r="B1683" i="1"/>
  <c r="A1683" i="1"/>
  <c r="J1682" i="1"/>
  <c r="I1682" i="1"/>
  <c r="H1682" i="1"/>
  <c r="G1682" i="1"/>
  <c r="F1682" i="1"/>
  <c r="D1682" i="1"/>
  <c r="B1682" i="1"/>
  <c r="A1682" i="1"/>
  <c r="J1681" i="1"/>
  <c r="I1681" i="1"/>
  <c r="H1681" i="1"/>
  <c r="G1681" i="1"/>
  <c r="F1681" i="1"/>
  <c r="D1681" i="1"/>
  <c r="B1681" i="1"/>
  <c r="A1681" i="1"/>
  <c r="J1680" i="1"/>
  <c r="I1680" i="1"/>
  <c r="H1680" i="1"/>
  <c r="G1680" i="1"/>
  <c r="F1680" i="1"/>
  <c r="D1680" i="1"/>
  <c r="B1680" i="1"/>
  <c r="A1680" i="1"/>
  <c r="J1679" i="1"/>
  <c r="I1679" i="1"/>
  <c r="G1679" i="1"/>
  <c r="F1679" i="1"/>
  <c r="A1679" i="1"/>
  <c r="J1678" i="1"/>
  <c r="I1678" i="1"/>
  <c r="H1678" i="1"/>
  <c r="G1678" i="1"/>
  <c r="F1678" i="1"/>
  <c r="D1678" i="1"/>
  <c r="B1678" i="1"/>
  <c r="A1678" i="1"/>
  <c r="J1677" i="1"/>
  <c r="I1677" i="1"/>
  <c r="H1677" i="1"/>
  <c r="G1677" i="1"/>
  <c r="F1677" i="1"/>
  <c r="D1677" i="1"/>
  <c r="B1677" i="1"/>
  <c r="A1677" i="1"/>
  <c r="J1676" i="1"/>
  <c r="I1676" i="1"/>
  <c r="H1676" i="1"/>
  <c r="G1676" i="1"/>
  <c r="F1676" i="1"/>
  <c r="D1676" i="1"/>
  <c r="B1676" i="1"/>
  <c r="A1676" i="1"/>
  <c r="J1675" i="1"/>
  <c r="I1675" i="1"/>
  <c r="H1675" i="1"/>
  <c r="G1675" i="1"/>
  <c r="F1675" i="1"/>
  <c r="D1675" i="1"/>
  <c r="B1675" i="1"/>
  <c r="A1675" i="1"/>
  <c r="J1674" i="1"/>
  <c r="I1674" i="1"/>
  <c r="H1674" i="1"/>
  <c r="G1674" i="1"/>
  <c r="F1674" i="1"/>
  <c r="D1674" i="1"/>
  <c r="B1674" i="1"/>
  <c r="A1674" i="1"/>
  <c r="J1673" i="1"/>
  <c r="I1673" i="1"/>
  <c r="H1673" i="1"/>
  <c r="G1673" i="1"/>
  <c r="F1673" i="1"/>
  <c r="D1673" i="1"/>
  <c r="B1673" i="1"/>
  <c r="A1673" i="1"/>
  <c r="J1672" i="1"/>
  <c r="I1672" i="1"/>
  <c r="H1672" i="1"/>
  <c r="G1672" i="1"/>
  <c r="F1672" i="1"/>
  <c r="D1672" i="1"/>
  <c r="B1672" i="1"/>
  <c r="A1672" i="1"/>
  <c r="J1671" i="1"/>
  <c r="I1671" i="1"/>
  <c r="H1671" i="1"/>
  <c r="G1671" i="1"/>
  <c r="F1671" i="1"/>
  <c r="D1671" i="1"/>
  <c r="B1671" i="1"/>
  <c r="A1671" i="1"/>
  <c r="J1670" i="1"/>
  <c r="I1670" i="1"/>
  <c r="H1670" i="1"/>
  <c r="G1670" i="1"/>
  <c r="F1670" i="1"/>
  <c r="D1670" i="1"/>
  <c r="B1670" i="1"/>
  <c r="A1670" i="1"/>
  <c r="J1669" i="1"/>
  <c r="I1669" i="1"/>
  <c r="H1669" i="1"/>
  <c r="G1669" i="1"/>
  <c r="F1669" i="1"/>
  <c r="D1669" i="1"/>
  <c r="B1669" i="1"/>
  <c r="A1669" i="1"/>
  <c r="J1668" i="1"/>
  <c r="I1668" i="1"/>
  <c r="H1668" i="1"/>
  <c r="G1668" i="1"/>
  <c r="F1668" i="1"/>
  <c r="D1668" i="1"/>
  <c r="B1668" i="1"/>
  <c r="A1668" i="1"/>
  <c r="J1667" i="1"/>
  <c r="I1667" i="1"/>
  <c r="H1667" i="1"/>
  <c r="G1667" i="1"/>
  <c r="F1667" i="1"/>
  <c r="D1667" i="1"/>
  <c r="B1667" i="1"/>
  <c r="A1667" i="1"/>
  <c r="J1666" i="1"/>
  <c r="I1666" i="1"/>
  <c r="H1666" i="1"/>
  <c r="G1666" i="1"/>
  <c r="F1666" i="1"/>
  <c r="D1666" i="1"/>
  <c r="B1666" i="1"/>
  <c r="A1666" i="1"/>
  <c r="J1665" i="1"/>
  <c r="I1665" i="1"/>
  <c r="H1665" i="1"/>
  <c r="G1665" i="1"/>
  <c r="F1665" i="1"/>
  <c r="D1665" i="1"/>
  <c r="B1665" i="1"/>
  <c r="A1665" i="1"/>
  <c r="J1664" i="1"/>
  <c r="I1664" i="1"/>
  <c r="H1664" i="1"/>
  <c r="G1664" i="1"/>
  <c r="F1664" i="1"/>
  <c r="D1664" i="1"/>
  <c r="B1664" i="1"/>
  <c r="A1664" i="1"/>
  <c r="J1663" i="1"/>
  <c r="I1663" i="1"/>
  <c r="H1663" i="1"/>
  <c r="G1663" i="1"/>
  <c r="F1663" i="1"/>
  <c r="D1663" i="1"/>
  <c r="B1663" i="1"/>
  <c r="A1663" i="1"/>
  <c r="J1662" i="1"/>
  <c r="I1662" i="1"/>
  <c r="H1662" i="1"/>
  <c r="G1662" i="1"/>
  <c r="F1662" i="1"/>
  <c r="D1662" i="1"/>
  <c r="B1662" i="1"/>
  <c r="A1662" i="1"/>
  <c r="J1661" i="1"/>
  <c r="I1661" i="1"/>
  <c r="H1661" i="1"/>
  <c r="G1661" i="1"/>
  <c r="F1661" i="1"/>
  <c r="D1661" i="1"/>
  <c r="B1661" i="1"/>
  <c r="A1661" i="1"/>
  <c r="J1660" i="1"/>
  <c r="I1660" i="1"/>
  <c r="H1660" i="1"/>
  <c r="G1660" i="1"/>
  <c r="F1660" i="1"/>
  <c r="D1660" i="1"/>
  <c r="B1660" i="1"/>
  <c r="A1660" i="1"/>
  <c r="J1659" i="1"/>
  <c r="I1659" i="1"/>
  <c r="H1659" i="1"/>
  <c r="G1659" i="1"/>
  <c r="F1659" i="1"/>
  <c r="D1659" i="1"/>
  <c r="B1659" i="1"/>
  <c r="A1659" i="1"/>
  <c r="J1658" i="1"/>
  <c r="I1658" i="1"/>
  <c r="H1658" i="1"/>
  <c r="G1658" i="1"/>
  <c r="F1658" i="1"/>
  <c r="D1658" i="1"/>
  <c r="B1658" i="1"/>
  <c r="A1658" i="1"/>
  <c r="J1657" i="1"/>
  <c r="I1657" i="1"/>
  <c r="H1657" i="1"/>
  <c r="G1657" i="1"/>
  <c r="F1657" i="1"/>
  <c r="D1657" i="1"/>
  <c r="B1657" i="1"/>
  <c r="A1657" i="1"/>
  <c r="J1656" i="1"/>
  <c r="I1656" i="1"/>
  <c r="H1656" i="1"/>
  <c r="G1656" i="1"/>
  <c r="F1656" i="1"/>
  <c r="D1656" i="1"/>
  <c r="B1656" i="1"/>
  <c r="A1656" i="1"/>
  <c r="J1655" i="1"/>
  <c r="I1655" i="1"/>
  <c r="H1655" i="1"/>
  <c r="G1655" i="1"/>
  <c r="F1655" i="1"/>
  <c r="D1655" i="1"/>
  <c r="B1655" i="1"/>
  <c r="A1655" i="1"/>
  <c r="J1654" i="1"/>
  <c r="I1654" i="1"/>
  <c r="H1654" i="1"/>
  <c r="G1654" i="1"/>
  <c r="F1654" i="1"/>
  <c r="D1654" i="1"/>
  <c r="B1654" i="1"/>
  <c r="A1654" i="1"/>
  <c r="J1653" i="1"/>
  <c r="I1653" i="1"/>
  <c r="H1653" i="1"/>
  <c r="G1653" i="1"/>
  <c r="F1653" i="1"/>
  <c r="D1653" i="1"/>
  <c r="B1653" i="1"/>
  <c r="A1653" i="1"/>
  <c r="J1652" i="1"/>
  <c r="I1652" i="1"/>
  <c r="H1652" i="1"/>
  <c r="G1652" i="1"/>
  <c r="F1652" i="1"/>
  <c r="D1652" i="1"/>
  <c r="B1652" i="1"/>
  <c r="A1652" i="1"/>
  <c r="J1651" i="1"/>
  <c r="I1651" i="1"/>
  <c r="H1651" i="1"/>
  <c r="G1651" i="1"/>
  <c r="F1651" i="1"/>
  <c r="D1651" i="1"/>
  <c r="B1651" i="1"/>
  <c r="A1651" i="1"/>
  <c r="J1650" i="1"/>
  <c r="I1650" i="1"/>
  <c r="H1650" i="1"/>
  <c r="G1650" i="1"/>
  <c r="F1650" i="1"/>
  <c r="D1650" i="1"/>
  <c r="B1650" i="1"/>
  <c r="A1650" i="1"/>
  <c r="J1649" i="1"/>
  <c r="I1649" i="1"/>
  <c r="H1649" i="1"/>
  <c r="G1649" i="1"/>
  <c r="F1649" i="1"/>
  <c r="D1649" i="1"/>
  <c r="B1649" i="1"/>
  <c r="A1649" i="1"/>
  <c r="J1648" i="1"/>
  <c r="I1648" i="1"/>
  <c r="H1648" i="1"/>
  <c r="G1648" i="1"/>
  <c r="F1648" i="1"/>
  <c r="D1648" i="1"/>
  <c r="B1648" i="1"/>
  <c r="A1648" i="1"/>
  <c r="J1647" i="1"/>
  <c r="I1647" i="1"/>
  <c r="H1647" i="1"/>
  <c r="G1647" i="1"/>
  <c r="F1647" i="1"/>
  <c r="D1647" i="1"/>
  <c r="B1647" i="1"/>
  <c r="A1647" i="1"/>
  <c r="J1646" i="1"/>
  <c r="I1646" i="1"/>
  <c r="H1646" i="1"/>
  <c r="G1646" i="1"/>
  <c r="F1646" i="1"/>
  <c r="D1646" i="1"/>
  <c r="B1646" i="1"/>
  <c r="A1646" i="1"/>
  <c r="J1645" i="1"/>
  <c r="I1645" i="1"/>
  <c r="H1645" i="1"/>
  <c r="G1645" i="1"/>
  <c r="F1645" i="1"/>
  <c r="D1645" i="1"/>
  <c r="B1645" i="1"/>
  <c r="A1645" i="1"/>
  <c r="J1644" i="1"/>
  <c r="I1644" i="1"/>
  <c r="H1644" i="1"/>
  <c r="G1644" i="1"/>
  <c r="F1644" i="1"/>
  <c r="D1644" i="1"/>
  <c r="B1644" i="1"/>
  <c r="A1644" i="1"/>
  <c r="J1643" i="1"/>
  <c r="I1643" i="1"/>
  <c r="H1643" i="1"/>
  <c r="G1643" i="1"/>
  <c r="F1643" i="1"/>
  <c r="D1643" i="1"/>
  <c r="B1643" i="1"/>
  <c r="A1643" i="1"/>
  <c r="J1642" i="1"/>
  <c r="I1642" i="1"/>
  <c r="H1642" i="1"/>
  <c r="G1642" i="1"/>
  <c r="F1642" i="1"/>
  <c r="D1642" i="1"/>
  <c r="B1642" i="1"/>
  <c r="A1642" i="1"/>
  <c r="J1641" i="1"/>
  <c r="I1641" i="1"/>
  <c r="H1641" i="1"/>
  <c r="G1641" i="1"/>
  <c r="F1641" i="1"/>
  <c r="D1641" i="1"/>
  <c r="B1641" i="1"/>
  <c r="A1641" i="1"/>
  <c r="J1640" i="1"/>
  <c r="I1640" i="1"/>
  <c r="H1640" i="1"/>
  <c r="G1640" i="1"/>
  <c r="F1640" i="1"/>
  <c r="D1640" i="1"/>
  <c r="B1640" i="1"/>
  <c r="A1640" i="1"/>
  <c r="J1639" i="1"/>
  <c r="I1639" i="1"/>
  <c r="H1639" i="1"/>
  <c r="G1639" i="1"/>
  <c r="F1639" i="1"/>
  <c r="D1639" i="1"/>
  <c r="B1639" i="1"/>
  <c r="A1639" i="1"/>
  <c r="J1638" i="1"/>
  <c r="I1638" i="1"/>
  <c r="H1638" i="1"/>
  <c r="G1638" i="1"/>
  <c r="F1638" i="1"/>
  <c r="D1638" i="1"/>
  <c r="B1638" i="1"/>
  <c r="A1638" i="1"/>
  <c r="J1637" i="1"/>
  <c r="I1637" i="1"/>
  <c r="H1637" i="1"/>
  <c r="G1637" i="1"/>
  <c r="F1637" i="1"/>
  <c r="D1637" i="1"/>
  <c r="B1637" i="1"/>
  <c r="A1637" i="1"/>
  <c r="J1636" i="1"/>
  <c r="I1636" i="1"/>
  <c r="H1636" i="1"/>
  <c r="G1636" i="1"/>
  <c r="F1636" i="1"/>
  <c r="D1636" i="1"/>
  <c r="B1636" i="1"/>
  <c r="A1636" i="1"/>
  <c r="J1635" i="1"/>
  <c r="I1635" i="1"/>
  <c r="H1635" i="1"/>
  <c r="G1635" i="1"/>
  <c r="F1635" i="1"/>
  <c r="D1635" i="1"/>
  <c r="B1635" i="1"/>
  <c r="A1635" i="1"/>
  <c r="J1634" i="1"/>
  <c r="I1634" i="1"/>
  <c r="H1634" i="1"/>
  <c r="G1634" i="1"/>
  <c r="F1634" i="1"/>
  <c r="D1634" i="1"/>
  <c r="B1634" i="1"/>
  <c r="A1634" i="1"/>
  <c r="J1633" i="1"/>
  <c r="I1633" i="1"/>
  <c r="H1633" i="1"/>
  <c r="G1633" i="1"/>
  <c r="F1633" i="1"/>
  <c r="D1633" i="1"/>
  <c r="B1633" i="1"/>
  <c r="A1633" i="1"/>
  <c r="J1632" i="1"/>
  <c r="I1632" i="1"/>
  <c r="H1632" i="1"/>
  <c r="G1632" i="1"/>
  <c r="F1632" i="1"/>
  <c r="D1632" i="1"/>
  <c r="B1632" i="1"/>
  <c r="A1632" i="1"/>
  <c r="J1631" i="1"/>
  <c r="I1631" i="1"/>
  <c r="H1631" i="1"/>
  <c r="G1631" i="1"/>
  <c r="F1631" i="1"/>
  <c r="D1631" i="1"/>
  <c r="B1631" i="1"/>
  <c r="A1631" i="1"/>
  <c r="J1630" i="1"/>
  <c r="I1630" i="1"/>
  <c r="H1630" i="1"/>
  <c r="G1630" i="1"/>
  <c r="F1630" i="1"/>
  <c r="D1630" i="1"/>
  <c r="B1630" i="1"/>
  <c r="A1630" i="1"/>
  <c r="J1629" i="1"/>
  <c r="I1629" i="1"/>
  <c r="H1629" i="1"/>
  <c r="G1629" i="1"/>
  <c r="F1629" i="1"/>
  <c r="D1629" i="1"/>
  <c r="B1629" i="1"/>
  <c r="A1629" i="1"/>
  <c r="J1628" i="1"/>
  <c r="I1628" i="1"/>
  <c r="H1628" i="1"/>
  <c r="G1628" i="1"/>
  <c r="F1628" i="1"/>
  <c r="D1628" i="1"/>
  <c r="B1628" i="1"/>
  <c r="A1628" i="1"/>
  <c r="J1627" i="1"/>
  <c r="I1627" i="1"/>
  <c r="H1627" i="1"/>
  <c r="G1627" i="1"/>
  <c r="F1627" i="1"/>
  <c r="D1627" i="1"/>
  <c r="B1627" i="1"/>
  <c r="A1627" i="1"/>
  <c r="J1626" i="1"/>
  <c r="I1626" i="1"/>
  <c r="H1626" i="1"/>
  <c r="G1626" i="1"/>
  <c r="F1626" i="1"/>
  <c r="D1626" i="1"/>
  <c r="B1626" i="1"/>
  <c r="A1626" i="1"/>
  <c r="J1625" i="1"/>
  <c r="I1625" i="1"/>
  <c r="H1625" i="1"/>
  <c r="G1625" i="1"/>
  <c r="F1625" i="1"/>
  <c r="D1625" i="1"/>
  <c r="B1625" i="1"/>
  <c r="A1625" i="1"/>
  <c r="J1624" i="1"/>
  <c r="I1624" i="1"/>
  <c r="H1624" i="1"/>
  <c r="G1624" i="1"/>
  <c r="F1624" i="1"/>
  <c r="D1624" i="1"/>
  <c r="B1624" i="1"/>
  <c r="A1624" i="1"/>
  <c r="J1623" i="1"/>
  <c r="I1623" i="1"/>
  <c r="H1623" i="1"/>
  <c r="G1623" i="1"/>
  <c r="F1623" i="1"/>
  <c r="D1623" i="1"/>
  <c r="B1623" i="1"/>
  <c r="A1623" i="1"/>
  <c r="J1622" i="1"/>
  <c r="I1622" i="1"/>
  <c r="H1622" i="1"/>
  <c r="G1622" i="1"/>
  <c r="F1622" i="1"/>
  <c r="D1622" i="1"/>
  <c r="B1622" i="1"/>
  <c r="A1622" i="1"/>
  <c r="J1621" i="1"/>
  <c r="I1621" i="1"/>
  <c r="H1621" i="1"/>
  <c r="G1621" i="1"/>
  <c r="F1621" i="1"/>
  <c r="D1621" i="1"/>
  <c r="B1621" i="1"/>
  <c r="A1621" i="1"/>
  <c r="J1620" i="1"/>
  <c r="I1620" i="1"/>
  <c r="G1620" i="1"/>
  <c r="F1620" i="1"/>
  <c r="A1620" i="1"/>
  <c r="J1619" i="1"/>
  <c r="I1619" i="1"/>
  <c r="H1619" i="1"/>
  <c r="G1619" i="1"/>
  <c r="F1619" i="1"/>
  <c r="D1619" i="1"/>
  <c r="B1619" i="1"/>
  <c r="A1619" i="1"/>
  <c r="J1618" i="1"/>
  <c r="I1618" i="1"/>
  <c r="H1618" i="1"/>
  <c r="G1618" i="1"/>
  <c r="F1618" i="1"/>
  <c r="D1618" i="1"/>
  <c r="B1618" i="1"/>
  <c r="A1618" i="1"/>
  <c r="J1617" i="1"/>
  <c r="I1617" i="1"/>
  <c r="H1617" i="1"/>
  <c r="G1617" i="1"/>
  <c r="F1617" i="1"/>
  <c r="D1617" i="1"/>
  <c r="B1617" i="1"/>
  <c r="A1617" i="1"/>
  <c r="J1616" i="1"/>
  <c r="I1616" i="1"/>
  <c r="H1616" i="1"/>
  <c r="G1616" i="1"/>
  <c r="F1616" i="1"/>
  <c r="D1616" i="1"/>
  <c r="B1616" i="1"/>
  <c r="A1616" i="1"/>
  <c r="J1615" i="1"/>
  <c r="I1615" i="1"/>
  <c r="H1615" i="1"/>
  <c r="G1615" i="1"/>
  <c r="F1615" i="1"/>
  <c r="D1615" i="1"/>
  <c r="B1615" i="1"/>
  <c r="A1615" i="1"/>
  <c r="J1614" i="1"/>
  <c r="I1614" i="1"/>
  <c r="H1614" i="1"/>
  <c r="G1614" i="1"/>
  <c r="F1614" i="1"/>
  <c r="D1614" i="1"/>
  <c r="B1614" i="1"/>
  <c r="A1614" i="1"/>
  <c r="J1613" i="1"/>
  <c r="I1613" i="1"/>
  <c r="H1613" i="1"/>
  <c r="G1613" i="1"/>
  <c r="F1613" i="1"/>
  <c r="D1613" i="1"/>
  <c r="B1613" i="1"/>
  <c r="A1613" i="1"/>
  <c r="J1612" i="1"/>
  <c r="I1612" i="1"/>
  <c r="H1612" i="1"/>
  <c r="G1612" i="1"/>
  <c r="F1612" i="1"/>
  <c r="D1612" i="1"/>
  <c r="B1612" i="1"/>
  <c r="A1612" i="1"/>
  <c r="J1611" i="1"/>
  <c r="I1611" i="1"/>
  <c r="H1611" i="1"/>
  <c r="G1611" i="1"/>
  <c r="F1611" i="1"/>
  <c r="D1611" i="1"/>
  <c r="B1611" i="1"/>
  <c r="A1611" i="1"/>
  <c r="J1610" i="1"/>
  <c r="I1610" i="1"/>
  <c r="H1610" i="1"/>
  <c r="G1610" i="1"/>
  <c r="F1610" i="1"/>
  <c r="D1610" i="1"/>
  <c r="B1610" i="1"/>
  <c r="A1610" i="1"/>
  <c r="J1609" i="1"/>
  <c r="I1609" i="1"/>
  <c r="H1609" i="1"/>
  <c r="G1609" i="1"/>
  <c r="F1609" i="1"/>
  <c r="D1609" i="1"/>
  <c r="B1609" i="1"/>
  <c r="A1609" i="1"/>
  <c r="J1608" i="1"/>
  <c r="I1608" i="1"/>
  <c r="H1608" i="1"/>
  <c r="G1608" i="1"/>
  <c r="F1608" i="1"/>
  <c r="D1608" i="1"/>
  <c r="B1608" i="1"/>
  <c r="A1608" i="1"/>
  <c r="J1607" i="1"/>
  <c r="I1607" i="1"/>
  <c r="H1607" i="1"/>
  <c r="G1607" i="1"/>
  <c r="F1607" i="1"/>
  <c r="D1607" i="1"/>
  <c r="B1607" i="1"/>
  <c r="A1607" i="1"/>
  <c r="J1606" i="1"/>
  <c r="I1606" i="1"/>
  <c r="H1606" i="1"/>
  <c r="G1606" i="1"/>
  <c r="F1606" i="1"/>
  <c r="D1606" i="1"/>
  <c r="B1606" i="1"/>
  <c r="A1606" i="1"/>
  <c r="J1605" i="1"/>
  <c r="I1605" i="1"/>
  <c r="H1605" i="1"/>
  <c r="G1605" i="1"/>
  <c r="F1605" i="1"/>
  <c r="D1605" i="1"/>
  <c r="B1605" i="1"/>
  <c r="A1605" i="1"/>
  <c r="J1604" i="1"/>
  <c r="I1604" i="1"/>
  <c r="H1604" i="1"/>
  <c r="G1604" i="1"/>
  <c r="F1604" i="1"/>
  <c r="D1604" i="1"/>
  <c r="B1604" i="1"/>
  <c r="A1604" i="1"/>
  <c r="J1603" i="1"/>
  <c r="I1603" i="1"/>
  <c r="H1603" i="1"/>
  <c r="G1603" i="1"/>
  <c r="F1603" i="1"/>
  <c r="D1603" i="1"/>
  <c r="B1603" i="1"/>
  <c r="A1603" i="1"/>
  <c r="J1602" i="1"/>
  <c r="I1602" i="1"/>
  <c r="H1602" i="1"/>
  <c r="G1602" i="1"/>
  <c r="F1602" i="1"/>
  <c r="D1602" i="1"/>
  <c r="B1602" i="1"/>
  <c r="A1602" i="1"/>
  <c r="J1601" i="1"/>
  <c r="I1601" i="1"/>
  <c r="H1601" i="1"/>
  <c r="G1601" i="1"/>
  <c r="F1601" i="1"/>
  <c r="D1601" i="1"/>
  <c r="B1601" i="1"/>
  <c r="A1601" i="1"/>
  <c r="J1600" i="1"/>
  <c r="I1600" i="1"/>
  <c r="H1600" i="1"/>
  <c r="G1600" i="1"/>
  <c r="F1600" i="1"/>
  <c r="D1600" i="1"/>
  <c r="B1600" i="1"/>
  <c r="A1600" i="1"/>
  <c r="J1599" i="1"/>
  <c r="I1599" i="1"/>
  <c r="H1599" i="1"/>
  <c r="G1599" i="1"/>
  <c r="F1599" i="1"/>
  <c r="D1599" i="1"/>
  <c r="B1599" i="1"/>
  <c r="A1599" i="1"/>
  <c r="J1598" i="1"/>
  <c r="I1598" i="1"/>
  <c r="H1598" i="1"/>
  <c r="G1598" i="1"/>
  <c r="F1598" i="1"/>
  <c r="D1598" i="1"/>
  <c r="B1598" i="1"/>
  <c r="A1598" i="1"/>
  <c r="J1597" i="1"/>
  <c r="I1597" i="1"/>
  <c r="H1597" i="1"/>
  <c r="G1597" i="1"/>
  <c r="F1597" i="1"/>
  <c r="D1597" i="1"/>
  <c r="B1597" i="1"/>
  <c r="A1597" i="1"/>
  <c r="J1596" i="1"/>
  <c r="I1596" i="1"/>
  <c r="H1596" i="1"/>
  <c r="G1596" i="1"/>
  <c r="F1596" i="1"/>
  <c r="D1596" i="1"/>
  <c r="B1596" i="1"/>
  <c r="A1596" i="1"/>
  <c r="J1595" i="1"/>
  <c r="I1595" i="1"/>
  <c r="H1595" i="1"/>
  <c r="G1595" i="1"/>
  <c r="F1595" i="1"/>
  <c r="D1595" i="1"/>
  <c r="B1595" i="1"/>
  <c r="A1595" i="1"/>
  <c r="J1594" i="1"/>
  <c r="I1594" i="1"/>
  <c r="H1594" i="1"/>
  <c r="G1594" i="1"/>
  <c r="F1594" i="1"/>
  <c r="D1594" i="1"/>
  <c r="B1594" i="1"/>
  <c r="A1594" i="1"/>
  <c r="J1593" i="1"/>
  <c r="I1593" i="1"/>
  <c r="H1593" i="1"/>
  <c r="G1593" i="1"/>
  <c r="F1593" i="1"/>
  <c r="D1593" i="1"/>
  <c r="B1593" i="1"/>
  <c r="A1593" i="1"/>
  <c r="J1592" i="1"/>
  <c r="I1592" i="1"/>
  <c r="H1592" i="1"/>
  <c r="G1592" i="1"/>
  <c r="F1592" i="1"/>
  <c r="D1592" i="1"/>
  <c r="B1592" i="1"/>
  <c r="A1592" i="1"/>
  <c r="J1591" i="1"/>
  <c r="I1591" i="1"/>
  <c r="H1591" i="1"/>
  <c r="G1591" i="1"/>
  <c r="F1591" i="1"/>
  <c r="D1591" i="1"/>
  <c r="B1591" i="1"/>
  <c r="A1591" i="1"/>
  <c r="J1590" i="1"/>
  <c r="I1590" i="1"/>
  <c r="H1590" i="1"/>
  <c r="G1590" i="1"/>
  <c r="F1590" i="1"/>
  <c r="D1590" i="1"/>
  <c r="B1590" i="1"/>
  <c r="A1590" i="1"/>
  <c r="J1589" i="1"/>
  <c r="I1589" i="1"/>
  <c r="H1589" i="1"/>
  <c r="G1589" i="1"/>
  <c r="F1589" i="1"/>
  <c r="D1589" i="1"/>
  <c r="B1589" i="1"/>
  <c r="A1589" i="1"/>
  <c r="J1588" i="1"/>
  <c r="I1588" i="1"/>
  <c r="H1588" i="1"/>
  <c r="G1588" i="1"/>
  <c r="F1588" i="1"/>
  <c r="D1588" i="1"/>
  <c r="B1588" i="1"/>
  <c r="A1588" i="1"/>
  <c r="J1587" i="1"/>
  <c r="I1587" i="1"/>
  <c r="H1587" i="1"/>
  <c r="G1587" i="1"/>
  <c r="F1587" i="1"/>
  <c r="D1587" i="1"/>
  <c r="B1587" i="1"/>
  <c r="A1587" i="1"/>
  <c r="J1586" i="1"/>
  <c r="I1586" i="1"/>
  <c r="H1586" i="1"/>
  <c r="G1586" i="1"/>
  <c r="F1586" i="1"/>
  <c r="D1586" i="1"/>
  <c r="B1586" i="1"/>
  <c r="A1586" i="1"/>
  <c r="J1585" i="1"/>
  <c r="I1585" i="1"/>
  <c r="H1585" i="1"/>
  <c r="G1585" i="1"/>
  <c r="F1585" i="1"/>
  <c r="D1585" i="1"/>
  <c r="B1585" i="1"/>
  <c r="A1585" i="1"/>
  <c r="J1584" i="1"/>
  <c r="I1584" i="1"/>
  <c r="H1584" i="1"/>
  <c r="G1584" i="1"/>
  <c r="F1584" i="1"/>
  <c r="D1584" i="1"/>
  <c r="B1584" i="1"/>
  <c r="A1584" i="1"/>
  <c r="J1583" i="1"/>
  <c r="I1583" i="1"/>
  <c r="H1583" i="1"/>
  <c r="G1583" i="1"/>
  <c r="F1583" i="1"/>
  <c r="D1583" i="1"/>
  <c r="B1583" i="1"/>
  <c r="A1583" i="1"/>
  <c r="J1582" i="1"/>
  <c r="I1582" i="1"/>
  <c r="H1582" i="1"/>
  <c r="G1582" i="1"/>
  <c r="F1582" i="1"/>
  <c r="D1582" i="1"/>
  <c r="B1582" i="1"/>
  <c r="A1582" i="1"/>
  <c r="J1581" i="1"/>
  <c r="I1581" i="1"/>
  <c r="H1581" i="1"/>
  <c r="G1581" i="1"/>
  <c r="F1581" i="1"/>
  <c r="D1581" i="1"/>
  <c r="B1581" i="1"/>
  <c r="A1581" i="1"/>
  <c r="J1580" i="1"/>
  <c r="I1580" i="1"/>
  <c r="H1580" i="1"/>
  <c r="G1580" i="1"/>
  <c r="F1580" i="1"/>
  <c r="D1580" i="1"/>
  <c r="B1580" i="1"/>
  <c r="A1580" i="1"/>
  <c r="J1579" i="1"/>
  <c r="I1579" i="1"/>
  <c r="H1579" i="1"/>
  <c r="G1579" i="1"/>
  <c r="F1579" i="1"/>
  <c r="D1579" i="1"/>
  <c r="B1579" i="1"/>
  <c r="A1579" i="1"/>
  <c r="J1578" i="1"/>
  <c r="I1578" i="1"/>
  <c r="H1578" i="1"/>
  <c r="G1578" i="1"/>
  <c r="F1578" i="1"/>
  <c r="D1578" i="1"/>
  <c r="B1578" i="1"/>
  <c r="A1578" i="1"/>
  <c r="J1577" i="1"/>
  <c r="I1577" i="1"/>
  <c r="H1577" i="1"/>
  <c r="G1577" i="1"/>
  <c r="F1577" i="1"/>
  <c r="D1577" i="1"/>
  <c r="B1577" i="1"/>
  <c r="A1577" i="1"/>
  <c r="J1576" i="1"/>
  <c r="I1576" i="1"/>
  <c r="G1576" i="1"/>
  <c r="F1576" i="1"/>
  <c r="A1576" i="1"/>
  <c r="J1575" i="1"/>
  <c r="I1575" i="1"/>
  <c r="H1575" i="1"/>
  <c r="G1575" i="1"/>
  <c r="F1575" i="1"/>
  <c r="D1575" i="1"/>
  <c r="B1575" i="1"/>
  <c r="A1575" i="1"/>
  <c r="J1574" i="1"/>
  <c r="I1574" i="1"/>
  <c r="H1574" i="1"/>
  <c r="G1574" i="1"/>
  <c r="F1574" i="1"/>
  <c r="D1574" i="1"/>
  <c r="B1574" i="1"/>
  <c r="A1574" i="1"/>
  <c r="J1573" i="1"/>
  <c r="I1573" i="1"/>
  <c r="H1573" i="1"/>
  <c r="G1573" i="1"/>
  <c r="F1573" i="1"/>
  <c r="D1573" i="1"/>
  <c r="B1573" i="1"/>
  <c r="A1573" i="1"/>
  <c r="J1572" i="1"/>
  <c r="I1572" i="1"/>
  <c r="H1572" i="1"/>
  <c r="G1572" i="1"/>
  <c r="F1572" i="1"/>
  <c r="D1572" i="1"/>
  <c r="B1572" i="1"/>
  <c r="A1572" i="1"/>
  <c r="J1571" i="1"/>
  <c r="I1571" i="1"/>
  <c r="H1571" i="1"/>
  <c r="G1571" i="1"/>
  <c r="F1571" i="1"/>
  <c r="D1571" i="1"/>
  <c r="B1571" i="1"/>
  <c r="A1571" i="1"/>
  <c r="J1570" i="1"/>
  <c r="I1570" i="1"/>
  <c r="H1570" i="1"/>
  <c r="G1570" i="1"/>
  <c r="F1570" i="1"/>
  <c r="D1570" i="1"/>
  <c r="B1570" i="1"/>
  <c r="A1570" i="1"/>
  <c r="J1569" i="1"/>
  <c r="I1569" i="1"/>
  <c r="H1569" i="1"/>
  <c r="G1569" i="1"/>
  <c r="F1569" i="1"/>
  <c r="D1569" i="1"/>
  <c r="B1569" i="1"/>
  <c r="A1569" i="1"/>
  <c r="J1568" i="1"/>
  <c r="I1568" i="1"/>
  <c r="H1568" i="1"/>
  <c r="G1568" i="1"/>
  <c r="F1568" i="1"/>
  <c r="D1568" i="1"/>
  <c r="B1568" i="1"/>
  <c r="A1568" i="1"/>
  <c r="J1567" i="1"/>
  <c r="I1567" i="1"/>
  <c r="G1567" i="1"/>
  <c r="F1567" i="1"/>
  <c r="A1567" i="1"/>
  <c r="J1566" i="1"/>
  <c r="I1566" i="1"/>
  <c r="G1566" i="1"/>
  <c r="F1566" i="1"/>
  <c r="A1566" i="1"/>
  <c r="J1565" i="1"/>
  <c r="I1565" i="1"/>
  <c r="H1565" i="1"/>
  <c r="G1565" i="1"/>
  <c r="F1565" i="1"/>
  <c r="D1565" i="1"/>
  <c r="B1565" i="1"/>
  <c r="A1565" i="1"/>
  <c r="J1564" i="1"/>
  <c r="I1564" i="1"/>
  <c r="H1564" i="1"/>
  <c r="G1564" i="1"/>
  <c r="F1564" i="1"/>
  <c r="D1564" i="1"/>
  <c r="B1564" i="1"/>
  <c r="A1564" i="1"/>
  <c r="J1563" i="1"/>
  <c r="I1563" i="1"/>
  <c r="H1563" i="1"/>
  <c r="G1563" i="1"/>
  <c r="F1563" i="1"/>
  <c r="D1563" i="1"/>
  <c r="B1563" i="1"/>
  <c r="A1563" i="1"/>
  <c r="J1562" i="1"/>
  <c r="I1562" i="1"/>
  <c r="H1562" i="1"/>
  <c r="G1562" i="1"/>
  <c r="F1562" i="1"/>
  <c r="D1562" i="1"/>
  <c r="B1562" i="1"/>
  <c r="A1562" i="1"/>
  <c r="J1561" i="1"/>
  <c r="I1561" i="1"/>
  <c r="H1561" i="1"/>
  <c r="G1561" i="1"/>
  <c r="F1561" i="1"/>
  <c r="D1561" i="1"/>
  <c r="B1561" i="1"/>
  <c r="A1561" i="1"/>
  <c r="J1560" i="1"/>
  <c r="I1560" i="1"/>
  <c r="H1560" i="1"/>
  <c r="G1560" i="1"/>
  <c r="F1560" i="1"/>
  <c r="D1560" i="1"/>
  <c r="B1560" i="1"/>
  <c r="A1560" i="1"/>
  <c r="J1559" i="1"/>
  <c r="I1559" i="1"/>
  <c r="H1559" i="1"/>
  <c r="G1559" i="1"/>
  <c r="F1559" i="1"/>
  <c r="D1559" i="1"/>
  <c r="B1559" i="1"/>
  <c r="A1559" i="1"/>
  <c r="J1558" i="1"/>
  <c r="I1558" i="1"/>
  <c r="H1558" i="1"/>
  <c r="G1558" i="1"/>
  <c r="F1558" i="1"/>
  <c r="D1558" i="1"/>
  <c r="B1558" i="1"/>
  <c r="A1558" i="1"/>
  <c r="J1557" i="1"/>
  <c r="I1557" i="1"/>
  <c r="H1557" i="1"/>
  <c r="G1557" i="1"/>
  <c r="F1557" i="1"/>
  <c r="D1557" i="1"/>
  <c r="B1557" i="1"/>
  <c r="A1557" i="1"/>
  <c r="J1556" i="1"/>
  <c r="I1556" i="1"/>
  <c r="H1556" i="1"/>
  <c r="G1556" i="1"/>
  <c r="F1556" i="1"/>
  <c r="D1556" i="1"/>
  <c r="B1556" i="1"/>
  <c r="A1556" i="1"/>
  <c r="J1555" i="1"/>
  <c r="I1555" i="1"/>
  <c r="H1555" i="1"/>
  <c r="G1555" i="1"/>
  <c r="F1555" i="1"/>
  <c r="D1555" i="1"/>
  <c r="B1555" i="1"/>
  <c r="A1555" i="1"/>
  <c r="J1554" i="1"/>
  <c r="I1554" i="1"/>
  <c r="H1554" i="1"/>
  <c r="G1554" i="1"/>
  <c r="F1554" i="1"/>
  <c r="D1554" i="1"/>
  <c r="B1554" i="1"/>
  <c r="A1554" i="1"/>
  <c r="J1553" i="1"/>
  <c r="I1553" i="1"/>
  <c r="H1553" i="1"/>
  <c r="G1553" i="1"/>
  <c r="F1553" i="1"/>
  <c r="D1553" i="1"/>
  <c r="B1553" i="1"/>
  <c r="A1553" i="1"/>
  <c r="J1552" i="1"/>
  <c r="I1552" i="1"/>
  <c r="H1552" i="1"/>
  <c r="G1552" i="1"/>
  <c r="F1552" i="1"/>
  <c r="D1552" i="1"/>
  <c r="B1552" i="1"/>
  <c r="A1552" i="1"/>
  <c r="J1551" i="1"/>
  <c r="I1551" i="1"/>
  <c r="H1551" i="1"/>
  <c r="G1551" i="1"/>
  <c r="F1551" i="1"/>
  <c r="D1551" i="1"/>
  <c r="B1551" i="1"/>
  <c r="A1551" i="1"/>
  <c r="J1550" i="1"/>
  <c r="I1550" i="1"/>
  <c r="H1550" i="1"/>
  <c r="G1550" i="1"/>
  <c r="F1550" i="1"/>
  <c r="D1550" i="1"/>
  <c r="B1550" i="1"/>
  <c r="A1550" i="1"/>
  <c r="J1549" i="1"/>
  <c r="I1549" i="1"/>
  <c r="H1549" i="1"/>
  <c r="G1549" i="1"/>
  <c r="F1549" i="1"/>
  <c r="D1549" i="1"/>
  <c r="B1549" i="1"/>
  <c r="A1549" i="1"/>
  <c r="J1548" i="1"/>
  <c r="I1548" i="1"/>
  <c r="H1548" i="1"/>
  <c r="G1548" i="1"/>
  <c r="F1548" i="1"/>
  <c r="D1548" i="1"/>
  <c r="B1548" i="1"/>
  <c r="A1548" i="1"/>
  <c r="J1547" i="1"/>
  <c r="I1547" i="1"/>
  <c r="H1547" i="1"/>
  <c r="G1547" i="1"/>
  <c r="F1547" i="1"/>
  <c r="D1547" i="1"/>
  <c r="B1547" i="1"/>
  <c r="A1547" i="1"/>
  <c r="J1546" i="1"/>
  <c r="I1546" i="1"/>
  <c r="H1546" i="1"/>
  <c r="G1546" i="1"/>
  <c r="F1546" i="1"/>
  <c r="D1546" i="1"/>
  <c r="B1546" i="1"/>
  <c r="A1546" i="1"/>
  <c r="J1545" i="1"/>
  <c r="I1545" i="1"/>
  <c r="H1545" i="1"/>
  <c r="G1545" i="1"/>
  <c r="F1545" i="1"/>
  <c r="D1545" i="1"/>
  <c r="B1545" i="1"/>
  <c r="A1545" i="1"/>
  <c r="J1544" i="1"/>
  <c r="I1544" i="1"/>
  <c r="H1544" i="1"/>
  <c r="G1544" i="1"/>
  <c r="F1544" i="1"/>
  <c r="D1544" i="1"/>
  <c r="B1544" i="1"/>
  <c r="A1544" i="1"/>
  <c r="J1543" i="1"/>
  <c r="I1543" i="1"/>
  <c r="H1543" i="1"/>
  <c r="G1543" i="1"/>
  <c r="F1543" i="1"/>
  <c r="D1543" i="1"/>
  <c r="B1543" i="1"/>
  <c r="A1543" i="1"/>
  <c r="J1542" i="1"/>
  <c r="I1542" i="1"/>
  <c r="H1542" i="1"/>
  <c r="G1542" i="1"/>
  <c r="F1542" i="1"/>
  <c r="D1542" i="1"/>
  <c r="B1542" i="1"/>
  <c r="A1542" i="1"/>
  <c r="J1541" i="1"/>
  <c r="I1541" i="1"/>
  <c r="H1541" i="1"/>
  <c r="G1541" i="1"/>
  <c r="F1541" i="1"/>
  <c r="D1541" i="1"/>
  <c r="B1541" i="1"/>
  <c r="A1541" i="1"/>
  <c r="J1540" i="1"/>
  <c r="I1540" i="1"/>
  <c r="H1540" i="1"/>
  <c r="G1540" i="1"/>
  <c r="F1540" i="1"/>
  <c r="D1540" i="1"/>
  <c r="B1540" i="1"/>
  <c r="A1540" i="1"/>
  <c r="J1539" i="1"/>
  <c r="I1539" i="1"/>
  <c r="H1539" i="1"/>
  <c r="G1539" i="1"/>
  <c r="F1539" i="1"/>
  <c r="D1539" i="1"/>
  <c r="B1539" i="1"/>
  <c r="A1539" i="1"/>
  <c r="J1538" i="1"/>
  <c r="I1538" i="1"/>
  <c r="H1538" i="1"/>
  <c r="G1538" i="1"/>
  <c r="F1538" i="1"/>
  <c r="D1538" i="1"/>
  <c r="B1538" i="1"/>
  <c r="A1538" i="1"/>
  <c r="J1537" i="1"/>
  <c r="I1537" i="1"/>
  <c r="H1537" i="1"/>
  <c r="G1537" i="1"/>
  <c r="F1537" i="1"/>
  <c r="D1537" i="1"/>
  <c r="B1537" i="1"/>
  <c r="A1537" i="1"/>
  <c r="J1536" i="1"/>
  <c r="I1536" i="1"/>
  <c r="H1536" i="1"/>
  <c r="G1536" i="1"/>
  <c r="F1536" i="1"/>
  <c r="D1536" i="1"/>
  <c r="B1536" i="1"/>
  <c r="A1536" i="1"/>
  <c r="J1535" i="1"/>
  <c r="I1535" i="1"/>
  <c r="H1535" i="1"/>
  <c r="G1535" i="1"/>
  <c r="F1535" i="1"/>
  <c r="D1535" i="1"/>
  <c r="B1535" i="1"/>
  <c r="A1535" i="1"/>
  <c r="J1534" i="1"/>
  <c r="I1534" i="1"/>
  <c r="H1534" i="1"/>
  <c r="G1534" i="1"/>
  <c r="F1534" i="1"/>
  <c r="D1534" i="1"/>
  <c r="B1534" i="1"/>
  <c r="A1534" i="1"/>
  <c r="J1533" i="1"/>
  <c r="I1533" i="1"/>
  <c r="H1533" i="1"/>
  <c r="G1533" i="1"/>
  <c r="F1533" i="1"/>
  <c r="D1533" i="1"/>
  <c r="B1533" i="1"/>
  <c r="A1533" i="1"/>
  <c r="J1532" i="1"/>
  <c r="I1532" i="1"/>
  <c r="H1532" i="1"/>
  <c r="G1532" i="1"/>
  <c r="F1532" i="1"/>
  <c r="D1532" i="1"/>
  <c r="B1532" i="1"/>
  <c r="A1532" i="1"/>
  <c r="J1531" i="1"/>
  <c r="I1531" i="1"/>
  <c r="H1531" i="1"/>
  <c r="G1531" i="1"/>
  <c r="F1531" i="1"/>
  <c r="D1531" i="1"/>
  <c r="B1531" i="1"/>
  <c r="A1531" i="1"/>
  <c r="J1530" i="1"/>
  <c r="I1530" i="1"/>
  <c r="H1530" i="1"/>
  <c r="G1530" i="1"/>
  <c r="F1530" i="1"/>
  <c r="D1530" i="1"/>
  <c r="B1530" i="1"/>
  <c r="A1530" i="1"/>
  <c r="J1529" i="1"/>
  <c r="I1529" i="1"/>
  <c r="H1529" i="1"/>
  <c r="G1529" i="1"/>
  <c r="F1529" i="1"/>
  <c r="D1529" i="1"/>
  <c r="B1529" i="1"/>
  <c r="A1529" i="1"/>
  <c r="J1528" i="1"/>
  <c r="I1528" i="1"/>
  <c r="H1528" i="1"/>
  <c r="G1528" i="1"/>
  <c r="F1528" i="1"/>
  <c r="D1528" i="1"/>
  <c r="B1528" i="1"/>
  <c r="A1528" i="1"/>
  <c r="J1527" i="1"/>
  <c r="I1527" i="1"/>
  <c r="H1527" i="1"/>
  <c r="G1527" i="1"/>
  <c r="F1527" i="1"/>
  <c r="D1527" i="1"/>
  <c r="B1527" i="1"/>
  <c r="A1527" i="1"/>
  <c r="J1526" i="1"/>
  <c r="I1526" i="1"/>
  <c r="H1526" i="1"/>
  <c r="G1526" i="1"/>
  <c r="F1526" i="1"/>
  <c r="D1526" i="1"/>
  <c r="B1526" i="1"/>
  <c r="A1526" i="1"/>
  <c r="J1525" i="1"/>
  <c r="I1525" i="1"/>
  <c r="H1525" i="1"/>
  <c r="G1525" i="1"/>
  <c r="F1525" i="1"/>
  <c r="D1525" i="1"/>
  <c r="B1525" i="1"/>
  <c r="A1525" i="1"/>
  <c r="J1524" i="1"/>
  <c r="I1524" i="1"/>
  <c r="H1524" i="1"/>
  <c r="G1524" i="1"/>
  <c r="F1524" i="1"/>
  <c r="D1524" i="1"/>
  <c r="B1524" i="1"/>
  <c r="A1524" i="1"/>
  <c r="J1523" i="1"/>
  <c r="I1523" i="1"/>
  <c r="H1523" i="1"/>
  <c r="G1523" i="1"/>
  <c r="F1523" i="1"/>
  <c r="D1523" i="1"/>
  <c r="B1523" i="1"/>
  <c r="A1523" i="1"/>
  <c r="J1522" i="1"/>
  <c r="I1522" i="1"/>
  <c r="H1522" i="1"/>
  <c r="G1522" i="1"/>
  <c r="F1522" i="1"/>
  <c r="D1522" i="1"/>
  <c r="B1522" i="1"/>
  <c r="A1522" i="1"/>
  <c r="J1521" i="1"/>
  <c r="I1521" i="1"/>
  <c r="G1521" i="1"/>
  <c r="F1521" i="1"/>
  <c r="A1521" i="1"/>
  <c r="J1520" i="1"/>
  <c r="I1520" i="1"/>
  <c r="H1520" i="1"/>
  <c r="G1520" i="1"/>
  <c r="F1520" i="1"/>
  <c r="D1520" i="1"/>
  <c r="B1520" i="1"/>
  <c r="A1520" i="1"/>
  <c r="J1519" i="1"/>
  <c r="I1519" i="1"/>
  <c r="H1519" i="1"/>
  <c r="G1519" i="1"/>
  <c r="F1519" i="1"/>
  <c r="D1519" i="1"/>
  <c r="B1519" i="1"/>
  <c r="A1519" i="1"/>
  <c r="J1518" i="1"/>
  <c r="I1518" i="1"/>
  <c r="H1518" i="1"/>
  <c r="G1518" i="1"/>
  <c r="F1518" i="1"/>
  <c r="D1518" i="1"/>
  <c r="B1518" i="1"/>
  <c r="A1518" i="1"/>
  <c r="J1517" i="1"/>
  <c r="I1517" i="1"/>
  <c r="H1517" i="1"/>
  <c r="G1517" i="1"/>
  <c r="F1517" i="1"/>
  <c r="D1517" i="1"/>
  <c r="B1517" i="1"/>
  <c r="A1517" i="1"/>
  <c r="J1516" i="1"/>
  <c r="I1516" i="1"/>
  <c r="H1516" i="1"/>
  <c r="G1516" i="1"/>
  <c r="F1516" i="1"/>
  <c r="D1516" i="1"/>
  <c r="B1516" i="1"/>
  <c r="A1516" i="1"/>
  <c r="J1515" i="1"/>
  <c r="I1515" i="1"/>
  <c r="H1515" i="1"/>
  <c r="G1515" i="1"/>
  <c r="F1515" i="1"/>
  <c r="D1515" i="1"/>
  <c r="B1515" i="1"/>
  <c r="A1515" i="1"/>
  <c r="J1514" i="1"/>
  <c r="I1514" i="1"/>
  <c r="H1514" i="1"/>
  <c r="G1514" i="1"/>
  <c r="F1514" i="1"/>
  <c r="D1514" i="1"/>
  <c r="B1514" i="1"/>
  <c r="A1514" i="1"/>
  <c r="J1513" i="1"/>
  <c r="I1513" i="1"/>
  <c r="H1513" i="1"/>
  <c r="G1513" i="1"/>
  <c r="F1513" i="1"/>
  <c r="D1513" i="1"/>
  <c r="B1513" i="1"/>
  <c r="A1513" i="1"/>
  <c r="J1512" i="1"/>
  <c r="I1512" i="1"/>
  <c r="H1512" i="1"/>
  <c r="G1512" i="1"/>
  <c r="F1512" i="1"/>
  <c r="D1512" i="1"/>
  <c r="B1512" i="1"/>
  <c r="A1512" i="1"/>
  <c r="J1511" i="1"/>
  <c r="I1511" i="1"/>
  <c r="H1511" i="1"/>
  <c r="G1511" i="1"/>
  <c r="F1511" i="1"/>
  <c r="D1511" i="1"/>
  <c r="B1511" i="1"/>
  <c r="A1511" i="1"/>
  <c r="J1510" i="1"/>
  <c r="I1510" i="1"/>
  <c r="H1510" i="1"/>
  <c r="G1510" i="1"/>
  <c r="F1510" i="1"/>
  <c r="D1510" i="1"/>
  <c r="B1510" i="1"/>
  <c r="A1510" i="1"/>
  <c r="J1509" i="1"/>
  <c r="I1509" i="1"/>
  <c r="H1509" i="1"/>
  <c r="G1509" i="1"/>
  <c r="F1509" i="1"/>
  <c r="D1509" i="1"/>
  <c r="B1509" i="1"/>
  <c r="A1509" i="1"/>
  <c r="J1508" i="1"/>
  <c r="I1508" i="1"/>
  <c r="H1508" i="1"/>
  <c r="G1508" i="1"/>
  <c r="F1508" i="1"/>
  <c r="D1508" i="1"/>
  <c r="B1508" i="1"/>
  <c r="A1508" i="1"/>
  <c r="J1507" i="1"/>
  <c r="I1507" i="1"/>
  <c r="H1507" i="1"/>
  <c r="G1507" i="1"/>
  <c r="F1507" i="1"/>
  <c r="D1507" i="1"/>
  <c r="B1507" i="1"/>
  <c r="A1507" i="1"/>
  <c r="J1506" i="1"/>
  <c r="I1506" i="1"/>
  <c r="H1506" i="1"/>
  <c r="G1506" i="1"/>
  <c r="F1506" i="1"/>
  <c r="D1506" i="1"/>
  <c r="B1506" i="1"/>
  <c r="A1506" i="1"/>
  <c r="J1505" i="1"/>
  <c r="I1505" i="1"/>
  <c r="H1505" i="1"/>
  <c r="G1505" i="1"/>
  <c r="F1505" i="1"/>
  <c r="D1505" i="1"/>
  <c r="B1505" i="1"/>
  <c r="A1505" i="1"/>
  <c r="J1504" i="1"/>
  <c r="I1504" i="1"/>
  <c r="H1504" i="1"/>
  <c r="G1504" i="1"/>
  <c r="F1504" i="1"/>
  <c r="D1504" i="1"/>
  <c r="B1504" i="1"/>
  <c r="A1504" i="1"/>
  <c r="J1503" i="1"/>
  <c r="I1503" i="1"/>
  <c r="H1503" i="1"/>
  <c r="G1503" i="1"/>
  <c r="F1503" i="1"/>
  <c r="D1503" i="1"/>
  <c r="B1503" i="1"/>
  <c r="A1503" i="1"/>
  <c r="J1502" i="1"/>
  <c r="I1502" i="1"/>
  <c r="H1502" i="1"/>
  <c r="G1502" i="1"/>
  <c r="F1502" i="1"/>
  <c r="D1502" i="1"/>
  <c r="B1502" i="1"/>
  <c r="A1502" i="1"/>
  <c r="J1501" i="1"/>
  <c r="I1501" i="1"/>
  <c r="H1501" i="1"/>
  <c r="G1501" i="1"/>
  <c r="F1501" i="1"/>
  <c r="D1501" i="1"/>
  <c r="B1501" i="1"/>
  <c r="A1501" i="1"/>
  <c r="J1500" i="1"/>
  <c r="I1500" i="1"/>
  <c r="H1500" i="1"/>
  <c r="G1500" i="1"/>
  <c r="F1500" i="1"/>
  <c r="D1500" i="1"/>
  <c r="B1500" i="1"/>
  <c r="A1500" i="1"/>
  <c r="J1499" i="1"/>
  <c r="I1499" i="1"/>
  <c r="H1499" i="1"/>
  <c r="G1499" i="1"/>
  <c r="F1499" i="1"/>
  <c r="D1499" i="1"/>
  <c r="B1499" i="1"/>
  <c r="A1499" i="1"/>
  <c r="J1498" i="1"/>
  <c r="I1498" i="1"/>
  <c r="H1498" i="1"/>
  <c r="G1498" i="1"/>
  <c r="F1498" i="1"/>
  <c r="D1498" i="1"/>
  <c r="B1498" i="1"/>
  <c r="A1498" i="1"/>
  <c r="J1497" i="1"/>
  <c r="I1497" i="1"/>
  <c r="H1497" i="1"/>
  <c r="G1497" i="1"/>
  <c r="F1497" i="1"/>
  <c r="D1497" i="1"/>
  <c r="B1497" i="1"/>
  <c r="A1497" i="1"/>
  <c r="J1496" i="1"/>
  <c r="I1496" i="1"/>
  <c r="H1496" i="1"/>
  <c r="G1496" i="1"/>
  <c r="F1496" i="1"/>
  <c r="D1496" i="1"/>
  <c r="B1496" i="1"/>
  <c r="A1496" i="1"/>
  <c r="J1495" i="1"/>
  <c r="I1495" i="1"/>
  <c r="H1495" i="1"/>
  <c r="G1495" i="1"/>
  <c r="F1495" i="1"/>
  <c r="D1495" i="1"/>
  <c r="B1495" i="1"/>
  <c r="A1495" i="1"/>
  <c r="J1494" i="1"/>
  <c r="I1494" i="1"/>
  <c r="H1494" i="1"/>
  <c r="G1494" i="1"/>
  <c r="F1494" i="1"/>
  <c r="D1494" i="1"/>
  <c r="B1494" i="1"/>
  <c r="A1494" i="1"/>
  <c r="J1493" i="1"/>
  <c r="I1493" i="1"/>
  <c r="H1493" i="1"/>
  <c r="G1493" i="1"/>
  <c r="F1493" i="1"/>
  <c r="D1493" i="1"/>
  <c r="B1493" i="1"/>
  <c r="A1493" i="1"/>
  <c r="J1492" i="1"/>
  <c r="I1492" i="1"/>
  <c r="H1492" i="1"/>
  <c r="G1492" i="1"/>
  <c r="F1492" i="1"/>
  <c r="D1492" i="1"/>
  <c r="B1492" i="1"/>
  <c r="A1492" i="1"/>
  <c r="J1491" i="1"/>
  <c r="I1491" i="1"/>
  <c r="H1491" i="1"/>
  <c r="G1491" i="1"/>
  <c r="F1491" i="1"/>
  <c r="D1491" i="1"/>
  <c r="B1491" i="1"/>
  <c r="A1491" i="1"/>
  <c r="J1490" i="1"/>
  <c r="I1490" i="1"/>
  <c r="H1490" i="1"/>
  <c r="G1490" i="1"/>
  <c r="F1490" i="1"/>
  <c r="D1490" i="1"/>
  <c r="B1490" i="1"/>
  <c r="A1490" i="1"/>
  <c r="J1489" i="1"/>
  <c r="I1489" i="1"/>
  <c r="H1489" i="1"/>
  <c r="G1489" i="1"/>
  <c r="F1489" i="1"/>
  <c r="D1489" i="1"/>
  <c r="B1489" i="1"/>
  <c r="A1489" i="1"/>
  <c r="J1488" i="1"/>
  <c r="I1488" i="1"/>
  <c r="H1488" i="1"/>
  <c r="G1488" i="1"/>
  <c r="F1488" i="1"/>
  <c r="D1488" i="1"/>
  <c r="B1488" i="1"/>
  <c r="A1488" i="1"/>
  <c r="J1487" i="1"/>
  <c r="I1487" i="1"/>
  <c r="H1487" i="1"/>
  <c r="G1487" i="1"/>
  <c r="F1487" i="1"/>
  <c r="D1487" i="1"/>
  <c r="B1487" i="1"/>
  <c r="A1487" i="1"/>
  <c r="J1486" i="1"/>
  <c r="I1486" i="1"/>
  <c r="H1486" i="1"/>
  <c r="G1486" i="1"/>
  <c r="F1486" i="1"/>
  <c r="D1486" i="1"/>
  <c r="B1486" i="1"/>
  <c r="A1486" i="1"/>
  <c r="J1485" i="1"/>
  <c r="I1485" i="1"/>
  <c r="H1485" i="1"/>
  <c r="G1485" i="1"/>
  <c r="F1485" i="1"/>
  <c r="D1485" i="1"/>
  <c r="B1485" i="1"/>
  <c r="A1485" i="1"/>
  <c r="J1484" i="1"/>
  <c r="I1484" i="1"/>
  <c r="H1484" i="1"/>
  <c r="G1484" i="1"/>
  <c r="F1484" i="1"/>
  <c r="D1484" i="1"/>
  <c r="B1484" i="1"/>
  <c r="A1484" i="1"/>
  <c r="J1483" i="1"/>
  <c r="I1483" i="1"/>
  <c r="H1483" i="1"/>
  <c r="G1483" i="1"/>
  <c r="F1483" i="1"/>
  <c r="D1483" i="1"/>
  <c r="B1483" i="1"/>
  <c r="A1483" i="1"/>
  <c r="J1482" i="1"/>
  <c r="I1482" i="1"/>
  <c r="H1482" i="1"/>
  <c r="G1482" i="1"/>
  <c r="F1482" i="1"/>
  <c r="D1482" i="1"/>
  <c r="B1482" i="1"/>
  <c r="A1482" i="1"/>
  <c r="J1481" i="1"/>
  <c r="I1481" i="1"/>
  <c r="H1481" i="1"/>
  <c r="G1481" i="1"/>
  <c r="F1481" i="1"/>
  <c r="D1481" i="1"/>
  <c r="B1481" i="1"/>
  <c r="A1481" i="1"/>
  <c r="J1480" i="1"/>
  <c r="I1480" i="1"/>
  <c r="H1480" i="1"/>
  <c r="G1480" i="1"/>
  <c r="F1480" i="1"/>
  <c r="D1480" i="1"/>
  <c r="B1480" i="1"/>
  <c r="A1480" i="1"/>
  <c r="J1479" i="1"/>
  <c r="I1479" i="1"/>
  <c r="H1479" i="1"/>
  <c r="G1479" i="1"/>
  <c r="F1479" i="1"/>
  <c r="D1479" i="1"/>
  <c r="B1479" i="1"/>
  <c r="A1479" i="1"/>
  <c r="J1478" i="1"/>
  <c r="I1478" i="1"/>
  <c r="H1478" i="1"/>
  <c r="G1478" i="1"/>
  <c r="F1478" i="1"/>
  <c r="D1478" i="1"/>
  <c r="B1478" i="1"/>
  <c r="A1478" i="1"/>
  <c r="J1477" i="1"/>
  <c r="I1477" i="1"/>
  <c r="H1477" i="1"/>
  <c r="G1477" i="1"/>
  <c r="F1477" i="1"/>
  <c r="D1477" i="1"/>
  <c r="B1477" i="1"/>
  <c r="A1477" i="1"/>
  <c r="J1476" i="1"/>
  <c r="I1476" i="1"/>
  <c r="H1476" i="1"/>
  <c r="G1476" i="1"/>
  <c r="F1476" i="1"/>
  <c r="D1476" i="1"/>
  <c r="B1476" i="1"/>
  <c r="A1476" i="1"/>
  <c r="J1475" i="1"/>
  <c r="I1475" i="1"/>
  <c r="H1475" i="1"/>
  <c r="G1475" i="1"/>
  <c r="F1475" i="1"/>
  <c r="D1475" i="1"/>
  <c r="B1475" i="1"/>
  <c r="A1475" i="1"/>
  <c r="J1474" i="1"/>
  <c r="I1474" i="1"/>
  <c r="H1474" i="1"/>
  <c r="G1474" i="1"/>
  <c r="F1474" i="1"/>
  <c r="D1474" i="1"/>
  <c r="B1474" i="1"/>
  <c r="A1474" i="1"/>
  <c r="J1473" i="1"/>
  <c r="I1473" i="1"/>
  <c r="H1473" i="1"/>
  <c r="G1473" i="1"/>
  <c r="F1473" i="1"/>
  <c r="D1473" i="1"/>
  <c r="B1473" i="1"/>
  <c r="A1473" i="1"/>
  <c r="J1472" i="1"/>
  <c r="I1472" i="1"/>
  <c r="H1472" i="1"/>
  <c r="G1472" i="1"/>
  <c r="F1472" i="1"/>
  <c r="D1472" i="1"/>
  <c r="B1472" i="1"/>
  <c r="A1472" i="1"/>
  <c r="J1471" i="1"/>
  <c r="I1471" i="1"/>
  <c r="H1471" i="1"/>
  <c r="G1471" i="1"/>
  <c r="F1471" i="1"/>
  <c r="D1471" i="1"/>
  <c r="B1471" i="1"/>
  <c r="A1471" i="1"/>
  <c r="J1470" i="1"/>
  <c r="I1470" i="1"/>
  <c r="H1470" i="1"/>
  <c r="G1470" i="1"/>
  <c r="F1470" i="1"/>
  <c r="D1470" i="1"/>
  <c r="B1470" i="1"/>
  <c r="A1470" i="1"/>
  <c r="J1469" i="1"/>
  <c r="I1469" i="1"/>
  <c r="H1469" i="1"/>
  <c r="G1469" i="1"/>
  <c r="F1469" i="1"/>
  <c r="D1469" i="1"/>
  <c r="B1469" i="1"/>
  <c r="A1469" i="1"/>
  <c r="J1468" i="1"/>
  <c r="I1468" i="1"/>
  <c r="H1468" i="1"/>
  <c r="G1468" i="1"/>
  <c r="F1468" i="1"/>
  <c r="D1468" i="1"/>
  <c r="B1468" i="1"/>
  <c r="A1468" i="1"/>
  <c r="J1467" i="1"/>
  <c r="I1467" i="1"/>
  <c r="H1467" i="1"/>
  <c r="G1467" i="1"/>
  <c r="F1467" i="1"/>
  <c r="D1467" i="1"/>
  <c r="B1467" i="1"/>
  <c r="A1467" i="1"/>
  <c r="J1466" i="1"/>
  <c r="I1466" i="1"/>
  <c r="H1466" i="1"/>
  <c r="G1466" i="1"/>
  <c r="F1466" i="1"/>
  <c r="D1466" i="1"/>
  <c r="B1466" i="1"/>
  <c r="A1466" i="1"/>
  <c r="J1465" i="1"/>
  <c r="I1465" i="1"/>
  <c r="H1465" i="1"/>
  <c r="G1465" i="1"/>
  <c r="F1465" i="1"/>
  <c r="D1465" i="1"/>
  <c r="B1465" i="1"/>
  <c r="A1465" i="1"/>
  <c r="J1464" i="1"/>
  <c r="I1464" i="1"/>
  <c r="H1464" i="1"/>
  <c r="G1464" i="1"/>
  <c r="F1464" i="1"/>
  <c r="D1464" i="1"/>
  <c r="B1464" i="1"/>
  <c r="A1464" i="1"/>
  <c r="J1463" i="1"/>
  <c r="I1463" i="1"/>
  <c r="H1463" i="1"/>
  <c r="G1463" i="1"/>
  <c r="F1463" i="1"/>
  <c r="D1463" i="1"/>
  <c r="B1463" i="1"/>
  <c r="A1463" i="1"/>
  <c r="J1462" i="1"/>
  <c r="I1462" i="1"/>
  <c r="H1462" i="1"/>
  <c r="G1462" i="1"/>
  <c r="F1462" i="1"/>
  <c r="D1462" i="1"/>
  <c r="B1462" i="1"/>
  <c r="A1462" i="1"/>
  <c r="J1461" i="1"/>
  <c r="I1461" i="1"/>
  <c r="H1461" i="1"/>
  <c r="G1461" i="1"/>
  <c r="F1461" i="1"/>
  <c r="D1461" i="1"/>
  <c r="B1461" i="1"/>
  <c r="A1461" i="1"/>
  <c r="J1460" i="1"/>
  <c r="I1460" i="1"/>
  <c r="H1460" i="1"/>
  <c r="G1460" i="1"/>
  <c r="F1460" i="1"/>
  <c r="D1460" i="1"/>
  <c r="B1460" i="1"/>
  <c r="A1460" i="1"/>
  <c r="J1459" i="1"/>
  <c r="I1459" i="1"/>
  <c r="H1459" i="1"/>
  <c r="G1459" i="1"/>
  <c r="F1459" i="1"/>
  <c r="D1459" i="1"/>
  <c r="B1459" i="1"/>
  <c r="A1459" i="1"/>
  <c r="J1458" i="1"/>
  <c r="I1458" i="1"/>
  <c r="H1458" i="1"/>
  <c r="G1458" i="1"/>
  <c r="F1458" i="1"/>
  <c r="D1458" i="1"/>
  <c r="B1458" i="1"/>
  <c r="A1458" i="1"/>
  <c r="J1457" i="1"/>
  <c r="I1457" i="1"/>
  <c r="H1457" i="1"/>
  <c r="G1457" i="1"/>
  <c r="F1457" i="1"/>
  <c r="D1457" i="1"/>
  <c r="B1457" i="1"/>
  <c r="A1457" i="1"/>
  <c r="J1456" i="1"/>
  <c r="I1456" i="1"/>
  <c r="H1456" i="1"/>
  <c r="G1456" i="1"/>
  <c r="F1456" i="1"/>
  <c r="D1456" i="1"/>
  <c r="B1456" i="1"/>
  <c r="A1456" i="1"/>
  <c r="J1455" i="1"/>
  <c r="I1455" i="1"/>
  <c r="H1455" i="1"/>
  <c r="G1455" i="1"/>
  <c r="F1455" i="1"/>
  <c r="D1455" i="1"/>
  <c r="B1455" i="1"/>
  <c r="A1455" i="1"/>
  <c r="J1454" i="1"/>
  <c r="I1454" i="1"/>
  <c r="H1454" i="1"/>
  <c r="G1454" i="1"/>
  <c r="F1454" i="1"/>
  <c r="D1454" i="1"/>
  <c r="B1454" i="1"/>
  <c r="A1454" i="1"/>
  <c r="J1453" i="1"/>
  <c r="I1453" i="1"/>
  <c r="H1453" i="1"/>
  <c r="G1453" i="1"/>
  <c r="F1453" i="1"/>
  <c r="D1453" i="1"/>
  <c r="B1453" i="1"/>
  <c r="A1453" i="1"/>
  <c r="J1452" i="1"/>
  <c r="I1452" i="1"/>
  <c r="H1452" i="1"/>
  <c r="G1452" i="1"/>
  <c r="F1452" i="1"/>
  <c r="D1452" i="1"/>
  <c r="B1452" i="1"/>
  <c r="A1452" i="1"/>
  <c r="J1451" i="1"/>
  <c r="I1451" i="1"/>
  <c r="H1451" i="1"/>
  <c r="G1451" i="1"/>
  <c r="F1451" i="1"/>
  <c r="D1451" i="1"/>
  <c r="B1451" i="1"/>
  <c r="A1451" i="1"/>
  <c r="J1450" i="1"/>
  <c r="I1450" i="1"/>
  <c r="H1450" i="1"/>
  <c r="G1450" i="1"/>
  <c r="F1450" i="1"/>
  <c r="D1450" i="1"/>
  <c r="B1450" i="1"/>
  <c r="A1450" i="1"/>
  <c r="J1449" i="1"/>
  <c r="I1449" i="1"/>
  <c r="H1449" i="1"/>
  <c r="G1449" i="1"/>
  <c r="F1449" i="1"/>
  <c r="D1449" i="1"/>
  <c r="B1449" i="1"/>
  <c r="A1449" i="1"/>
  <c r="J1448" i="1"/>
  <c r="I1448" i="1"/>
  <c r="H1448" i="1"/>
  <c r="G1448" i="1"/>
  <c r="F1448" i="1"/>
  <c r="D1448" i="1"/>
  <c r="B1448" i="1"/>
  <c r="A1448" i="1"/>
  <c r="J1447" i="1"/>
  <c r="I1447" i="1"/>
  <c r="H1447" i="1"/>
  <c r="G1447" i="1"/>
  <c r="F1447" i="1"/>
  <c r="D1447" i="1"/>
  <c r="B1447" i="1"/>
  <c r="A1447" i="1"/>
  <c r="J1446" i="1"/>
  <c r="I1446" i="1"/>
  <c r="H1446" i="1"/>
  <c r="G1446" i="1"/>
  <c r="F1446" i="1"/>
  <c r="D1446" i="1"/>
  <c r="B1446" i="1"/>
  <c r="A1446" i="1"/>
  <c r="J1445" i="1"/>
  <c r="I1445" i="1"/>
  <c r="H1445" i="1"/>
  <c r="G1445" i="1"/>
  <c r="F1445" i="1"/>
  <c r="D1445" i="1"/>
  <c r="B1445" i="1"/>
  <c r="A1445" i="1"/>
  <c r="J1444" i="1"/>
  <c r="I1444" i="1"/>
  <c r="H1444" i="1"/>
  <c r="G1444" i="1"/>
  <c r="F1444" i="1"/>
  <c r="D1444" i="1"/>
  <c r="B1444" i="1"/>
  <c r="A1444" i="1"/>
  <c r="J1443" i="1"/>
  <c r="I1443" i="1"/>
  <c r="H1443" i="1"/>
  <c r="G1443" i="1"/>
  <c r="F1443" i="1"/>
  <c r="D1443" i="1"/>
  <c r="B1443" i="1"/>
  <c r="A1443" i="1"/>
  <c r="J1442" i="1"/>
  <c r="I1442" i="1"/>
  <c r="H1442" i="1"/>
  <c r="G1442" i="1"/>
  <c r="F1442" i="1"/>
  <c r="D1442" i="1"/>
  <c r="B1442" i="1"/>
  <c r="A1442" i="1"/>
  <c r="J1441" i="1"/>
  <c r="I1441" i="1"/>
  <c r="H1441" i="1"/>
  <c r="G1441" i="1"/>
  <c r="F1441" i="1"/>
  <c r="D1441" i="1"/>
  <c r="B1441" i="1"/>
  <c r="A1441" i="1"/>
  <c r="J1440" i="1"/>
  <c r="I1440" i="1"/>
  <c r="H1440" i="1"/>
  <c r="G1440" i="1"/>
  <c r="F1440" i="1"/>
  <c r="D1440" i="1"/>
  <c r="B1440" i="1"/>
  <c r="A1440" i="1"/>
  <c r="J1439" i="1"/>
  <c r="I1439" i="1"/>
  <c r="H1439" i="1"/>
  <c r="G1439" i="1"/>
  <c r="F1439" i="1"/>
  <c r="D1439" i="1"/>
  <c r="B1439" i="1"/>
  <c r="A1439" i="1"/>
  <c r="J1438" i="1"/>
  <c r="I1438" i="1"/>
  <c r="G1438" i="1"/>
  <c r="F1438" i="1"/>
  <c r="A1438" i="1"/>
  <c r="J1437" i="1"/>
  <c r="I1437" i="1"/>
  <c r="H1437" i="1"/>
  <c r="G1437" i="1"/>
  <c r="F1437" i="1"/>
  <c r="D1437" i="1"/>
  <c r="B1437" i="1"/>
  <c r="A1437" i="1"/>
  <c r="J1436" i="1"/>
  <c r="I1436" i="1"/>
  <c r="H1436" i="1"/>
  <c r="G1436" i="1"/>
  <c r="F1436" i="1"/>
  <c r="D1436" i="1"/>
  <c r="B1436" i="1"/>
  <c r="A1436" i="1"/>
  <c r="J1435" i="1"/>
  <c r="I1435" i="1"/>
  <c r="H1435" i="1"/>
  <c r="G1435" i="1"/>
  <c r="F1435" i="1"/>
  <c r="D1435" i="1"/>
  <c r="B1435" i="1"/>
  <c r="A1435" i="1"/>
  <c r="J1434" i="1"/>
  <c r="I1434" i="1"/>
  <c r="H1434" i="1"/>
  <c r="G1434" i="1"/>
  <c r="F1434" i="1"/>
  <c r="D1434" i="1"/>
  <c r="B1434" i="1"/>
  <c r="A1434" i="1"/>
  <c r="J1433" i="1"/>
  <c r="I1433" i="1"/>
  <c r="H1433" i="1"/>
  <c r="G1433" i="1"/>
  <c r="F1433" i="1"/>
  <c r="D1433" i="1"/>
  <c r="B1433" i="1"/>
  <c r="A1433" i="1"/>
  <c r="J1432" i="1"/>
  <c r="I1432" i="1"/>
  <c r="H1432" i="1"/>
  <c r="G1432" i="1"/>
  <c r="F1432" i="1"/>
  <c r="D1432" i="1"/>
  <c r="B1432" i="1"/>
  <c r="A1432" i="1"/>
  <c r="J1431" i="1"/>
  <c r="I1431" i="1"/>
  <c r="H1431" i="1"/>
  <c r="G1431" i="1"/>
  <c r="F1431" i="1"/>
  <c r="D1431" i="1"/>
  <c r="B1431" i="1"/>
  <c r="A1431" i="1"/>
  <c r="J1430" i="1"/>
  <c r="I1430" i="1"/>
  <c r="H1430" i="1"/>
  <c r="G1430" i="1"/>
  <c r="F1430" i="1"/>
  <c r="D1430" i="1"/>
  <c r="B1430" i="1"/>
  <c r="A1430" i="1"/>
  <c r="J1429" i="1"/>
  <c r="I1429" i="1"/>
  <c r="H1429" i="1"/>
  <c r="G1429" i="1"/>
  <c r="F1429" i="1"/>
  <c r="D1429" i="1"/>
  <c r="B1429" i="1"/>
  <c r="A1429" i="1"/>
  <c r="J1428" i="1"/>
  <c r="I1428" i="1"/>
  <c r="H1428" i="1"/>
  <c r="G1428" i="1"/>
  <c r="F1428" i="1"/>
  <c r="D1428" i="1"/>
  <c r="B1428" i="1"/>
  <c r="A1428" i="1"/>
  <c r="J1427" i="1"/>
  <c r="I1427" i="1"/>
  <c r="H1427" i="1"/>
  <c r="G1427" i="1"/>
  <c r="F1427" i="1"/>
  <c r="D1427" i="1"/>
  <c r="B1427" i="1"/>
  <c r="A1427" i="1"/>
  <c r="J1426" i="1"/>
  <c r="I1426" i="1"/>
  <c r="H1426" i="1"/>
  <c r="G1426" i="1"/>
  <c r="F1426" i="1"/>
  <c r="D1426" i="1"/>
  <c r="B1426" i="1"/>
  <c r="A1426" i="1"/>
  <c r="J1425" i="1"/>
  <c r="I1425" i="1"/>
  <c r="H1425" i="1"/>
  <c r="G1425" i="1"/>
  <c r="F1425" i="1"/>
  <c r="D1425" i="1"/>
  <c r="B1425" i="1"/>
  <c r="A1425" i="1"/>
  <c r="J1424" i="1"/>
  <c r="I1424" i="1"/>
  <c r="H1424" i="1"/>
  <c r="G1424" i="1"/>
  <c r="F1424" i="1"/>
  <c r="D1424" i="1"/>
  <c r="B1424" i="1"/>
  <c r="A1424" i="1"/>
  <c r="J1423" i="1"/>
  <c r="I1423" i="1"/>
  <c r="H1423" i="1"/>
  <c r="G1423" i="1"/>
  <c r="F1423" i="1"/>
  <c r="D1423" i="1"/>
  <c r="B1423" i="1"/>
  <c r="A1423" i="1"/>
  <c r="J1422" i="1"/>
  <c r="I1422" i="1"/>
  <c r="H1422" i="1"/>
  <c r="G1422" i="1"/>
  <c r="F1422" i="1"/>
  <c r="D1422" i="1"/>
  <c r="B1422" i="1"/>
  <c r="A1422" i="1"/>
  <c r="J1421" i="1"/>
  <c r="I1421" i="1"/>
  <c r="H1421" i="1"/>
  <c r="G1421" i="1"/>
  <c r="F1421" i="1"/>
  <c r="D1421" i="1"/>
  <c r="B1421" i="1"/>
  <c r="A1421" i="1"/>
  <c r="J1420" i="1"/>
  <c r="I1420" i="1"/>
  <c r="H1420" i="1"/>
  <c r="G1420" i="1"/>
  <c r="F1420" i="1"/>
  <c r="D1420" i="1"/>
  <c r="B1420" i="1"/>
  <c r="A1420" i="1"/>
  <c r="J1419" i="1"/>
  <c r="I1419" i="1"/>
  <c r="H1419" i="1"/>
  <c r="G1419" i="1"/>
  <c r="F1419" i="1"/>
  <c r="D1419" i="1"/>
  <c r="B1419" i="1"/>
  <c r="A1419" i="1"/>
  <c r="J1418" i="1"/>
  <c r="I1418" i="1"/>
  <c r="G1418" i="1"/>
  <c r="F1418" i="1"/>
  <c r="A1418" i="1"/>
  <c r="J1417" i="1"/>
  <c r="I1417" i="1"/>
  <c r="H1417" i="1"/>
  <c r="G1417" i="1"/>
  <c r="F1417" i="1"/>
  <c r="D1417" i="1"/>
  <c r="B1417" i="1"/>
  <c r="A1417" i="1"/>
  <c r="J1416" i="1"/>
  <c r="I1416" i="1"/>
  <c r="H1416" i="1"/>
  <c r="G1416" i="1"/>
  <c r="F1416" i="1"/>
  <c r="D1416" i="1"/>
  <c r="B1416" i="1"/>
  <c r="A1416" i="1"/>
  <c r="J1415" i="1"/>
  <c r="I1415" i="1"/>
  <c r="H1415" i="1"/>
  <c r="G1415" i="1"/>
  <c r="F1415" i="1"/>
  <c r="D1415" i="1"/>
  <c r="B1415" i="1"/>
  <c r="A1415" i="1"/>
  <c r="J1414" i="1"/>
  <c r="I1414" i="1"/>
  <c r="H1414" i="1"/>
  <c r="G1414" i="1"/>
  <c r="F1414" i="1"/>
  <c r="D1414" i="1"/>
  <c r="B1414" i="1"/>
  <c r="A1414" i="1"/>
  <c r="J1413" i="1"/>
  <c r="I1413" i="1"/>
  <c r="H1413" i="1"/>
  <c r="G1413" i="1"/>
  <c r="F1413" i="1"/>
  <c r="D1413" i="1"/>
  <c r="B1413" i="1"/>
  <c r="A1413" i="1"/>
  <c r="J1412" i="1"/>
  <c r="I1412" i="1"/>
  <c r="H1412" i="1"/>
  <c r="G1412" i="1"/>
  <c r="F1412" i="1"/>
  <c r="D1412" i="1"/>
  <c r="B1412" i="1"/>
  <c r="A1412" i="1"/>
  <c r="J1411" i="1"/>
  <c r="I1411" i="1"/>
  <c r="H1411" i="1"/>
  <c r="G1411" i="1"/>
  <c r="F1411" i="1"/>
  <c r="D1411" i="1"/>
  <c r="B1411" i="1"/>
  <c r="A1411" i="1"/>
  <c r="J1410" i="1"/>
  <c r="I1410" i="1"/>
  <c r="H1410" i="1"/>
  <c r="G1410" i="1"/>
  <c r="F1410" i="1"/>
  <c r="D1410" i="1"/>
  <c r="B1410" i="1"/>
  <c r="A1410" i="1"/>
  <c r="J1409" i="1"/>
  <c r="I1409" i="1"/>
  <c r="H1409" i="1"/>
  <c r="G1409" i="1"/>
  <c r="F1409" i="1"/>
  <c r="D1409" i="1"/>
  <c r="B1409" i="1"/>
  <c r="A1409" i="1"/>
  <c r="J1408" i="1"/>
  <c r="I1408" i="1"/>
  <c r="H1408" i="1"/>
  <c r="G1408" i="1"/>
  <c r="F1408" i="1"/>
  <c r="D1408" i="1"/>
  <c r="B1408" i="1"/>
  <c r="A1408" i="1"/>
  <c r="J1407" i="1"/>
  <c r="I1407" i="1"/>
  <c r="H1407" i="1"/>
  <c r="G1407" i="1"/>
  <c r="F1407" i="1"/>
  <c r="D1407" i="1"/>
  <c r="B1407" i="1"/>
  <c r="A1407" i="1"/>
  <c r="J1406" i="1"/>
  <c r="I1406" i="1"/>
  <c r="H1406" i="1"/>
  <c r="G1406" i="1"/>
  <c r="F1406" i="1"/>
  <c r="D1406" i="1"/>
  <c r="B1406" i="1"/>
  <c r="A1406" i="1"/>
  <c r="J1405" i="1"/>
  <c r="I1405" i="1"/>
  <c r="H1405" i="1"/>
  <c r="G1405" i="1"/>
  <c r="F1405" i="1"/>
  <c r="D1405" i="1"/>
  <c r="B1405" i="1"/>
  <c r="A1405" i="1"/>
  <c r="J1404" i="1"/>
  <c r="I1404" i="1"/>
  <c r="H1404" i="1"/>
  <c r="G1404" i="1"/>
  <c r="F1404" i="1"/>
  <c r="D1404" i="1"/>
  <c r="B1404" i="1"/>
  <c r="A1404" i="1"/>
  <c r="J1403" i="1"/>
  <c r="I1403" i="1"/>
  <c r="H1403" i="1"/>
  <c r="G1403" i="1"/>
  <c r="F1403" i="1"/>
  <c r="D1403" i="1"/>
  <c r="B1403" i="1"/>
  <c r="A1403" i="1"/>
  <c r="J1402" i="1"/>
  <c r="I1402" i="1"/>
  <c r="H1402" i="1"/>
  <c r="G1402" i="1"/>
  <c r="F1402" i="1"/>
  <c r="D1402" i="1"/>
  <c r="B1402" i="1"/>
  <c r="A1402" i="1"/>
  <c r="J1401" i="1"/>
  <c r="I1401" i="1"/>
  <c r="H1401" i="1"/>
  <c r="G1401" i="1"/>
  <c r="F1401" i="1"/>
  <c r="D1401" i="1"/>
  <c r="B1401" i="1"/>
  <c r="A1401" i="1"/>
  <c r="J1400" i="1"/>
  <c r="I1400" i="1"/>
  <c r="H1400" i="1"/>
  <c r="G1400" i="1"/>
  <c r="F1400" i="1"/>
  <c r="D1400" i="1"/>
  <c r="B1400" i="1"/>
  <c r="A1400" i="1"/>
  <c r="J1399" i="1"/>
  <c r="I1399" i="1"/>
  <c r="H1399" i="1"/>
  <c r="G1399" i="1"/>
  <c r="F1399" i="1"/>
  <c r="D1399" i="1"/>
  <c r="B1399" i="1"/>
  <c r="A1399" i="1"/>
  <c r="J1398" i="1"/>
  <c r="I1398" i="1"/>
  <c r="H1398" i="1"/>
  <c r="G1398" i="1"/>
  <c r="F1398" i="1"/>
  <c r="D1398" i="1"/>
  <c r="B1398" i="1"/>
  <c r="A1398" i="1"/>
  <c r="J1397" i="1"/>
  <c r="I1397" i="1"/>
  <c r="H1397" i="1"/>
  <c r="G1397" i="1"/>
  <c r="F1397" i="1"/>
  <c r="D1397" i="1"/>
  <c r="B1397" i="1"/>
  <c r="A1397" i="1"/>
  <c r="J1396" i="1"/>
  <c r="I1396" i="1"/>
  <c r="H1396" i="1"/>
  <c r="G1396" i="1"/>
  <c r="F1396" i="1"/>
  <c r="D1396" i="1"/>
  <c r="B1396" i="1"/>
  <c r="A1396" i="1"/>
  <c r="J1395" i="1"/>
  <c r="I1395" i="1"/>
  <c r="H1395" i="1"/>
  <c r="G1395" i="1"/>
  <c r="F1395" i="1"/>
  <c r="D1395" i="1"/>
  <c r="B1395" i="1"/>
  <c r="A1395" i="1"/>
  <c r="J1394" i="1"/>
  <c r="I1394" i="1"/>
  <c r="H1394" i="1"/>
  <c r="G1394" i="1"/>
  <c r="F1394" i="1"/>
  <c r="D1394" i="1"/>
  <c r="B1394" i="1"/>
  <c r="A1394" i="1"/>
  <c r="J1393" i="1"/>
  <c r="I1393" i="1"/>
  <c r="H1393" i="1"/>
  <c r="G1393" i="1"/>
  <c r="F1393" i="1"/>
  <c r="D1393" i="1"/>
  <c r="B1393" i="1"/>
  <c r="A1393" i="1"/>
  <c r="J1392" i="1"/>
  <c r="I1392" i="1"/>
  <c r="H1392" i="1"/>
  <c r="G1392" i="1"/>
  <c r="F1392" i="1"/>
  <c r="D1392" i="1"/>
  <c r="B1392" i="1"/>
  <c r="A1392" i="1"/>
  <c r="J1391" i="1"/>
  <c r="I1391" i="1"/>
  <c r="H1391" i="1"/>
  <c r="G1391" i="1"/>
  <c r="F1391" i="1"/>
  <c r="D1391" i="1"/>
  <c r="B1391" i="1"/>
  <c r="A1391" i="1"/>
  <c r="J1390" i="1"/>
  <c r="I1390" i="1"/>
  <c r="H1390" i="1"/>
  <c r="G1390" i="1"/>
  <c r="F1390" i="1"/>
  <c r="D1390" i="1"/>
  <c r="B1390" i="1"/>
  <c r="A1390" i="1"/>
  <c r="J1389" i="1"/>
  <c r="I1389" i="1"/>
  <c r="H1389" i="1"/>
  <c r="G1389" i="1"/>
  <c r="F1389" i="1"/>
  <c r="D1389" i="1"/>
  <c r="B1389" i="1"/>
  <c r="A1389" i="1"/>
  <c r="J1388" i="1"/>
  <c r="I1388" i="1"/>
  <c r="H1388" i="1"/>
  <c r="G1388" i="1"/>
  <c r="F1388" i="1"/>
  <c r="D1388" i="1"/>
  <c r="B1388" i="1"/>
  <c r="A1388" i="1"/>
  <c r="J1387" i="1"/>
  <c r="I1387" i="1"/>
  <c r="H1387" i="1"/>
  <c r="G1387" i="1"/>
  <c r="F1387" i="1"/>
  <c r="D1387" i="1"/>
  <c r="B1387" i="1"/>
  <c r="A1387" i="1"/>
  <c r="J1386" i="1"/>
  <c r="I1386" i="1"/>
  <c r="H1386" i="1"/>
  <c r="G1386" i="1"/>
  <c r="F1386" i="1"/>
  <c r="D1386" i="1"/>
  <c r="B1386" i="1"/>
  <c r="A1386" i="1"/>
  <c r="J1385" i="1"/>
  <c r="I1385" i="1"/>
  <c r="H1385" i="1"/>
  <c r="G1385" i="1"/>
  <c r="F1385" i="1"/>
  <c r="D1385" i="1"/>
  <c r="B1385" i="1"/>
  <c r="A1385" i="1"/>
  <c r="J1384" i="1"/>
  <c r="I1384" i="1"/>
  <c r="H1384" i="1"/>
  <c r="G1384" i="1"/>
  <c r="F1384" i="1"/>
  <c r="D1384" i="1"/>
  <c r="B1384" i="1"/>
  <c r="A1384" i="1"/>
  <c r="J1383" i="1"/>
  <c r="I1383" i="1"/>
  <c r="H1383" i="1"/>
  <c r="G1383" i="1"/>
  <c r="F1383" i="1"/>
  <c r="D1383" i="1"/>
  <c r="B1383" i="1"/>
  <c r="A1383" i="1"/>
  <c r="J1382" i="1"/>
  <c r="I1382" i="1"/>
  <c r="H1382" i="1"/>
  <c r="G1382" i="1"/>
  <c r="F1382" i="1"/>
  <c r="D1382" i="1"/>
  <c r="B1382" i="1"/>
  <c r="A1382" i="1"/>
  <c r="J1381" i="1"/>
  <c r="I1381" i="1"/>
  <c r="H1381" i="1"/>
  <c r="G1381" i="1"/>
  <c r="F1381" i="1"/>
  <c r="D1381" i="1"/>
  <c r="B1381" i="1"/>
  <c r="A1381" i="1"/>
  <c r="J1380" i="1"/>
  <c r="I1380" i="1"/>
  <c r="H1380" i="1"/>
  <c r="G1380" i="1"/>
  <c r="F1380" i="1"/>
  <c r="D1380" i="1"/>
  <c r="B1380" i="1"/>
  <c r="A1380" i="1"/>
  <c r="J1379" i="1"/>
  <c r="I1379" i="1"/>
  <c r="H1379" i="1"/>
  <c r="G1379" i="1"/>
  <c r="F1379" i="1"/>
  <c r="D1379" i="1"/>
  <c r="B1379" i="1"/>
  <c r="A1379" i="1"/>
  <c r="J1378" i="1"/>
  <c r="I1378" i="1"/>
  <c r="H1378" i="1"/>
  <c r="G1378" i="1"/>
  <c r="F1378" i="1"/>
  <c r="D1378" i="1"/>
  <c r="B1378" i="1"/>
  <c r="A1378" i="1"/>
  <c r="J1377" i="1"/>
  <c r="I1377" i="1"/>
  <c r="H1377" i="1"/>
  <c r="G1377" i="1"/>
  <c r="F1377" i="1"/>
  <c r="D1377" i="1"/>
  <c r="B1377" i="1"/>
  <c r="A1377" i="1"/>
  <c r="J1376" i="1"/>
  <c r="I1376" i="1"/>
  <c r="H1376" i="1"/>
  <c r="G1376" i="1"/>
  <c r="F1376" i="1"/>
  <c r="D1376" i="1"/>
  <c r="B1376" i="1"/>
  <c r="A1376" i="1"/>
  <c r="J1375" i="1"/>
  <c r="I1375" i="1"/>
  <c r="H1375" i="1"/>
  <c r="G1375" i="1"/>
  <c r="F1375" i="1"/>
  <c r="D1375" i="1"/>
  <c r="B1375" i="1"/>
  <c r="A1375" i="1"/>
  <c r="J1374" i="1"/>
  <c r="I1374" i="1"/>
  <c r="H1374" i="1"/>
  <c r="G1374" i="1"/>
  <c r="F1374" i="1"/>
  <c r="D1374" i="1"/>
  <c r="B1374" i="1"/>
  <c r="A1374" i="1"/>
  <c r="J1373" i="1"/>
  <c r="I1373" i="1"/>
  <c r="H1373" i="1"/>
  <c r="G1373" i="1"/>
  <c r="F1373" i="1"/>
  <c r="D1373" i="1"/>
  <c r="B1373" i="1"/>
  <c r="A1373" i="1"/>
  <c r="J1372" i="1"/>
  <c r="I1372" i="1"/>
  <c r="H1372" i="1"/>
  <c r="G1372" i="1"/>
  <c r="F1372" i="1"/>
  <c r="D1372" i="1"/>
  <c r="B1372" i="1"/>
  <c r="A1372" i="1"/>
  <c r="J1371" i="1"/>
  <c r="I1371" i="1"/>
  <c r="H1371" i="1"/>
  <c r="G1371" i="1"/>
  <c r="F1371" i="1"/>
  <c r="D1371" i="1"/>
  <c r="B1371" i="1"/>
  <c r="A1371" i="1"/>
  <c r="J1370" i="1"/>
  <c r="I1370" i="1"/>
  <c r="H1370" i="1"/>
  <c r="G1370" i="1"/>
  <c r="F1370" i="1"/>
  <c r="D1370" i="1"/>
  <c r="B1370" i="1"/>
  <c r="A1370" i="1"/>
  <c r="J1369" i="1"/>
  <c r="I1369" i="1"/>
  <c r="H1369" i="1"/>
  <c r="G1369" i="1"/>
  <c r="F1369" i="1"/>
  <c r="D1369" i="1"/>
  <c r="B1369" i="1"/>
  <c r="A1369" i="1"/>
  <c r="J1368" i="1"/>
  <c r="I1368" i="1"/>
  <c r="H1368" i="1"/>
  <c r="G1368" i="1"/>
  <c r="F1368" i="1"/>
  <c r="D1368" i="1"/>
  <c r="B1368" i="1"/>
  <c r="A1368" i="1"/>
  <c r="J1367" i="1"/>
  <c r="I1367" i="1"/>
  <c r="H1367" i="1"/>
  <c r="G1367" i="1"/>
  <c r="F1367" i="1"/>
  <c r="D1367" i="1"/>
  <c r="B1367" i="1"/>
  <c r="A1367" i="1"/>
  <c r="J1366" i="1"/>
  <c r="I1366" i="1"/>
  <c r="H1366" i="1"/>
  <c r="G1366" i="1"/>
  <c r="F1366" i="1"/>
  <c r="D1366" i="1"/>
  <c r="B1366" i="1"/>
  <c r="A1366" i="1"/>
  <c r="J1365" i="1"/>
  <c r="I1365" i="1"/>
  <c r="H1365" i="1"/>
  <c r="G1365" i="1"/>
  <c r="F1365" i="1"/>
  <c r="D1365" i="1"/>
  <c r="B1365" i="1"/>
  <c r="A1365" i="1"/>
  <c r="J1364" i="1"/>
  <c r="I1364" i="1"/>
  <c r="H1364" i="1"/>
  <c r="G1364" i="1"/>
  <c r="F1364" i="1"/>
  <c r="D1364" i="1"/>
  <c r="B1364" i="1"/>
  <c r="A1364" i="1"/>
  <c r="J1363" i="1"/>
  <c r="I1363" i="1"/>
  <c r="H1363" i="1"/>
  <c r="G1363" i="1"/>
  <c r="F1363" i="1"/>
  <c r="D1363" i="1"/>
  <c r="B1363" i="1"/>
  <c r="A1363" i="1"/>
  <c r="J1362" i="1"/>
  <c r="I1362" i="1"/>
  <c r="H1362" i="1"/>
  <c r="G1362" i="1"/>
  <c r="F1362" i="1"/>
  <c r="D1362" i="1"/>
  <c r="B1362" i="1"/>
  <c r="A1362" i="1"/>
  <c r="J1361" i="1"/>
  <c r="I1361" i="1"/>
  <c r="H1361" i="1"/>
  <c r="G1361" i="1"/>
  <c r="F1361" i="1"/>
  <c r="D1361" i="1"/>
  <c r="B1361" i="1"/>
  <c r="A1361" i="1"/>
  <c r="J1360" i="1"/>
  <c r="I1360" i="1"/>
  <c r="H1360" i="1"/>
  <c r="G1360" i="1"/>
  <c r="F1360" i="1"/>
  <c r="D1360" i="1"/>
  <c r="B1360" i="1"/>
  <c r="A1360" i="1"/>
  <c r="J1359" i="1"/>
  <c r="I1359" i="1"/>
  <c r="H1359" i="1"/>
  <c r="G1359" i="1"/>
  <c r="F1359" i="1"/>
  <c r="D1359" i="1"/>
  <c r="B1359" i="1"/>
  <c r="A1359" i="1"/>
  <c r="J1358" i="1"/>
  <c r="I1358" i="1"/>
  <c r="G1358" i="1"/>
  <c r="F1358" i="1"/>
  <c r="A1358" i="1"/>
  <c r="J1357" i="1"/>
  <c r="I1357" i="1"/>
  <c r="H1357" i="1"/>
  <c r="G1357" i="1"/>
  <c r="F1357" i="1"/>
  <c r="D1357" i="1"/>
  <c r="B1357" i="1"/>
  <c r="A1357" i="1"/>
  <c r="J1356" i="1"/>
  <c r="I1356" i="1"/>
  <c r="H1356" i="1"/>
  <c r="G1356" i="1"/>
  <c r="F1356" i="1"/>
  <c r="D1356" i="1"/>
  <c r="B1356" i="1"/>
  <c r="A1356" i="1"/>
  <c r="J1355" i="1"/>
  <c r="I1355" i="1"/>
  <c r="H1355" i="1"/>
  <c r="G1355" i="1"/>
  <c r="F1355" i="1"/>
  <c r="D1355" i="1"/>
  <c r="B1355" i="1"/>
  <c r="A1355" i="1"/>
  <c r="J1354" i="1"/>
  <c r="I1354" i="1"/>
  <c r="H1354" i="1"/>
  <c r="G1354" i="1"/>
  <c r="F1354" i="1"/>
  <c r="D1354" i="1"/>
  <c r="B1354" i="1"/>
  <c r="A1354" i="1"/>
  <c r="J1353" i="1"/>
  <c r="I1353" i="1"/>
  <c r="H1353" i="1"/>
  <c r="G1353" i="1"/>
  <c r="F1353" i="1"/>
  <c r="D1353" i="1"/>
  <c r="B1353" i="1"/>
  <c r="A1353" i="1"/>
  <c r="J1352" i="1"/>
  <c r="I1352" i="1"/>
  <c r="H1352" i="1"/>
  <c r="G1352" i="1"/>
  <c r="F1352" i="1"/>
  <c r="D1352" i="1"/>
  <c r="B1352" i="1"/>
  <c r="A1352" i="1"/>
  <c r="J1351" i="1"/>
  <c r="I1351" i="1"/>
  <c r="H1351" i="1"/>
  <c r="G1351" i="1"/>
  <c r="F1351" i="1"/>
  <c r="D1351" i="1"/>
  <c r="B1351" i="1"/>
  <c r="A1351" i="1"/>
  <c r="J1350" i="1"/>
  <c r="I1350" i="1"/>
  <c r="H1350" i="1"/>
  <c r="G1350" i="1"/>
  <c r="F1350" i="1"/>
  <c r="D1350" i="1"/>
  <c r="B1350" i="1"/>
  <c r="A1350" i="1"/>
  <c r="J1349" i="1"/>
  <c r="I1349" i="1"/>
  <c r="H1349" i="1"/>
  <c r="G1349" i="1"/>
  <c r="F1349" i="1"/>
  <c r="D1349" i="1"/>
  <c r="B1349" i="1"/>
  <c r="A1349" i="1"/>
  <c r="J1348" i="1"/>
  <c r="I1348" i="1"/>
  <c r="H1348" i="1"/>
  <c r="G1348" i="1"/>
  <c r="F1348" i="1"/>
  <c r="D1348" i="1"/>
  <c r="B1348" i="1"/>
  <c r="A1348" i="1"/>
  <c r="J1347" i="1"/>
  <c r="I1347" i="1"/>
  <c r="H1347" i="1"/>
  <c r="G1347" i="1"/>
  <c r="F1347" i="1"/>
  <c r="D1347" i="1"/>
  <c r="B1347" i="1"/>
  <c r="A1347" i="1"/>
  <c r="J1346" i="1"/>
  <c r="I1346" i="1"/>
  <c r="H1346" i="1"/>
  <c r="G1346" i="1"/>
  <c r="F1346" i="1"/>
  <c r="D1346" i="1"/>
  <c r="B1346" i="1"/>
  <c r="A1346" i="1"/>
  <c r="J1345" i="1"/>
  <c r="I1345" i="1"/>
  <c r="H1345" i="1"/>
  <c r="G1345" i="1"/>
  <c r="F1345" i="1"/>
  <c r="D1345" i="1"/>
  <c r="B1345" i="1"/>
  <c r="A1345" i="1"/>
  <c r="J1344" i="1"/>
  <c r="I1344" i="1"/>
  <c r="H1344" i="1"/>
  <c r="G1344" i="1"/>
  <c r="F1344" i="1"/>
  <c r="D1344" i="1"/>
  <c r="B1344" i="1"/>
  <c r="A1344" i="1"/>
  <c r="J1343" i="1"/>
  <c r="I1343" i="1"/>
  <c r="H1343" i="1"/>
  <c r="G1343" i="1"/>
  <c r="F1343" i="1"/>
  <c r="D1343" i="1"/>
  <c r="B1343" i="1"/>
  <c r="A1343" i="1"/>
  <c r="J1342" i="1"/>
  <c r="I1342" i="1"/>
  <c r="H1342" i="1"/>
  <c r="G1342" i="1"/>
  <c r="F1342" i="1"/>
  <c r="D1342" i="1"/>
  <c r="B1342" i="1"/>
  <c r="A1342" i="1"/>
  <c r="J1341" i="1"/>
  <c r="I1341" i="1"/>
  <c r="H1341" i="1"/>
  <c r="G1341" i="1"/>
  <c r="F1341" i="1"/>
  <c r="D1341" i="1"/>
  <c r="B1341" i="1"/>
  <c r="A1341" i="1"/>
  <c r="J1340" i="1"/>
  <c r="I1340" i="1"/>
  <c r="H1340" i="1"/>
  <c r="G1340" i="1"/>
  <c r="F1340" i="1"/>
  <c r="D1340" i="1"/>
  <c r="B1340" i="1"/>
  <c r="A1340" i="1"/>
  <c r="J1339" i="1"/>
  <c r="I1339" i="1"/>
  <c r="H1339" i="1"/>
  <c r="G1339" i="1"/>
  <c r="F1339" i="1"/>
  <c r="D1339" i="1"/>
  <c r="B1339" i="1"/>
  <c r="A1339" i="1"/>
  <c r="J1338" i="1"/>
  <c r="I1338" i="1"/>
  <c r="H1338" i="1"/>
  <c r="G1338" i="1"/>
  <c r="F1338" i="1"/>
  <c r="D1338" i="1"/>
  <c r="B1338" i="1"/>
  <c r="A1338" i="1"/>
  <c r="J1337" i="1"/>
  <c r="I1337" i="1"/>
  <c r="H1337" i="1"/>
  <c r="G1337" i="1"/>
  <c r="F1337" i="1"/>
  <c r="D1337" i="1"/>
  <c r="B1337" i="1"/>
  <c r="A1337" i="1"/>
  <c r="J1336" i="1"/>
  <c r="I1336" i="1"/>
  <c r="H1336" i="1"/>
  <c r="G1336" i="1"/>
  <c r="F1336" i="1"/>
  <c r="D1336" i="1"/>
  <c r="B1336" i="1"/>
  <c r="A1336" i="1"/>
  <c r="J1335" i="1"/>
  <c r="I1335" i="1"/>
  <c r="H1335" i="1"/>
  <c r="G1335" i="1"/>
  <c r="F1335" i="1"/>
  <c r="D1335" i="1"/>
  <c r="B1335" i="1"/>
  <c r="A1335" i="1"/>
  <c r="J1334" i="1"/>
  <c r="I1334" i="1"/>
  <c r="H1334" i="1"/>
  <c r="G1334" i="1"/>
  <c r="F1334" i="1"/>
  <c r="D1334" i="1"/>
  <c r="B1334" i="1"/>
  <c r="A1334" i="1"/>
  <c r="J1333" i="1"/>
  <c r="I1333" i="1"/>
  <c r="H1333" i="1"/>
  <c r="G1333" i="1"/>
  <c r="F1333" i="1"/>
  <c r="D1333" i="1"/>
  <c r="B1333" i="1"/>
  <c r="A1333" i="1"/>
  <c r="J1332" i="1"/>
  <c r="I1332" i="1"/>
  <c r="H1332" i="1"/>
  <c r="G1332" i="1"/>
  <c r="F1332" i="1"/>
  <c r="D1332" i="1"/>
  <c r="B1332" i="1"/>
  <c r="A1332" i="1"/>
  <c r="J1331" i="1"/>
  <c r="I1331" i="1"/>
  <c r="H1331" i="1"/>
  <c r="G1331" i="1"/>
  <c r="F1331" i="1"/>
  <c r="D1331" i="1"/>
  <c r="B1331" i="1"/>
  <c r="A1331" i="1"/>
  <c r="J1330" i="1"/>
  <c r="I1330" i="1"/>
  <c r="H1330" i="1"/>
  <c r="G1330" i="1"/>
  <c r="F1330" i="1"/>
  <c r="D1330" i="1"/>
  <c r="B1330" i="1"/>
  <c r="A1330" i="1"/>
  <c r="J1329" i="1"/>
  <c r="I1329" i="1"/>
  <c r="H1329" i="1"/>
  <c r="G1329" i="1"/>
  <c r="F1329" i="1"/>
  <c r="D1329" i="1"/>
  <c r="B1329" i="1"/>
  <c r="A1329" i="1"/>
  <c r="J1328" i="1"/>
  <c r="I1328" i="1"/>
  <c r="H1328" i="1"/>
  <c r="G1328" i="1"/>
  <c r="F1328" i="1"/>
  <c r="D1328" i="1"/>
  <c r="B1328" i="1"/>
  <c r="A1328" i="1"/>
  <c r="J1327" i="1"/>
  <c r="I1327" i="1"/>
  <c r="H1327" i="1"/>
  <c r="G1327" i="1"/>
  <c r="F1327" i="1"/>
  <c r="D1327" i="1"/>
  <c r="B1327" i="1"/>
  <c r="A1327" i="1"/>
  <c r="J1326" i="1"/>
  <c r="I1326" i="1"/>
  <c r="H1326" i="1"/>
  <c r="G1326" i="1"/>
  <c r="F1326" i="1"/>
  <c r="D1326" i="1"/>
  <c r="B1326" i="1"/>
  <c r="A1326" i="1"/>
  <c r="J1325" i="1"/>
  <c r="I1325" i="1"/>
  <c r="H1325" i="1"/>
  <c r="G1325" i="1"/>
  <c r="F1325" i="1"/>
  <c r="D1325" i="1"/>
  <c r="B1325" i="1"/>
  <c r="A1325" i="1"/>
  <c r="J1324" i="1"/>
  <c r="I1324" i="1"/>
  <c r="H1324" i="1"/>
  <c r="G1324" i="1"/>
  <c r="F1324" i="1"/>
  <c r="D1324" i="1"/>
  <c r="B1324" i="1"/>
  <c r="A1324" i="1"/>
  <c r="J1323" i="1"/>
  <c r="I1323" i="1"/>
  <c r="H1323" i="1"/>
  <c r="G1323" i="1"/>
  <c r="F1323" i="1"/>
  <c r="D1323" i="1"/>
  <c r="B1323" i="1"/>
  <c r="A1323" i="1"/>
  <c r="J1322" i="1"/>
  <c r="I1322" i="1"/>
  <c r="H1322" i="1"/>
  <c r="G1322" i="1"/>
  <c r="F1322" i="1"/>
  <c r="D1322" i="1"/>
  <c r="B1322" i="1"/>
  <c r="A1322" i="1"/>
  <c r="J1321" i="1"/>
  <c r="I1321" i="1"/>
  <c r="H1321" i="1"/>
  <c r="G1321" i="1"/>
  <c r="F1321" i="1"/>
  <c r="D1321" i="1"/>
  <c r="B1321" i="1"/>
  <c r="A1321" i="1"/>
  <c r="J1320" i="1"/>
  <c r="I1320" i="1"/>
  <c r="H1320" i="1"/>
  <c r="G1320" i="1"/>
  <c r="F1320" i="1"/>
  <c r="D1320" i="1"/>
  <c r="B1320" i="1"/>
  <c r="A1320" i="1"/>
  <c r="J1319" i="1"/>
  <c r="I1319" i="1"/>
  <c r="H1319" i="1"/>
  <c r="G1319" i="1"/>
  <c r="F1319" i="1"/>
  <c r="D1319" i="1"/>
  <c r="B1319" i="1"/>
  <c r="A1319" i="1"/>
  <c r="J1318" i="1"/>
  <c r="I1318" i="1"/>
  <c r="H1318" i="1"/>
  <c r="G1318" i="1"/>
  <c r="F1318" i="1"/>
  <c r="D1318" i="1"/>
  <c r="B1318" i="1"/>
  <c r="A1318" i="1"/>
  <c r="J1317" i="1"/>
  <c r="I1317" i="1"/>
  <c r="H1317" i="1"/>
  <c r="G1317" i="1"/>
  <c r="F1317" i="1"/>
  <c r="D1317" i="1"/>
  <c r="B1317" i="1"/>
  <c r="A1317" i="1"/>
  <c r="J1316" i="1"/>
  <c r="I1316" i="1"/>
  <c r="H1316" i="1"/>
  <c r="G1316" i="1"/>
  <c r="F1316" i="1"/>
  <c r="D1316" i="1"/>
  <c r="B1316" i="1"/>
  <c r="A1316" i="1"/>
  <c r="J1315" i="1"/>
  <c r="I1315" i="1"/>
  <c r="H1315" i="1"/>
  <c r="G1315" i="1"/>
  <c r="F1315" i="1"/>
  <c r="D1315" i="1"/>
  <c r="B1315" i="1"/>
  <c r="A1315" i="1"/>
  <c r="J1314" i="1"/>
  <c r="I1314" i="1"/>
  <c r="H1314" i="1"/>
  <c r="G1314" i="1"/>
  <c r="F1314" i="1"/>
  <c r="D1314" i="1"/>
  <c r="B1314" i="1"/>
  <c r="A1314" i="1"/>
  <c r="J1313" i="1"/>
  <c r="I1313" i="1"/>
  <c r="H1313" i="1"/>
  <c r="G1313" i="1"/>
  <c r="F1313" i="1"/>
  <c r="D1313" i="1"/>
  <c r="B1313" i="1"/>
  <c r="A1313" i="1"/>
  <c r="J1312" i="1"/>
  <c r="I1312" i="1"/>
  <c r="G1312" i="1"/>
  <c r="F1312" i="1"/>
  <c r="A1312" i="1"/>
  <c r="J1311" i="1"/>
  <c r="I1311" i="1"/>
  <c r="H1311" i="1"/>
  <c r="G1311" i="1"/>
  <c r="F1311" i="1"/>
  <c r="D1311" i="1"/>
  <c r="B1311" i="1"/>
  <c r="A1311" i="1"/>
  <c r="J1310" i="1"/>
  <c r="I1310" i="1"/>
  <c r="H1310" i="1"/>
  <c r="G1310" i="1"/>
  <c r="F1310" i="1"/>
  <c r="D1310" i="1"/>
  <c r="B1310" i="1"/>
  <c r="A1310" i="1"/>
  <c r="J1309" i="1"/>
  <c r="I1309" i="1"/>
  <c r="G1309" i="1"/>
  <c r="F1309" i="1"/>
  <c r="A1309" i="1"/>
  <c r="J1308" i="1"/>
  <c r="I1308" i="1"/>
  <c r="H1308" i="1"/>
  <c r="G1308" i="1"/>
  <c r="F1308" i="1"/>
  <c r="D1308" i="1"/>
  <c r="B1308" i="1"/>
  <c r="A1308" i="1"/>
  <c r="J1307" i="1"/>
  <c r="I1307" i="1"/>
  <c r="H1307" i="1"/>
  <c r="G1307" i="1"/>
  <c r="F1307" i="1"/>
  <c r="D1307" i="1"/>
  <c r="B1307" i="1"/>
  <c r="A1307" i="1"/>
  <c r="J1306" i="1"/>
  <c r="I1306" i="1"/>
  <c r="H1306" i="1"/>
  <c r="G1306" i="1"/>
  <c r="F1306" i="1"/>
  <c r="D1306" i="1"/>
  <c r="B1306" i="1"/>
  <c r="A1306" i="1"/>
  <c r="J1305" i="1"/>
  <c r="I1305" i="1"/>
  <c r="H1305" i="1"/>
  <c r="G1305" i="1"/>
  <c r="F1305" i="1"/>
  <c r="D1305" i="1"/>
  <c r="B1305" i="1"/>
  <c r="A1305" i="1"/>
  <c r="J1304" i="1"/>
  <c r="I1304" i="1"/>
  <c r="H1304" i="1"/>
  <c r="G1304" i="1"/>
  <c r="F1304" i="1"/>
  <c r="D1304" i="1"/>
  <c r="B1304" i="1"/>
  <c r="A1304" i="1"/>
  <c r="J1303" i="1"/>
  <c r="I1303" i="1"/>
  <c r="H1303" i="1"/>
  <c r="G1303" i="1"/>
  <c r="F1303" i="1"/>
  <c r="D1303" i="1"/>
  <c r="B1303" i="1"/>
  <c r="A1303" i="1"/>
  <c r="J1302" i="1"/>
  <c r="I1302" i="1"/>
  <c r="H1302" i="1"/>
  <c r="G1302" i="1"/>
  <c r="F1302" i="1"/>
  <c r="D1302" i="1"/>
  <c r="B1302" i="1"/>
  <c r="A1302" i="1"/>
  <c r="J1301" i="1"/>
  <c r="I1301" i="1"/>
  <c r="H1301" i="1"/>
  <c r="G1301" i="1"/>
  <c r="F1301" i="1"/>
  <c r="D1301" i="1"/>
  <c r="B1301" i="1"/>
  <c r="A1301" i="1"/>
  <c r="J1300" i="1"/>
  <c r="I1300" i="1"/>
  <c r="H1300" i="1"/>
  <c r="G1300" i="1"/>
  <c r="F1300" i="1"/>
  <c r="D1300" i="1"/>
  <c r="B1300" i="1"/>
  <c r="A1300" i="1"/>
  <c r="J1299" i="1"/>
  <c r="I1299" i="1"/>
  <c r="H1299" i="1"/>
  <c r="G1299" i="1"/>
  <c r="F1299" i="1"/>
  <c r="D1299" i="1"/>
  <c r="B1299" i="1"/>
  <c r="A1299" i="1"/>
  <c r="J1298" i="1"/>
  <c r="I1298" i="1"/>
  <c r="H1298" i="1"/>
  <c r="G1298" i="1"/>
  <c r="F1298" i="1"/>
  <c r="D1298" i="1"/>
  <c r="B1298" i="1"/>
  <c r="A1298" i="1"/>
  <c r="J1297" i="1"/>
  <c r="I1297" i="1"/>
  <c r="H1297" i="1"/>
  <c r="G1297" i="1"/>
  <c r="F1297" i="1"/>
  <c r="D1297" i="1"/>
  <c r="B1297" i="1"/>
  <c r="A1297" i="1"/>
  <c r="J1296" i="1"/>
  <c r="I1296" i="1"/>
  <c r="H1296" i="1"/>
  <c r="G1296" i="1"/>
  <c r="F1296" i="1"/>
  <c r="D1296" i="1"/>
  <c r="B1296" i="1"/>
  <c r="A1296" i="1"/>
  <c r="J1295" i="1"/>
  <c r="I1295" i="1"/>
  <c r="H1295" i="1"/>
  <c r="G1295" i="1"/>
  <c r="F1295" i="1"/>
  <c r="D1295" i="1"/>
  <c r="B1295" i="1"/>
  <c r="A1295" i="1"/>
  <c r="J1294" i="1"/>
  <c r="I1294" i="1"/>
  <c r="H1294" i="1"/>
  <c r="G1294" i="1"/>
  <c r="F1294" i="1"/>
  <c r="D1294" i="1"/>
  <c r="B1294" i="1"/>
  <c r="A1294" i="1"/>
  <c r="J1293" i="1"/>
  <c r="I1293" i="1"/>
  <c r="H1293" i="1"/>
  <c r="G1293" i="1"/>
  <c r="F1293" i="1"/>
  <c r="D1293" i="1"/>
  <c r="B1293" i="1"/>
  <c r="A1293" i="1"/>
  <c r="J1292" i="1"/>
  <c r="I1292" i="1"/>
  <c r="H1292" i="1"/>
  <c r="G1292" i="1"/>
  <c r="F1292" i="1"/>
  <c r="D1292" i="1"/>
  <c r="B1292" i="1"/>
  <c r="A1292" i="1"/>
  <c r="J1291" i="1"/>
  <c r="I1291" i="1"/>
  <c r="H1291" i="1"/>
  <c r="G1291" i="1"/>
  <c r="F1291" i="1"/>
  <c r="D1291" i="1"/>
  <c r="B1291" i="1"/>
  <c r="A1291" i="1"/>
  <c r="J1290" i="1"/>
  <c r="I1290" i="1"/>
  <c r="H1290" i="1"/>
  <c r="G1290" i="1"/>
  <c r="F1290" i="1"/>
  <c r="D1290" i="1"/>
  <c r="B1290" i="1"/>
  <c r="A1290" i="1"/>
  <c r="J1289" i="1"/>
  <c r="I1289" i="1"/>
  <c r="H1289" i="1"/>
  <c r="G1289" i="1"/>
  <c r="F1289" i="1"/>
  <c r="D1289" i="1"/>
  <c r="B1289" i="1"/>
  <c r="A1289" i="1"/>
  <c r="J1288" i="1"/>
  <c r="I1288" i="1"/>
  <c r="H1288" i="1"/>
  <c r="G1288" i="1"/>
  <c r="F1288" i="1"/>
  <c r="D1288" i="1"/>
  <c r="B1288" i="1"/>
  <c r="A1288" i="1"/>
  <c r="J1287" i="1"/>
  <c r="I1287" i="1"/>
  <c r="H1287" i="1"/>
  <c r="G1287" i="1"/>
  <c r="F1287" i="1"/>
  <c r="D1287" i="1"/>
  <c r="B1287" i="1"/>
  <c r="A1287" i="1"/>
  <c r="J1286" i="1"/>
  <c r="I1286" i="1"/>
  <c r="H1286" i="1"/>
  <c r="G1286" i="1"/>
  <c r="F1286" i="1"/>
  <c r="D1286" i="1"/>
  <c r="B1286" i="1"/>
  <c r="A1286" i="1"/>
  <c r="J1285" i="1"/>
  <c r="I1285" i="1"/>
  <c r="H1285" i="1"/>
  <c r="G1285" i="1"/>
  <c r="F1285" i="1"/>
  <c r="D1285" i="1"/>
  <c r="B1285" i="1"/>
  <c r="A1285" i="1"/>
  <c r="J1284" i="1"/>
  <c r="I1284" i="1"/>
  <c r="H1284" i="1"/>
  <c r="G1284" i="1"/>
  <c r="F1284" i="1"/>
  <c r="D1284" i="1"/>
  <c r="B1284" i="1"/>
  <c r="A1284" i="1"/>
  <c r="J1283" i="1"/>
  <c r="I1283" i="1"/>
  <c r="H1283" i="1"/>
  <c r="G1283" i="1"/>
  <c r="F1283" i="1"/>
  <c r="D1283" i="1"/>
  <c r="B1283" i="1"/>
  <c r="A1283" i="1"/>
  <c r="J1282" i="1"/>
  <c r="I1282" i="1"/>
  <c r="H1282" i="1"/>
  <c r="G1282" i="1"/>
  <c r="F1282" i="1"/>
  <c r="D1282" i="1"/>
  <c r="B1282" i="1"/>
  <c r="A1282" i="1"/>
  <c r="J1281" i="1"/>
  <c r="I1281" i="1"/>
  <c r="H1281" i="1"/>
  <c r="G1281" i="1"/>
  <c r="F1281" i="1"/>
  <c r="D1281" i="1"/>
  <c r="B1281" i="1"/>
  <c r="A1281" i="1"/>
  <c r="J1280" i="1"/>
  <c r="I1280" i="1"/>
  <c r="H1280" i="1"/>
  <c r="G1280" i="1"/>
  <c r="F1280" i="1"/>
  <c r="D1280" i="1"/>
  <c r="B1280" i="1"/>
  <c r="A1280" i="1"/>
  <c r="J1279" i="1"/>
  <c r="I1279" i="1"/>
  <c r="H1279" i="1"/>
  <c r="G1279" i="1"/>
  <c r="F1279" i="1"/>
  <c r="D1279" i="1"/>
  <c r="B1279" i="1"/>
  <c r="A1279" i="1"/>
  <c r="J1278" i="1"/>
  <c r="I1278" i="1"/>
  <c r="H1278" i="1"/>
  <c r="G1278" i="1"/>
  <c r="F1278" i="1"/>
  <c r="D1278" i="1"/>
  <c r="B1278" i="1"/>
  <c r="A1278" i="1"/>
  <c r="J1277" i="1"/>
  <c r="I1277" i="1"/>
  <c r="H1277" i="1"/>
  <c r="G1277" i="1"/>
  <c r="F1277" i="1"/>
  <c r="D1277" i="1"/>
  <c r="B1277" i="1"/>
  <c r="A1277" i="1"/>
  <c r="J1276" i="1"/>
  <c r="I1276" i="1"/>
  <c r="H1276" i="1"/>
  <c r="G1276" i="1"/>
  <c r="F1276" i="1"/>
  <c r="D1276" i="1"/>
  <c r="B1276" i="1"/>
  <c r="A1276" i="1"/>
  <c r="J1275" i="1"/>
  <c r="I1275" i="1"/>
  <c r="H1275" i="1"/>
  <c r="G1275" i="1"/>
  <c r="F1275" i="1"/>
  <c r="D1275" i="1"/>
  <c r="B1275" i="1"/>
  <c r="A1275" i="1"/>
  <c r="J1274" i="1"/>
  <c r="I1274" i="1"/>
  <c r="H1274" i="1"/>
  <c r="G1274" i="1"/>
  <c r="F1274" i="1"/>
  <c r="D1274" i="1"/>
  <c r="B1274" i="1"/>
  <c r="A1274" i="1"/>
  <c r="J1273" i="1"/>
  <c r="I1273" i="1"/>
  <c r="H1273" i="1"/>
  <c r="G1273" i="1"/>
  <c r="F1273" i="1"/>
  <c r="D1273" i="1"/>
  <c r="B1273" i="1"/>
  <c r="A1273" i="1"/>
  <c r="J1272" i="1"/>
  <c r="I1272" i="1"/>
  <c r="H1272" i="1"/>
  <c r="G1272" i="1"/>
  <c r="F1272" i="1"/>
  <c r="D1272" i="1"/>
  <c r="B1272" i="1"/>
  <c r="A1272" i="1"/>
  <c r="J1271" i="1"/>
  <c r="I1271" i="1"/>
  <c r="H1271" i="1"/>
  <c r="G1271" i="1"/>
  <c r="F1271" i="1"/>
  <c r="D1271" i="1"/>
  <c r="B1271" i="1"/>
  <c r="A1271" i="1"/>
  <c r="J1270" i="1"/>
  <c r="I1270" i="1"/>
  <c r="H1270" i="1"/>
  <c r="G1270" i="1"/>
  <c r="F1270" i="1"/>
  <c r="D1270" i="1"/>
  <c r="B1270" i="1"/>
  <c r="A1270" i="1"/>
  <c r="J1269" i="1"/>
  <c r="I1269" i="1"/>
  <c r="H1269" i="1"/>
  <c r="G1269" i="1"/>
  <c r="F1269" i="1"/>
  <c r="D1269" i="1"/>
  <c r="B1269" i="1"/>
  <c r="A1269" i="1"/>
  <c r="J1268" i="1"/>
  <c r="I1268" i="1"/>
  <c r="H1268" i="1"/>
  <c r="G1268" i="1"/>
  <c r="F1268" i="1"/>
  <c r="D1268" i="1"/>
  <c r="B1268" i="1"/>
  <c r="A1268" i="1"/>
  <c r="J1267" i="1"/>
  <c r="I1267" i="1"/>
  <c r="H1267" i="1"/>
  <c r="G1267" i="1"/>
  <c r="F1267" i="1"/>
  <c r="D1267" i="1"/>
  <c r="B1267" i="1"/>
  <c r="A1267" i="1"/>
  <c r="J1266" i="1"/>
  <c r="I1266" i="1"/>
  <c r="H1266" i="1"/>
  <c r="G1266" i="1"/>
  <c r="F1266" i="1"/>
  <c r="D1266" i="1"/>
  <c r="B1266" i="1"/>
  <c r="A1266" i="1"/>
  <c r="J1265" i="1"/>
  <c r="I1265" i="1"/>
  <c r="H1265" i="1"/>
  <c r="G1265" i="1"/>
  <c r="F1265" i="1"/>
  <c r="D1265" i="1"/>
  <c r="B1265" i="1"/>
  <c r="A1265" i="1"/>
  <c r="J1264" i="1"/>
  <c r="I1264" i="1"/>
  <c r="H1264" i="1"/>
  <c r="G1264" i="1"/>
  <c r="F1264" i="1"/>
  <c r="D1264" i="1"/>
  <c r="B1264" i="1"/>
  <c r="A1264" i="1"/>
  <c r="J1263" i="1"/>
  <c r="I1263" i="1"/>
  <c r="H1263" i="1"/>
  <c r="G1263" i="1"/>
  <c r="F1263" i="1"/>
  <c r="D1263" i="1"/>
  <c r="B1263" i="1"/>
  <c r="A1263" i="1"/>
  <c r="J1262" i="1"/>
  <c r="I1262" i="1"/>
  <c r="H1262" i="1"/>
  <c r="G1262" i="1"/>
  <c r="F1262" i="1"/>
  <c r="D1262" i="1"/>
  <c r="B1262" i="1"/>
  <c r="A1262" i="1"/>
  <c r="J1261" i="1"/>
  <c r="I1261" i="1"/>
  <c r="H1261" i="1"/>
  <c r="G1261" i="1"/>
  <c r="F1261" i="1"/>
  <c r="D1261" i="1"/>
  <c r="B1261" i="1"/>
  <c r="A1261" i="1"/>
  <c r="J1260" i="1"/>
  <c r="I1260" i="1"/>
  <c r="H1260" i="1"/>
  <c r="G1260" i="1"/>
  <c r="F1260" i="1"/>
  <c r="D1260" i="1"/>
  <c r="B1260" i="1"/>
  <c r="A1260" i="1"/>
  <c r="J1259" i="1"/>
  <c r="I1259" i="1"/>
  <c r="H1259" i="1"/>
  <c r="G1259" i="1"/>
  <c r="F1259" i="1"/>
  <c r="D1259" i="1"/>
  <c r="B1259" i="1"/>
  <c r="A1259" i="1"/>
  <c r="J1258" i="1"/>
  <c r="I1258" i="1"/>
  <c r="H1258" i="1"/>
  <c r="G1258" i="1"/>
  <c r="F1258" i="1"/>
  <c r="D1258" i="1"/>
  <c r="B1258" i="1"/>
  <c r="A1258" i="1"/>
  <c r="J1257" i="1"/>
  <c r="I1257" i="1"/>
  <c r="H1257" i="1"/>
  <c r="G1257" i="1"/>
  <c r="F1257" i="1"/>
  <c r="D1257" i="1"/>
  <c r="B1257" i="1"/>
  <c r="A1257" i="1"/>
  <c r="J1256" i="1"/>
  <c r="I1256" i="1"/>
  <c r="H1256" i="1"/>
  <c r="G1256" i="1"/>
  <c r="F1256" i="1"/>
  <c r="D1256" i="1"/>
  <c r="B1256" i="1"/>
  <c r="A1256" i="1"/>
  <c r="J1255" i="1"/>
  <c r="I1255" i="1"/>
  <c r="H1255" i="1"/>
  <c r="G1255" i="1"/>
  <c r="F1255" i="1"/>
  <c r="D1255" i="1"/>
  <c r="B1255" i="1"/>
  <c r="A1255" i="1"/>
  <c r="J1254" i="1"/>
  <c r="I1254" i="1"/>
  <c r="H1254" i="1"/>
  <c r="G1254" i="1"/>
  <c r="F1254" i="1"/>
  <c r="D1254" i="1"/>
  <c r="B1254" i="1"/>
  <c r="A1254" i="1"/>
  <c r="J1253" i="1"/>
  <c r="I1253" i="1"/>
  <c r="H1253" i="1"/>
  <c r="G1253" i="1"/>
  <c r="F1253" i="1"/>
  <c r="D1253" i="1"/>
  <c r="B1253" i="1"/>
  <c r="A1253" i="1"/>
  <c r="J1252" i="1"/>
  <c r="I1252" i="1"/>
  <c r="H1252" i="1"/>
  <c r="G1252" i="1"/>
  <c r="F1252" i="1"/>
  <c r="D1252" i="1"/>
  <c r="B1252" i="1"/>
  <c r="A1252" i="1"/>
  <c r="J1251" i="1"/>
  <c r="I1251" i="1"/>
  <c r="H1251" i="1"/>
  <c r="G1251" i="1"/>
  <c r="F1251" i="1"/>
  <c r="D1251" i="1"/>
  <c r="B1251" i="1"/>
  <c r="A1251" i="1"/>
  <c r="J1250" i="1"/>
  <c r="I1250" i="1"/>
  <c r="H1250" i="1"/>
  <c r="G1250" i="1"/>
  <c r="F1250" i="1"/>
  <c r="D1250" i="1"/>
  <c r="B1250" i="1"/>
  <c r="A1250" i="1"/>
  <c r="J1249" i="1"/>
  <c r="I1249" i="1"/>
  <c r="H1249" i="1"/>
  <c r="G1249" i="1"/>
  <c r="F1249" i="1"/>
  <c r="D1249" i="1"/>
  <c r="B1249" i="1"/>
  <c r="A1249" i="1"/>
  <c r="J1248" i="1"/>
  <c r="I1248" i="1"/>
  <c r="H1248" i="1"/>
  <c r="G1248" i="1"/>
  <c r="F1248" i="1"/>
  <c r="D1248" i="1"/>
  <c r="B1248" i="1"/>
  <c r="A1248" i="1"/>
  <c r="J1247" i="1"/>
  <c r="I1247" i="1"/>
  <c r="H1247" i="1"/>
  <c r="G1247" i="1"/>
  <c r="F1247" i="1"/>
  <c r="D1247" i="1"/>
  <c r="B1247" i="1"/>
  <c r="A1247" i="1"/>
  <c r="J1246" i="1"/>
  <c r="I1246" i="1"/>
  <c r="H1246" i="1"/>
  <c r="G1246" i="1"/>
  <c r="F1246" i="1"/>
  <c r="D1246" i="1"/>
  <c r="B1246" i="1"/>
  <c r="A1246" i="1"/>
  <c r="J1245" i="1"/>
  <c r="I1245" i="1"/>
  <c r="H1245" i="1"/>
  <c r="G1245" i="1"/>
  <c r="F1245" i="1"/>
  <c r="D1245" i="1"/>
  <c r="B1245" i="1"/>
  <c r="A1245" i="1"/>
  <c r="J1244" i="1"/>
  <c r="I1244" i="1"/>
  <c r="H1244" i="1"/>
  <c r="G1244" i="1"/>
  <c r="F1244" i="1"/>
  <c r="D1244" i="1"/>
  <c r="B1244" i="1"/>
  <c r="A1244" i="1"/>
  <c r="J1243" i="1"/>
  <c r="I1243" i="1"/>
  <c r="H1243" i="1"/>
  <c r="G1243" i="1"/>
  <c r="F1243" i="1"/>
  <c r="D1243" i="1"/>
  <c r="B1243" i="1"/>
  <c r="A1243" i="1"/>
  <c r="J1242" i="1"/>
  <c r="I1242" i="1"/>
  <c r="H1242" i="1"/>
  <c r="G1242" i="1"/>
  <c r="F1242" i="1"/>
  <c r="D1242" i="1"/>
  <c r="B1242" i="1"/>
  <c r="A1242" i="1"/>
  <c r="J1241" i="1"/>
  <c r="I1241" i="1"/>
  <c r="H1241" i="1"/>
  <c r="G1241" i="1"/>
  <c r="F1241" i="1"/>
  <c r="D1241" i="1"/>
  <c r="B1241" i="1"/>
  <c r="A1241" i="1"/>
  <c r="J1240" i="1"/>
  <c r="I1240" i="1"/>
  <c r="H1240" i="1"/>
  <c r="G1240" i="1"/>
  <c r="F1240" i="1"/>
  <c r="D1240" i="1"/>
  <c r="B1240" i="1"/>
  <c r="A1240" i="1"/>
  <c r="J1239" i="1"/>
  <c r="I1239" i="1"/>
  <c r="H1239" i="1"/>
  <c r="G1239" i="1"/>
  <c r="F1239" i="1"/>
  <c r="D1239" i="1"/>
  <c r="B1239" i="1"/>
  <c r="A1239" i="1"/>
  <c r="J1238" i="1"/>
  <c r="I1238" i="1"/>
  <c r="H1238" i="1"/>
  <c r="G1238" i="1"/>
  <c r="F1238" i="1"/>
  <c r="D1238" i="1"/>
  <c r="B1238" i="1"/>
  <c r="A1238" i="1"/>
  <c r="J1237" i="1"/>
  <c r="I1237" i="1"/>
  <c r="H1237" i="1"/>
  <c r="G1237" i="1"/>
  <c r="F1237" i="1"/>
  <c r="D1237" i="1"/>
  <c r="B1237" i="1"/>
  <c r="A1237" i="1"/>
  <c r="J1236" i="1"/>
  <c r="I1236" i="1"/>
  <c r="H1236" i="1"/>
  <c r="G1236" i="1"/>
  <c r="F1236" i="1"/>
  <c r="D1236" i="1"/>
  <c r="B1236" i="1"/>
  <c r="A1236" i="1"/>
  <c r="J1235" i="1"/>
  <c r="I1235" i="1"/>
  <c r="H1235" i="1"/>
  <c r="G1235" i="1"/>
  <c r="F1235" i="1"/>
  <c r="D1235" i="1"/>
  <c r="B1235" i="1"/>
  <c r="A1235" i="1"/>
  <c r="J1234" i="1"/>
  <c r="I1234" i="1"/>
  <c r="H1234" i="1"/>
  <c r="G1234" i="1"/>
  <c r="F1234" i="1"/>
  <c r="D1234" i="1"/>
  <c r="B1234" i="1"/>
  <c r="A1234" i="1"/>
  <c r="J1233" i="1"/>
  <c r="I1233" i="1"/>
  <c r="H1233" i="1"/>
  <c r="G1233" i="1"/>
  <c r="F1233" i="1"/>
  <c r="D1233" i="1"/>
  <c r="B1233" i="1"/>
  <c r="A1233" i="1"/>
  <c r="J1232" i="1"/>
  <c r="I1232" i="1"/>
  <c r="H1232" i="1"/>
  <c r="G1232" i="1"/>
  <c r="F1232" i="1"/>
  <c r="D1232" i="1"/>
  <c r="B1232" i="1"/>
  <c r="A1232" i="1"/>
  <c r="J1231" i="1"/>
  <c r="I1231" i="1"/>
  <c r="H1231" i="1"/>
  <c r="G1231" i="1"/>
  <c r="F1231" i="1"/>
  <c r="D1231" i="1"/>
  <c r="B1231" i="1"/>
  <c r="A1231" i="1"/>
  <c r="J1230" i="1"/>
  <c r="I1230" i="1"/>
  <c r="H1230" i="1"/>
  <c r="G1230" i="1"/>
  <c r="F1230" i="1"/>
  <c r="D1230" i="1"/>
  <c r="B1230" i="1"/>
  <c r="A1230" i="1"/>
  <c r="J1229" i="1"/>
  <c r="I1229" i="1"/>
  <c r="H1229" i="1"/>
  <c r="G1229" i="1"/>
  <c r="F1229" i="1"/>
  <c r="D1229" i="1"/>
  <c r="B1229" i="1"/>
  <c r="A1229" i="1"/>
  <c r="J1228" i="1"/>
  <c r="I1228" i="1"/>
  <c r="H1228" i="1"/>
  <c r="G1228" i="1"/>
  <c r="F1228" i="1"/>
  <c r="D1228" i="1"/>
  <c r="B1228" i="1"/>
  <c r="A1228" i="1"/>
  <c r="J1227" i="1"/>
  <c r="I1227" i="1"/>
  <c r="H1227" i="1"/>
  <c r="G1227" i="1"/>
  <c r="F1227" i="1"/>
  <c r="D1227" i="1"/>
  <c r="B1227" i="1"/>
  <c r="A1227" i="1"/>
  <c r="J1226" i="1"/>
  <c r="I1226" i="1"/>
  <c r="H1226" i="1"/>
  <c r="G1226" i="1"/>
  <c r="F1226" i="1"/>
  <c r="D1226" i="1"/>
  <c r="B1226" i="1"/>
  <c r="A1226" i="1"/>
  <c r="J1225" i="1"/>
  <c r="I1225" i="1"/>
  <c r="H1225" i="1"/>
  <c r="G1225" i="1"/>
  <c r="F1225" i="1"/>
  <c r="D1225" i="1"/>
  <c r="B1225" i="1"/>
  <c r="A1225" i="1"/>
  <c r="J1224" i="1"/>
  <c r="I1224" i="1"/>
  <c r="H1224" i="1"/>
  <c r="G1224" i="1"/>
  <c r="F1224" i="1"/>
  <c r="D1224" i="1"/>
  <c r="B1224" i="1"/>
  <c r="A1224" i="1"/>
  <c r="J1223" i="1"/>
  <c r="I1223" i="1"/>
  <c r="H1223" i="1"/>
  <c r="G1223" i="1"/>
  <c r="F1223" i="1"/>
  <c r="D1223" i="1"/>
  <c r="B1223" i="1"/>
  <c r="A1223" i="1"/>
  <c r="J1222" i="1"/>
  <c r="I1222" i="1"/>
  <c r="H1222" i="1"/>
  <c r="G1222" i="1"/>
  <c r="F1222" i="1"/>
  <c r="D1222" i="1"/>
  <c r="B1222" i="1"/>
  <c r="A1222" i="1"/>
  <c r="J1221" i="1"/>
  <c r="I1221" i="1"/>
  <c r="H1221" i="1"/>
  <c r="G1221" i="1"/>
  <c r="F1221" i="1"/>
  <c r="D1221" i="1"/>
  <c r="B1221" i="1"/>
  <c r="A1221" i="1"/>
  <c r="J1220" i="1"/>
  <c r="I1220" i="1"/>
  <c r="H1220" i="1"/>
  <c r="G1220" i="1"/>
  <c r="F1220" i="1"/>
  <c r="D1220" i="1"/>
  <c r="B1220" i="1"/>
  <c r="A1220" i="1"/>
  <c r="J1219" i="1"/>
  <c r="I1219" i="1"/>
  <c r="H1219" i="1"/>
  <c r="G1219" i="1"/>
  <c r="F1219" i="1"/>
  <c r="D1219" i="1"/>
  <c r="B1219" i="1"/>
  <c r="A1219" i="1"/>
  <c r="J1218" i="1"/>
  <c r="I1218" i="1"/>
  <c r="H1218" i="1"/>
  <c r="G1218" i="1"/>
  <c r="F1218" i="1"/>
  <c r="D1218" i="1"/>
  <c r="B1218" i="1"/>
  <c r="A1218" i="1"/>
  <c r="J1217" i="1"/>
  <c r="I1217" i="1"/>
  <c r="H1217" i="1"/>
  <c r="G1217" i="1"/>
  <c r="F1217" i="1"/>
  <c r="D1217" i="1"/>
  <c r="B1217" i="1"/>
  <c r="A1217" i="1"/>
  <c r="J1216" i="1"/>
  <c r="I1216" i="1"/>
  <c r="H1216" i="1"/>
  <c r="G1216" i="1"/>
  <c r="F1216" i="1"/>
  <c r="D1216" i="1"/>
  <c r="B1216" i="1"/>
  <c r="A1216" i="1"/>
  <c r="J1215" i="1"/>
  <c r="I1215" i="1"/>
  <c r="H1215" i="1"/>
  <c r="G1215" i="1"/>
  <c r="F1215" i="1"/>
  <c r="D1215" i="1"/>
  <c r="B1215" i="1"/>
  <c r="A1215" i="1"/>
  <c r="J1214" i="1"/>
  <c r="I1214" i="1"/>
  <c r="H1214" i="1"/>
  <c r="G1214" i="1"/>
  <c r="F1214" i="1"/>
  <c r="D1214" i="1"/>
  <c r="B1214" i="1"/>
  <c r="A1214" i="1"/>
  <c r="J1213" i="1"/>
  <c r="I1213" i="1"/>
  <c r="H1213" i="1"/>
  <c r="G1213" i="1"/>
  <c r="F1213" i="1"/>
  <c r="D1213" i="1"/>
  <c r="B1213" i="1"/>
  <c r="A1213" i="1"/>
  <c r="J1212" i="1"/>
  <c r="I1212" i="1"/>
  <c r="H1212" i="1"/>
  <c r="G1212" i="1"/>
  <c r="F1212" i="1"/>
  <c r="D1212" i="1"/>
  <c r="B1212" i="1"/>
  <c r="A1212" i="1"/>
  <c r="J1211" i="1"/>
  <c r="I1211" i="1"/>
  <c r="H1211" i="1"/>
  <c r="G1211" i="1"/>
  <c r="F1211" i="1"/>
  <c r="D1211" i="1"/>
  <c r="B1211" i="1"/>
  <c r="A1211" i="1"/>
  <c r="J1210" i="1"/>
  <c r="I1210" i="1"/>
  <c r="H1210" i="1"/>
  <c r="G1210" i="1"/>
  <c r="F1210" i="1"/>
  <c r="D1210" i="1"/>
  <c r="B1210" i="1"/>
  <c r="A1210" i="1"/>
  <c r="J1209" i="1"/>
  <c r="I1209" i="1"/>
  <c r="H1209" i="1"/>
  <c r="G1209" i="1"/>
  <c r="F1209" i="1"/>
  <c r="D1209" i="1"/>
  <c r="B1209" i="1"/>
  <c r="A1209" i="1"/>
  <c r="J1208" i="1"/>
  <c r="I1208" i="1"/>
  <c r="H1208" i="1"/>
  <c r="G1208" i="1"/>
  <c r="F1208" i="1"/>
  <c r="D1208" i="1"/>
  <c r="B1208" i="1"/>
  <c r="A1208" i="1"/>
  <c r="J1207" i="1"/>
  <c r="I1207" i="1"/>
  <c r="H1207" i="1"/>
  <c r="G1207" i="1"/>
  <c r="F1207" i="1"/>
  <c r="D1207" i="1"/>
  <c r="B1207" i="1"/>
  <c r="A1207" i="1"/>
  <c r="J1206" i="1"/>
  <c r="I1206" i="1"/>
  <c r="H1206" i="1"/>
  <c r="G1206" i="1"/>
  <c r="F1206" i="1"/>
  <c r="D1206" i="1"/>
  <c r="B1206" i="1"/>
  <c r="A1206" i="1"/>
  <c r="J1205" i="1"/>
  <c r="I1205" i="1"/>
  <c r="H1205" i="1"/>
  <c r="G1205" i="1"/>
  <c r="F1205" i="1"/>
  <c r="D1205" i="1"/>
  <c r="B1205" i="1"/>
  <c r="A1205" i="1"/>
  <c r="J1204" i="1"/>
  <c r="I1204" i="1"/>
  <c r="H1204" i="1"/>
  <c r="G1204" i="1"/>
  <c r="F1204" i="1"/>
  <c r="D1204" i="1"/>
  <c r="B1204" i="1"/>
  <c r="A1204" i="1"/>
  <c r="J1203" i="1"/>
  <c r="I1203" i="1"/>
  <c r="H1203" i="1"/>
  <c r="G1203" i="1"/>
  <c r="F1203" i="1"/>
  <c r="D1203" i="1"/>
  <c r="B1203" i="1"/>
  <c r="A1203" i="1"/>
  <c r="J1202" i="1"/>
  <c r="I1202" i="1"/>
  <c r="H1202" i="1"/>
  <c r="G1202" i="1"/>
  <c r="F1202" i="1"/>
  <c r="D1202" i="1"/>
  <c r="B1202" i="1"/>
  <c r="A1202" i="1"/>
  <c r="J1201" i="1"/>
  <c r="I1201" i="1"/>
  <c r="H1201" i="1"/>
  <c r="G1201" i="1"/>
  <c r="F1201" i="1"/>
  <c r="D1201" i="1"/>
  <c r="B1201" i="1"/>
  <c r="A1201" i="1"/>
  <c r="J1200" i="1"/>
  <c r="I1200" i="1"/>
  <c r="H1200" i="1"/>
  <c r="G1200" i="1"/>
  <c r="F1200" i="1"/>
  <c r="D1200" i="1"/>
  <c r="B1200" i="1"/>
  <c r="A1200" i="1"/>
  <c r="J1199" i="1"/>
  <c r="I1199" i="1"/>
  <c r="H1199" i="1"/>
  <c r="G1199" i="1"/>
  <c r="F1199" i="1"/>
  <c r="D1199" i="1"/>
  <c r="B1199" i="1"/>
  <c r="A1199" i="1"/>
  <c r="J1198" i="1"/>
  <c r="I1198" i="1"/>
  <c r="H1198" i="1"/>
  <c r="G1198" i="1"/>
  <c r="F1198" i="1"/>
  <c r="D1198" i="1"/>
  <c r="B1198" i="1"/>
  <c r="A1198" i="1"/>
  <c r="J1197" i="1"/>
  <c r="I1197" i="1"/>
  <c r="H1197" i="1"/>
  <c r="G1197" i="1"/>
  <c r="F1197" i="1"/>
  <c r="D1197" i="1"/>
  <c r="B1197" i="1"/>
  <c r="A1197" i="1"/>
  <c r="J1196" i="1"/>
  <c r="I1196" i="1"/>
  <c r="H1196" i="1"/>
  <c r="G1196" i="1"/>
  <c r="F1196" i="1"/>
  <c r="D1196" i="1"/>
  <c r="B1196" i="1"/>
  <c r="A1196" i="1"/>
  <c r="J1195" i="1"/>
  <c r="I1195" i="1"/>
  <c r="H1195" i="1"/>
  <c r="G1195" i="1"/>
  <c r="F1195" i="1"/>
  <c r="D1195" i="1"/>
  <c r="B1195" i="1"/>
  <c r="A1195" i="1"/>
  <c r="J1194" i="1"/>
  <c r="I1194" i="1"/>
  <c r="H1194" i="1"/>
  <c r="G1194" i="1"/>
  <c r="F1194" i="1"/>
  <c r="D1194" i="1"/>
  <c r="B1194" i="1"/>
  <c r="A1194" i="1"/>
  <c r="J1193" i="1"/>
  <c r="I1193" i="1"/>
  <c r="H1193" i="1"/>
  <c r="G1193" i="1"/>
  <c r="F1193" i="1"/>
  <c r="D1193" i="1"/>
  <c r="B1193" i="1"/>
  <c r="A1193" i="1"/>
  <c r="J1192" i="1"/>
  <c r="I1192" i="1"/>
  <c r="H1192" i="1"/>
  <c r="G1192" i="1"/>
  <c r="F1192" i="1"/>
  <c r="D1192" i="1"/>
  <c r="B1192" i="1"/>
  <c r="A1192" i="1"/>
  <c r="J1191" i="1"/>
  <c r="I1191" i="1"/>
  <c r="H1191" i="1"/>
  <c r="G1191" i="1"/>
  <c r="F1191" i="1"/>
  <c r="D1191" i="1"/>
  <c r="B1191" i="1"/>
  <c r="A1191" i="1"/>
  <c r="J1190" i="1"/>
  <c r="I1190" i="1"/>
  <c r="H1190" i="1"/>
  <c r="G1190" i="1"/>
  <c r="F1190" i="1"/>
  <c r="D1190" i="1"/>
  <c r="B1190" i="1"/>
  <c r="A1190" i="1"/>
  <c r="J1189" i="1"/>
  <c r="I1189" i="1"/>
  <c r="H1189" i="1"/>
  <c r="G1189" i="1"/>
  <c r="F1189" i="1"/>
  <c r="D1189" i="1"/>
  <c r="B1189" i="1"/>
  <c r="A1189" i="1"/>
  <c r="J1188" i="1"/>
  <c r="I1188" i="1"/>
  <c r="H1188" i="1"/>
  <c r="G1188" i="1"/>
  <c r="F1188" i="1"/>
  <c r="D1188" i="1"/>
  <c r="B1188" i="1"/>
  <c r="A1188" i="1"/>
  <c r="J1187" i="1"/>
  <c r="I1187" i="1"/>
  <c r="H1187" i="1"/>
  <c r="G1187" i="1"/>
  <c r="F1187" i="1"/>
  <c r="D1187" i="1"/>
  <c r="B1187" i="1"/>
  <c r="A1187" i="1"/>
  <c r="J1186" i="1"/>
  <c r="I1186" i="1"/>
  <c r="H1186" i="1"/>
  <c r="G1186" i="1"/>
  <c r="F1186" i="1"/>
  <c r="D1186" i="1"/>
  <c r="B1186" i="1"/>
  <c r="A1186" i="1"/>
  <c r="J1185" i="1"/>
  <c r="I1185" i="1"/>
  <c r="H1185" i="1"/>
  <c r="G1185" i="1"/>
  <c r="F1185" i="1"/>
  <c r="D1185" i="1"/>
  <c r="B1185" i="1"/>
  <c r="A1185" i="1"/>
  <c r="J1184" i="1"/>
  <c r="I1184" i="1"/>
  <c r="H1184" i="1"/>
  <c r="G1184" i="1"/>
  <c r="F1184" i="1"/>
  <c r="D1184" i="1"/>
  <c r="B1184" i="1"/>
  <c r="A1184" i="1"/>
  <c r="J1183" i="1"/>
  <c r="I1183" i="1"/>
  <c r="H1183" i="1"/>
  <c r="G1183" i="1"/>
  <c r="F1183" i="1"/>
  <c r="D1183" i="1"/>
  <c r="B1183" i="1"/>
  <c r="A1183" i="1"/>
  <c r="J1182" i="1"/>
  <c r="I1182" i="1"/>
  <c r="H1182" i="1"/>
  <c r="G1182" i="1"/>
  <c r="F1182" i="1"/>
  <c r="D1182" i="1"/>
  <c r="B1182" i="1"/>
  <c r="A1182" i="1"/>
  <c r="J1181" i="1"/>
  <c r="I1181" i="1"/>
  <c r="H1181" i="1"/>
  <c r="G1181" i="1"/>
  <c r="F1181" i="1"/>
  <c r="D1181" i="1"/>
  <c r="B1181" i="1"/>
  <c r="A1181" i="1"/>
  <c r="J1180" i="1"/>
  <c r="I1180" i="1"/>
  <c r="G1180" i="1"/>
  <c r="F1180" i="1"/>
  <c r="A1180" i="1"/>
  <c r="J1179" i="1"/>
  <c r="I1179" i="1"/>
  <c r="H1179" i="1"/>
  <c r="G1179" i="1"/>
  <c r="F1179" i="1"/>
  <c r="D1179" i="1"/>
  <c r="B1179" i="1"/>
  <c r="A1179" i="1"/>
  <c r="J1178" i="1"/>
  <c r="I1178" i="1"/>
  <c r="H1178" i="1"/>
  <c r="G1178" i="1"/>
  <c r="F1178" i="1"/>
  <c r="D1178" i="1"/>
  <c r="B1178" i="1"/>
  <c r="A1178" i="1"/>
  <c r="J1177" i="1"/>
  <c r="I1177" i="1"/>
  <c r="H1177" i="1"/>
  <c r="G1177" i="1"/>
  <c r="F1177" i="1"/>
  <c r="D1177" i="1"/>
  <c r="B1177" i="1"/>
  <c r="A1177" i="1"/>
  <c r="J1176" i="1"/>
  <c r="I1176" i="1"/>
  <c r="H1176" i="1"/>
  <c r="G1176" i="1"/>
  <c r="F1176" i="1"/>
  <c r="D1176" i="1"/>
  <c r="B1176" i="1"/>
  <c r="A1176" i="1"/>
  <c r="J1175" i="1"/>
  <c r="I1175" i="1"/>
  <c r="H1175" i="1"/>
  <c r="G1175" i="1"/>
  <c r="F1175" i="1"/>
  <c r="D1175" i="1"/>
  <c r="B1175" i="1"/>
  <c r="A1175" i="1"/>
  <c r="J1174" i="1"/>
  <c r="I1174" i="1"/>
  <c r="H1174" i="1"/>
  <c r="G1174" i="1"/>
  <c r="F1174" i="1"/>
  <c r="D1174" i="1"/>
  <c r="B1174" i="1"/>
  <c r="A1174" i="1"/>
  <c r="J1173" i="1"/>
  <c r="I1173" i="1"/>
  <c r="H1173" i="1"/>
  <c r="G1173" i="1"/>
  <c r="F1173" i="1"/>
  <c r="D1173" i="1"/>
  <c r="B1173" i="1"/>
  <c r="A1173" i="1"/>
  <c r="J1172" i="1"/>
  <c r="I1172" i="1"/>
  <c r="H1172" i="1"/>
  <c r="G1172" i="1"/>
  <c r="F1172" i="1"/>
  <c r="D1172" i="1"/>
  <c r="B1172" i="1"/>
  <c r="A1172" i="1"/>
  <c r="J1171" i="1"/>
  <c r="I1171" i="1"/>
  <c r="H1171" i="1"/>
  <c r="G1171" i="1"/>
  <c r="F1171" i="1"/>
  <c r="D1171" i="1"/>
  <c r="B1171" i="1"/>
  <c r="A1171" i="1"/>
  <c r="J1170" i="1"/>
  <c r="I1170" i="1"/>
  <c r="H1170" i="1"/>
  <c r="G1170" i="1"/>
  <c r="F1170" i="1"/>
  <c r="D1170" i="1"/>
  <c r="B1170" i="1"/>
  <c r="A1170" i="1"/>
  <c r="J1169" i="1"/>
  <c r="I1169" i="1"/>
  <c r="H1169" i="1"/>
  <c r="G1169" i="1"/>
  <c r="F1169" i="1"/>
  <c r="D1169" i="1"/>
  <c r="B1169" i="1"/>
  <c r="A1169" i="1"/>
  <c r="J1168" i="1"/>
  <c r="I1168" i="1"/>
  <c r="H1168" i="1"/>
  <c r="G1168" i="1"/>
  <c r="F1168" i="1"/>
  <c r="D1168" i="1"/>
  <c r="B1168" i="1"/>
  <c r="A1168" i="1"/>
  <c r="J1167" i="1"/>
  <c r="I1167" i="1"/>
  <c r="H1167" i="1"/>
  <c r="G1167" i="1"/>
  <c r="F1167" i="1"/>
  <c r="D1167" i="1"/>
  <c r="B1167" i="1"/>
  <c r="A1167" i="1"/>
  <c r="J1166" i="1"/>
  <c r="I1166" i="1"/>
  <c r="H1166" i="1"/>
  <c r="G1166" i="1"/>
  <c r="F1166" i="1"/>
  <c r="D1166" i="1"/>
  <c r="B1166" i="1"/>
  <c r="A1166" i="1"/>
  <c r="J1165" i="1"/>
  <c r="I1165" i="1"/>
  <c r="H1165" i="1"/>
  <c r="G1165" i="1"/>
  <c r="F1165" i="1"/>
  <c r="D1165" i="1"/>
  <c r="B1165" i="1"/>
  <c r="A1165" i="1"/>
  <c r="J1164" i="1"/>
  <c r="I1164" i="1"/>
  <c r="H1164" i="1"/>
  <c r="G1164" i="1"/>
  <c r="F1164" i="1"/>
  <c r="D1164" i="1"/>
  <c r="B1164" i="1"/>
  <c r="A1164" i="1"/>
  <c r="J1163" i="1"/>
  <c r="I1163" i="1"/>
  <c r="H1163" i="1"/>
  <c r="G1163" i="1"/>
  <c r="F1163" i="1"/>
  <c r="D1163" i="1"/>
  <c r="B1163" i="1"/>
  <c r="A1163" i="1"/>
  <c r="J1162" i="1"/>
  <c r="I1162" i="1"/>
  <c r="H1162" i="1"/>
  <c r="G1162" i="1"/>
  <c r="F1162" i="1"/>
  <c r="D1162" i="1"/>
  <c r="B1162" i="1"/>
  <c r="A1162" i="1"/>
  <c r="J1161" i="1"/>
  <c r="I1161" i="1"/>
  <c r="H1161" i="1"/>
  <c r="G1161" i="1"/>
  <c r="F1161" i="1"/>
  <c r="D1161" i="1"/>
  <c r="B1161" i="1"/>
  <c r="A1161" i="1"/>
  <c r="J1160" i="1"/>
  <c r="I1160" i="1"/>
  <c r="H1160" i="1"/>
  <c r="G1160" i="1"/>
  <c r="F1160" i="1"/>
  <c r="D1160" i="1"/>
  <c r="B1160" i="1"/>
  <c r="A1160" i="1"/>
  <c r="J1159" i="1"/>
  <c r="I1159" i="1"/>
  <c r="H1159" i="1"/>
  <c r="G1159" i="1"/>
  <c r="F1159" i="1"/>
  <c r="D1159" i="1"/>
  <c r="B1159" i="1"/>
  <c r="A1159" i="1"/>
  <c r="J1158" i="1"/>
  <c r="I1158" i="1"/>
  <c r="H1158" i="1"/>
  <c r="G1158" i="1"/>
  <c r="F1158" i="1"/>
  <c r="D1158" i="1"/>
  <c r="B1158" i="1"/>
  <c r="A1158" i="1"/>
  <c r="J1157" i="1"/>
  <c r="I1157" i="1"/>
  <c r="H1157" i="1"/>
  <c r="G1157" i="1"/>
  <c r="F1157" i="1"/>
  <c r="D1157" i="1"/>
  <c r="B1157" i="1"/>
  <c r="A1157" i="1"/>
  <c r="J1156" i="1"/>
  <c r="I1156" i="1"/>
  <c r="H1156" i="1"/>
  <c r="G1156" i="1"/>
  <c r="F1156" i="1"/>
  <c r="D1156" i="1"/>
  <c r="B1156" i="1"/>
  <c r="A1156" i="1"/>
  <c r="J1155" i="1"/>
  <c r="I1155" i="1"/>
  <c r="H1155" i="1"/>
  <c r="G1155" i="1"/>
  <c r="F1155" i="1"/>
  <c r="D1155" i="1"/>
  <c r="B1155" i="1"/>
  <c r="A1155" i="1"/>
  <c r="J1154" i="1"/>
  <c r="I1154" i="1"/>
  <c r="H1154" i="1"/>
  <c r="G1154" i="1"/>
  <c r="F1154" i="1"/>
  <c r="D1154" i="1"/>
  <c r="B1154" i="1"/>
  <c r="A1154" i="1"/>
  <c r="J1153" i="1"/>
  <c r="I1153" i="1"/>
  <c r="H1153" i="1"/>
  <c r="G1153" i="1"/>
  <c r="F1153" i="1"/>
  <c r="D1153" i="1"/>
  <c r="B1153" i="1"/>
  <c r="A1153" i="1"/>
  <c r="J1152" i="1"/>
  <c r="I1152" i="1"/>
  <c r="H1152" i="1"/>
  <c r="G1152" i="1"/>
  <c r="F1152" i="1"/>
  <c r="D1152" i="1"/>
  <c r="B1152" i="1"/>
  <c r="A1152" i="1"/>
  <c r="J1151" i="1"/>
  <c r="I1151" i="1"/>
  <c r="H1151" i="1"/>
  <c r="G1151" i="1"/>
  <c r="F1151" i="1"/>
  <c r="D1151" i="1"/>
  <c r="B1151" i="1"/>
  <c r="A1151" i="1"/>
  <c r="J1150" i="1"/>
  <c r="I1150" i="1"/>
  <c r="G1150" i="1"/>
  <c r="F1150" i="1"/>
  <c r="A1150" i="1"/>
  <c r="J1149" i="1"/>
  <c r="I1149" i="1"/>
  <c r="H1149" i="1"/>
  <c r="G1149" i="1"/>
  <c r="F1149" i="1"/>
  <c r="D1149" i="1"/>
  <c r="B1149" i="1"/>
  <c r="A1149" i="1"/>
  <c r="J1148" i="1"/>
  <c r="I1148" i="1"/>
  <c r="H1148" i="1"/>
  <c r="G1148" i="1"/>
  <c r="F1148" i="1"/>
  <c r="D1148" i="1"/>
  <c r="B1148" i="1"/>
  <c r="A1148" i="1"/>
  <c r="J1147" i="1"/>
  <c r="I1147" i="1"/>
  <c r="H1147" i="1"/>
  <c r="G1147" i="1"/>
  <c r="F1147" i="1"/>
  <c r="D1147" i="1"/>
  <c r="B1147" i="1"/>
  <c r="A1147" i="1"/>
  <c r="J1146" i="1"/>
  <c r="I1146" i="1"/>
  <c r="H1146" i="1"/>
  <c r="G1146" i="1"/>
  <c r="F1146" i="1"/>
  <c r="D1146" i="1"/>
  <c r="B1146" i="1"/>
  <c r="A1146" i="1"/>
  <c r="J1145" i="1"/>
  <c r="I1145" i="1"/>
  <c r="H1145" i="1"/>
  <c r="G1145" i="1"/>
  <c r="F1145" i="1"/>
  <c r="D1145" i="1"/>
  <c r="B1145" i="1"/>
  <c r="A1145" i="1"/>
  <c r="J1144" i="1"/>
  <c r="I1144" i="1"/>
  <c r="H1144" i="1"/>
  <c r="G1144" i="1"/>
  <c r="F1144" i="1"/>
  <c r="D1144" i="1"/>
  <c r="B1144" i="1"/>
  <c r="A1144" i="1"/>
  <c r="J1143" i="1"/>
  <c r="I1143" i="1"/>
  <c r="H1143" i="1"/>
  <c r="G1143" i="1"/>
  <c r="F1143" i="1"/>
  <c r="D1143" i="1"/>
  <c r="B1143" i="1"/>
  <c r="A1143" i="1"/>
  <c r="J1142" i="1"/>
  <c r="I1142" i="1"/>
  <c r="H1142" i="1"/>
  <c r="G1142" i="1"/>
  <c r="F1142" i="1"/>
  <c r="D1142" i="1"/>
  <c r="B1142" i="1"/>
  <c r="A1142" i="1"/>
  <c r="J1141" i="1"/>
  <c r="I1141" i="1"/>
  <c r="H1141" i="1"/>
  <c r="G1141" i="1"/>
  <c r="F1141" i="1"/>
  <c r="D1141" i="1"/>
  <c r="B1141" i="1"/>
  <c r="A1141" i="1"/>
  <c r="J1140" i="1"/>
  <c r="I1140" i="1"/>
  <c r="H1140" i="1"/>
  <c r="G1140" i="1"/>
  <c r="F1140" i="1"/>
  <c r="D1140" i="1"/>
  <c r="B1140" i="1"/>
  <c r="A1140" i="1"/>
  <c r="J1139" i="1"/>
  <c r="I1139" i="1"/>
  <c r="H1139" i="1"/>
  <c r="G1139" i="1"/>
  <c r="F1139" i="1"/>
  <c r="D1139" i="1"/>
  <c r="B1139" i="1"/>
  <c r="A1139" i="1"/>
  <c r="J1138" i="1"/>
  <c r="I1138" i="1"/>
  <c r="H1138" i="1"/>
  <c r="G1138" i="1"/>
  <c r="F1138" i="1"/>
  <c r="D1138" i="1"/>
  <c r="B1138" i="1"/>
  <c r="A1138" i="1"/>
  <c r="J1137" i="1"/>
  <c r="I1137" i="1"/>
  <c r="H1137" i="1"/>
  <c r="G1137" i="1"/>
  <c r="F1137" i="1"/>
  <c r="D1137" i="1"/>
  <c r="B1137" i="1"/>
  <c r="A1137" i="1"/>
  <c r="J1136" i="1"/>
  <c r="I1136" i="1"/>
  <c r="H1136" i="1"/>
  <c r="G1136" i="1"/>
  <c r="F1136" i="1"/>
  <c r="D1136" i="1"/>
  <c r="B1136" i="1"/>
  <c r="A1136" i="1"/>
  <c r="J1135" i="1"/>
  <c r="I1135" i="1"/>
  <c r="H1135" i="1"/>
  <c r="G1135" i="1"/>
  <c r="F1135" i="1"/>
  <c r="D1135" i="1"/>
  <c r="B1135" i="1"/>
  <c r="A1135" i="1"/>
  <c r="J1134" i="1"/>
  <c r="I1134" i="1"/>
  <c r="H1134" i="1"/>
  <c r="G1134" i="1"/>
  <c r="F1134" i="1"/>
  <c r="D1134" i="1"/>
  <c r="B1134" i="1"/>
  <c r="A1134" i="1"/>
  <c r="J1133" i="1"/>
  <c r="I1133" i="1"/>
  <c r="H1133" i="1"/>
  <c r="G1133" i="1"/>
  <c r="F1133" i="1"/>
  <c r="D1133" i="1"/>
  <c r="B1133" i="1"/>
  <c r="A1133" i="1"/>
  <c r="J1132" i="1"/>
  <c r="I1132" i="1"/>
  <c r="H1132" i="1"/>
  <c r="G1132" i="1"/>
  <c r="F1132" i="1"/>
  <c r="D1132" i="1"/>
  <c r="B1132" i="1"/>
  <c r="A1132" i="1"/>
  <c r="J1131" i="1"/>
  <c r="I1131" i="1"/>
  <c r="H1131" i="1"/>
  <c r="G1131" i="1"/>
  <c r="F1131" i="1"/>
  <c r="D1131" i="1"/>
  <c r="B1131" i="1"/>
  <c r="A1131" i="1"/>
  <c r="J1130" i="1"/>
  <c r="I1130" i="1"/>
  <c r="H1130" i="1"/>
  <c r="G1130" i="1"/>
  <c r="F1130" i="1"/>
  <c r="D1130" i="1"/>
  <c r="B1130" i="1"/>
  <c r="A1130" i="1"/>
  <c r="J1129" i="1"/>
  <c r="I1129" i="1"/>
  <c r="H1129" i="1"/>
  <c r="G1129" i="1"/>
  <c r="F1129" i="1"/>
  <c r="D1129" i="1"/>
  <c r="B1129" i="1"/>
  <c r="A1129" i="1"/>
  <c r="J1128" i="1"/>
  <c r="I1128" i="1"/>
  <c r="H1128" i="1"/>
  <c r="G1128" i="1"/>
  <c r="F1128" i="1"/>
  <c r="D1128" i="1"/>
  <c r="B1128" i="1"/>
  <c r="A1128" i="1"/>
  <c r="J1127" i="1"/>
  <c r="I1127" i="1"/>
  <c r="H1127" i="1"/>
  <c r="G1127" i="1"/>
  <c r="F1127" i="1"/>
  <c r="D1127" i="1"/>
  <c r="B1127" i="1"/>
  <c r="A1127" i="1"/>
  <c r="J1126" i="1"/>
  <c r="I1126" i="1"/>
  <c r="H1126" i="1"/>
  <c r="G1126" i="1"/>
  <c r="F1126" i="1"/>
  <c r="D1126" i="1"/>
  <c r="B1126" i="1"/>
  <c r="A1126" i="1"/>
  <c r="J1125" i="1"/>
  <c r="I1125" i="1"/>
  <c r="H1125" i="1"/>
  <c r="G1125" i="1"/>
  <c r="F1125" i="1"/>
  <c r="D1125" i="1"/>
  <c r="B1125" i="1"/>
  <c r="A1125" i="1"/>
  <c r="J1124" i="1"/>
  <c r="I1124" i="1"/>
  <c r="H1124" i="1"/>
  <c r="G1124" i="1"/>
  <c r="F1124" i="1"/>
  <c r="D1124" i="1"/>
  <c r="B1124" i="1"/>
  <c r="A1124" i="1"/>
  <c r="J1123" i="1"/>
  <c r="I1123" i="1"/>
  <c r="H1123" i="1"/>
  <c r="G1123" i="1"/>
  <c r="F1123" i="1"/>
  <c r="D1123" i="1"/>
  <c r="B1123" i="1"/>
  <c r="A1123" i="1"/>
  <c r="J1122" i="1"/>
  <c r="I1122" i="1"/>
  <c r="H1122" i="1"/>
  <c r="G1122" i="1"/>
  <c r="F1122" i="1"/>
  <c r="D1122" i="1"/>
  <c r="B1122" i="1"/>
  <c r="A1122" i="1"/>
  <c r="J1121" i="1"/>
  <c r="I1121" i="1"/>
  <c r="H1121" i="1"/>
  <c r="G1121" i="1"/>
  <c r="F1121" i="1"/>
  <c r="D1121" i="1"/>
  <c r="B1121" i="1"/>
  <c r="A1121" i="1"/>
  <c r="J1120" i="1"/>
  <c r="I1120" i="1"/>
  <c r="H1120" i="1"/>
  <c r="G1120" i="1"/>
  <c r="F1120" i="1"/>
  <c r="D1120" i="1"/>
  <c r="B1120" i="1"/>
  <c r="A1120" i="1"/>
  <c r="J1119" i="1"/>
  <c r="I1119" i="1"/>
  <c r="H1119" i="1"/>
  <c r="G1119" i="1"/>
  <c r="F1119" i="1"/>
  <c r="D1119" i="1"/>
  <c r="B1119" i="1"/>
  <c r="A1119" i="1"/>
  <c r="J1118" i="1"/>
  <c r="I1118" i="1"/>
  <c r="H1118" i="1"/>
  <c r="G1118" i="1"/>
  <c r="F1118" i="1"/>
  <c r="D1118" i="1"/>
  <c r="B1118" i="1"/>
  <c r="A1118" i="1"/>
  <c r="J1117" i="1"/>
  <c r="I1117" i="1"/>
  <c r="H1117" i="1"/>
  <c r="G1117" i="1"/>
  <c r="F1117" i="1"/>
  <c r="D1117" i="1"/>
  <c r="B1117" i="1"/>
  <c r="A1117" i="1"/>
  <c r="J1116" i="1"/>
  <c r="I1116" i="1"/>
  <c r="H1116" i="1"/>
  <c r="G1116" i="1"/>
  <c r="F1116" i="1"/>
  <c r="D1116" i="1"/>
  <c r="B1116" i="1"/>
  <c r="A1116" i="1"/>
  <c r="J1115" i="1"/>
  <c r="I1115" i="1"/>
  <c r="H1115" i="1"/>
  <c r="G1115" i="1"/>
  <c r="F1115" i="1"/>
  <c r="D1115" i="1"/>
  <c r="B1115" i="1"/>
  <c r="A1115" i="1"/>
  <c r="J1114" i="1"/>
  <c r="I1114" i="1"/>
  <c r="H1114" i="1"/>
  <c r="G1114" i="1"/>
  <c r="F1114" i="1"/>
  <c r="D1114" i="1"/>
  <c r="B1114" i="1"/>
  <c r="A1114" i="1"/>
  <c r="J1113" i="1"/>
  <c r="I1113" i="1"/>
  <c r="H1113" i="1"/>
  <c r="G1113" i="1"/>
  <c r="F1113" i="1"/>
  <c r="D1113" i="1"/>
  <c r="B1113" i="1"/>
  <c r="A1113" i="1"/>
  <c r="J1112" i="1"/>
  <c r="I1112" i="1"/>
  <c r="H1112" i="1"/>
  <c r="G1112" i="1"/>
  <c r="F1112" i="1"/>
  <c r="D1112" i="1"/>
  <c r="B1112" i="1"/>
  <c r="A1112" i="1"/>
  <c r="J1111" i="1"/>
  <c r="I1111" i="1"/>
  <c r="H1111" i="1"/>
  <c r="G1111" i="1"/>
  <c r="F1111" i="1"/>
  <c r="D1111" i="1"/>
  <c r="B1111" i="1"/>
  <c r="A1111" i="1"/>
  <c r="J1110" i="1"/>
  <c r="I1110" i="1"/>
  <c r="H1110" i="1"/>
  <c r="G1110" i="1"/>
  <c r="F1110" i="1"/>
  <c r="D1110" i="1"/>
  <c r="B1110" i="1"/>
  <c r="A1110" i="1"/>
  <c r="J1109" i="1"/>
  <c r="I1109" i="1"/>
  <c r="H1109" i="1"/>
  <c r="G1109" i="1"/>
  <c r="F1109" i="1"/>
  <c r="D1109" i="1"/>
  <c r="B1109" i="1"/>
  <c r="A1109" i="1"/>
  <c r="J1108" i="1"/>
  <c r="I1108" i="1"/>
  <c r="H1108" i="1"/>
  <c r="G1108" i="1"/>
  <c r="F1108" i="1"/>
  <c r="D1108" i="1"/>
  <c r="B1108" i="1"/>
  <c r="A1108" i="1"/>
  <c r="J1107" i="1"/>
  <c r="I1107" i="1"/>
  <c r="H1107" i="1"/>
  <c r="G1107" i="1"/>
  <c r="F1107" i="1"/>
  <c r="D1107" i="1"/>
  <c r="B1107" i="1"/>
  <c r="A1107" i="1"/>
  <c r="J1106" i="1"/>
  <c r="I1106" i="1"/>
  <c r="H1106" i="1"/>
  <c r="G1106" i="1"/>
  <c r="F1106" i="1"/>
  <c r="D1106" i="1"/>
  <c r="B1106" i="1"/>
  <c r="A1106" i="1"/>
  <c r="J1105" i="1"/>
  <c r="I1105" i="1"/>
  <c r="H1105" i="1"/>
  <c r="G1105" i="1"/>
  <c r="F1105" i="1"/>
  <c r="D1105" i="1"/>
  <c r="B1105" i="1"/>
  <c r="A1105" i="1"/>
  <c r="J1104" i="1"/>
  <c r="I1104" i="1"/>
  <c r="H1104" i="1"/>
  <c r="G1104" i="1"/>
  <c r="F1104" i="1"/>
  <c r="D1104" i="1"/>
  <c r="B1104" i="1"/>
  <c r="A1104" i="1"/>
  <c r="J1103" i="1"/>
  <c r="I1103" i="1"/>
  <c r="H1103" i="1"/>
  <c r="G1103" i="1"/>
  <c r="F1103" i="1"/>
  <c r="D1103" i="1"/>
  <c r="B1103" i="1"/>
  <c r="A1103" i="1"/>
  <c r="J1102" i="1"/>
  <c r="I1102" i="1"/>
  <c r="G1102" i="1"/>
  <c r="F1102" i="1"/>
  <c r="A1102" i="1"/>
  <c r="J1101" i="1"/>
  <c r="I1101" i="1"/>
  <c r="H1101" i="1"/>
  <c r="G1101" i="1"/>
  <c r="F1101" i="1"/>
  <c r="D1101" i="1"/>
  <c r="B1101" i="1"/>
  <c r="A1101" i="1"/>
  <c r="J1100" i="1"/>
  <c r="I1100" i="1"/>
  <c r="H1100" i="1"/>
  <c r="G1100" i="1"/>
  <c r="F1100" i="1"/>
  <c r="D1100" i="1"/>
  <c r="B1100" i="1"/>
  <c r="A1100" i="1"/>
  <c r="J1099" i="1"/>
  <c r="I1099" i="1"/>
  <c r="H1099" i="1"/>
  <c r="G1099" i="1"/>
  <c r="F1099" i="1"/>
  <c r="D1099" i="1"/>
  <c r="B1099" i="1"/>
  <c r="A1099" i="1"/>
  <c r="J1098" i="1"/>
  <c r="I1098" i="1"/>
  <c r="H1098" i="1"/>
  <c r="G1098" i="1"/>
  <c r="F1098" i="1"/>
  <c r="D1098" i="1"/>
  <c r="B1098" i="1"/>
  <c r="A1098" i="1"/>
  <c r="J1097" i="1"/>
  <c r="I1097" i="1"/>
  <c r="H1097" i="1"/>
  <c r="G1097" i="1"/>
  <c r="F1097" i="1"/>
  <c r="D1097" i="1"/>
  <c r="B1097" i="1"/>
  <c r="A1097" i="1"/>
  <c r="J1096" i="1"/>
  <c r="I1096" i="1"/>
  <c r="H1096" i="1"/>
  <c r="G1096" i="1"/>
  <c r="F1096" i="1"/>
  <c r="D1096" i="1"/>
  <c r="B1096" i="1"/>
  <c r="A1096" i="1"/>
  <c r="J1095" i="1"/>
  <c r="I1095" i="1"/>
  <c r="H1095" i="1"/>
  <c r="G1095" i="1"/>
  <c r="F1095" i="1"/>
  <c r="D1095" i="1"/>
  <c r="B1095" i="1"/>
  <c r="A1095" i="1"/>
  <c r="J1094" i="1"/>
  <c r="I1094" i="1"/>
  <c r="H1094" i="1"/>
  <c r="G1094" i="1"/>
  <c r="F1094" i="1"/>
  <c r="D1094" i="1"/>
  <c r="B1094" i="1"/>
  <c r="A1094" i="1"/>
  <c r="J1093" i="1"/>
  <c r="I1093" i="1"/>
  <c r="H1093" i="1"/>
  <c r="G1093" i="1"/>
  <c r="F1093" i="1"/>
  <c r="D1093" i="1"/>
  <c r="B1093" i="1"/>
  <c r="A1093" i="1"/>
  <c r="J1092" i="1"/>
  <c r="I1092" i="1"/>
  <c r="H1092" i="1"/>
  <c r="G1092" i="1"/>
  <c r="F1092" i="1"/>
  <c r="D1092" i="1"/>
  <c r="B1092" i="1"/>
  <c r="A1092" i="1"/>
  <c r="J1091" i="1"/>
  <c r="I1091" i="1"/>
  <c r="H1091" i="1"/>
  <c r="G1091" i="1"/>
  <c r="F1091" i="1"/>
  <c r="D1091" i="1"/>
  <c r="B1091" i="1"/>
  <c r="A1091" i="1"/>
  <c r="J1090" i="1"/>
  <c r="I1090" i="1"/>
  <c r="H1090" i="1"/>
  <c r="G1090" i="1"/>
  <c r="F1090" i="1"/>
  <c r="D1090" i="1"/>
  <c r="B1090" i="1"/>
  <c r="A1090" i="1"/>
  <c r="J1089" i="1"/>
  <c r="I1089" i="1"/>
  <c r="G1089" i="1"/>
  <c r="F1089" i="1"/>
  <c r="A1089" i="1"/>
  <c r="J1088" i="1"/>
  <c r="I1088" i="1"/>
  <c r="H1088" i="1"/>
  <c r="G1088" i="1"/>
  <c r="F1088" i="1"/>
  <c r="D1088" i="1"/>
  <c r="B1088" i="1"/>
  <c r="A1088" i="1"/>
  <c r="J1087" i="1"/>
  <c r="I1087" i="1"/>
  <c r="H1087" i="1"/>
  <c r="G1087" i="1"/>
  <c r="F1087" i="1"/>
  <c r="D1087" i="1"/>
  <c r="B1087" i="1"/>
  <c r="A1087" i="1"/>
  <c r="J1086" i="1"/>
  <c r="I1086" i="1"/>
  <c r="H1086" i="1"/>
  <c r="G1086" i="1"/>
  <c r="F1086" i="1"/>
  <c r="D1086" i="1"/>
  <c r="B1086" i="1"/>
  <c r="A1086" i="1"/>
  <c r="J1085" i="1"/>
  <c r="I1085" i="1"/>
  <c r="H1085" i="1"/>
  <c r="G1085" i="1"/>
  <c r="F1085" i="1"/>
  <c r="D1085" i="1"/>
  <c r="B1085" i="1"/>
  <c r="A1085" i="1"/>
  <c r="J1084" i="1"/>
  <c r="I1084" i="1"/>
  <c r="H1084" i="1"/>
  <c r="G1084" i="1"/>
  <c r="F1084" i="1"/>
  <c r="D1084" i="1"/>
  <c r="B1084" i="1"/>
  <c r="A1084" i="1"/>
  <c r="J1083" i="1"/>
  <c r="I1083" i="1"/>
  <c r="H1083" i="1"/>
  <c r="G1083" i="1"/>
  <c r="F1083" i="1"/>
  <c r="D1083" i="1"/>
  <c r="B1083" i="1"/>
  <c r="A1083" i="1"/>
  <c r="J1082" i="1"/>
  <c r="I1082" i="1"/>
  <c r="H1082" i="1"/>
  <c r="G1082" i="1"/>
  <c r="F1082" i="1"/>
  <c r="D1082" i="1"/>
  <c r="B1082" i="1"/>
  <c r="A1082" i="1"/>
  <c r="J1081" i="1"/>
  <c r="I1081" i="1"/>
  <c r="H1081" i="1"/>
  <c r="G1081" i="1"/>
  <c r="F1081" i="1"/>
  <c r="D1081" i="1"/>
  <c r="B1081" i="1"/>
  <c r="A1081" i="1"/>
  <c r="J1080" i="1"/>
  <c r="I1080" i="1"/>
  <c r="H1080" i="1"/>
  <c r="G1080" i="1"/>
  <c r="F1080" i="1"/>
  <c r="D1080" i="1"/>
  <c r="B1080" i="1"/>
  <c r="A1080" i="1"/>
  <c r="J1079" i="1"/>
  <c r="I1079" i="1"/>
  <c r="H1079" i="1"/>
  <c r="G1079" i="1"/>
  <c r="F1079" i="1"/>
  <c r="D1079" i="1"/>
  <c r="B1079" i="1"/>
  <c r="A1079" i="1"/>
  <c r="J1078" i="1"/>
  <c r="I1078" i="1"/>
  <c r="H1078" i="1"/>
  <c r="G1078" i="1"/>
  <c r="F1078" i="1"/>
  <c r="D1078" i="1"/>
  <c r="B1078" i="1"/>
  <c r="A1078" i="1"/>
  <c r="J1077" i="1"/>
  <c r="I1077" i="1"/>
  <c r="H1077" i="1"/>
  <c r="G1077" i="1"/>
  <c r="F1077" i="1"/>
  <c r="D1077" i="1"/>
  <c r="B1077" i="1"/>
  <c r="A1077" i="1"/>
  <c r="J1076" i="1"/>
  <c r="I1076" i="1"/>
  <c r="H1076" i="1"/>
  <c r="G1076" i="1"/>
  <c r="F1076" i="1"/>
  <c r="D1076" i="1"/>
  <c r="B1076" i="1"/>
  <c r="A1076" i="1"/>
  <c r="J1075" i="1"/>
  <c r="I1075" i="1"/>
  <c r="H1075" i="1"/>
  <c r="G1075" i="1"/>
  <c r="F1075" i="1"/>
  <c r="D1075" i="1"/>
  <c r="B1075" i="1"/>
  <c r="A1075" i="1"/>
  <c r="J1074" i="1"/>
  <c r="I1074" i="1"/>
  <c r="H1074" i="1"/>
  <c r="G1074" i="1"/>
  <c r="F1074" i="1"/>
  <c r="D1074" i="1"/>
  <c r="B1074" i="1"/>
  <c r="A1074" i="1"/>
  <c r="J1073" i="1"/>
  <c r="I1073" i="1"/>
  <c r="H1073" i="1"/>
  <c r="G1073" i="1"/>
  <c r="F1073" i="1"/>
  <c r="D1073" i="1"/>
  <c r="B1073" i="1"/>
  <c r="A1073" i="1"/>
  <c r="J1072" i="1"/>
  <c r="I1072" i="1"/>
  <c r="H1072" i="1"/>
  <c r="G1072" i="1"/>
  <c r="F1072" i="1"/>
  <c r="D1072" i="1"/>
  <c r="B1072" i="1"/>
  <c r="A1072" i="1"/>
  <c r="J1071" i="1"/>
  <c r="I1071" i="1"/>
  <c r="H1071" i="1"/>
  <c r="G1071" i="1"/>
  <c r="F1071" i="1"/>
  <c r="D1071" i="1"/>
  <c r="B1071" i="1"/>
  <c r="A1071" i="1"/>
  <c r="J1070" i="1"/>
  <c r="I1070" i="1"/>
  <c r="H1070" i="1"/>
  <c r="G1070" i="1"/>
  <c r="F1070" i="1"/>
  <c r="D1070" i="1"/>
  <c r="B1070" i="1"/>
  <c r="A1070" i="1"/>
  <c r="J1069" i="1"/>
  <c r="I1069" i="1"/>
  <c r="H1069" i="1"/>
  <c r="G1069" i="1"/>
  <c r="F1069" i="1"/>
  <c r="D1069" i="1"/>
  <c r="B1069" i="1"/>
  <c r="A1069" i="1"/>
  <c r="J1068" i="1"/>
  <c r="I1068" i="1"/>
  <c r="H1068" i="1"/>
  <c r="G1068" i="1"/>
  <c r="F1068" i="1"/>
  <c r="D1068" i="1"/>
  <c r="B1068" i="1"/>
  <c r="A1068" i="1"/>
  <c r="J1067" i="1"/>
  <c r="I1067" i="1"/>
  <c r="H1067" i="1"/>
  <c r="G1067" i="1"/>
  <c r="F1067" i="1"/>
  <c r="D1067" i="1"/>
  <c r="B1067" i="1"/>
  <c r="A1067" i="1"/>
  <c r="J1066" i="1"/>
  <c r="I1066" i="1"/>
  <c r="H1066" i="1"/>
  <c r="G1066" i="1"/>
  <c r="F1066" i="1"/>
  <c r="D1066" i="1"/>
  <c r="B1066" i="1"/>
  <c r="A1066" i="1"/>
  <c r="J1065" i="1"/>
  <c r="I1065" i="1"/>
  <c r="H1065" i="1"/>
  <c r="G1065" i="1"/>
  <c r="F1065" i="1"/>
  <c r="D1065" i="1"/>
  <c r="B1065" i="1"/>
  <c r="A1065" i="1"/>
  <c r="J1064" i="1"/>
  <c r="I1064" i="1"/>
  <c r="H1064" i="1"/>
  <c r="G1064" i="1"/>
  <c r="F1064" i="1"/>
  <c r="D1064" i="1"/>
  <c r="B1064" i="1"/>
  <c r="A1064" i="1"/>
  <c r="J1063" i="1"/>
  <c r="I1063" i="1"/>
  <c r="H1063" i="1"/>
  <c r="G1063" i="1"/>
  <c r="F1063" i="1"/>
  <c r="D1063" i="1"/>
  <c r="B1063" i="1"/>
  <c r="A1063" i="1"/>
  <c r="J1062" i="1"/>
  <c r="I1062" i="1"/>
  <c r="H1062" i="1"/>
  <c r="G1062" i="1"/>
  <c r="F1062" i="1"/>
  <c r="D1062" i="1"/>
  <c r="B1062" i="1"/>
  <c r="A1062" i="1"/>
  <c r="J1061" i="1"/>
  <c r="I1061" i="1"/>
  <c r="H1061" i="1"/>
  <c r="G1061" i="1"/>
  <c r="F1061" i="1"/>
  <c r="D1061" i="1"/>
  <c r="B1061" i="1"/>
  <c r="A1061" i="1"/>
  <c r="J1060" i="1"/>
  <c r="I1060" i="1"/>
  <c r="H1060" i="1"/>
  <c r="G1060" i="1"/>
  <c r="F1060" i="1"/>
  <c r="D1060" i="1"/>
  <c r="B1060" i="1"/>
  <c r="A1060" i="1"/>
  <c r="J1059" i="1"/>
  <c r="I1059" i="1"/>
  <c r="H1059" i="1"/>
  <c r="G1059" i="1"/>
  <c r="F1059" i="1"/>
  <c r="D1059" i="1"/>
  <c r="B1059" i="1"/>
  <c r="A1059" i="1"/>
  <c r="J1058" i="1"/>
  <c r="I1058" i="1"/>
  <c r="H1058" i="1"/>
  <c r="G1058" i="1"/>
  <c r="F1058" i="1"/>
  <c r="D1058" i="1"/>
  <c r="B1058" i="1"/>
  <c r="A1058" i="1"/>
  <c r="J1057" i="1"/>
  <c r="I1057" i="1"/>
  <c r="H1057" i="1"/>
  <c r="G1057" i="1"/>
  <c r="F1057" i="1"/>
  <c r="D1057" i="1"/>
  <c r="B1057" i="1"/>
  <c r="A1057" i="1"/>
  <c r="J1056" i="1"/>
  <c r="I1056" i="1"/>
  <c r="H1056" i="1"/>
  <c r="G1056" i="1"/>
  <c r="F1056" i="1"/>
  <c r="D1056" i="1"/>
  <c r="B1056" i="1"/>
  <c r="A1056" i="1"/>
  <c r="J1055" i="1"/>
  <c r="I1055" i="1"/>
  <c r="H1055" i="1"/>
  <c r="G1055" i="1"/>
  <c r="F1055" i="1"/>
  <c r="D1055" i="1"/>
  <c r="B1055" i="1"/>
  <c r="A1055" i="1"/>
  <c r="J1054" i="1"/>
  <c r="I1054" i="1"/>
  <c r="H1054" i="1"/>
  <c r="G1054" i="1"/>
  <c r="F1054" i="1"/>
  <c r="D1054" i="1"/>
  <c r="B1054" i="1"/>
  <c r="A1054" i="1"/>
  <c r="J1053" i="1"/>
  <c r="I1053" i="1"/>
  <c r="H1053" i="1"/>
  <c r="G1053" i="1"/>
  <c r="F1053" i="1"/>
  <c r="D1053" i="1"/>
  <c r="B1053" i="1"/>
  <c r="A1053" i="1"/>
  <c r="J1052" i="1"/>
  <c r="I1052" i="1"/>
  <c r="H1052" i="1"/>
  <c r="G1052" i="1"/>
  <c r="F1052" i="1"/>
  <c r="D1052" i="1"/>
  <c r="B1052" i="1"/>
  <c r="A1052" i="1"/>
  <c r="J1051" i="1"/>
  <c r="I1051" i="1"/>
  <c r="H1051" i="1"/>
  <c r="G1051" i="1"/>
  <c r="F1051" i="1"/>
  <c r="D1051" i="1"/>
  <c r="B1051" i="1"/>
  <c r="A1051" i="1"/>
  <c r="J1050" i="1"/>
  <c r="I1050" i="1"/>
  <c r="H1050" i="1"/>
  <c r="G1050" i="1"/>
  <c r="F1050" i="1"/>
  <c r="D1050" i="1"/>
  <c r="B1050" i="1"/>
  <c r="A1050" i="1"/>
  <c r="J1049" i="1"/>
  <c r="I1049" i="1"/>
  <c r="H1049" i="1"/>
  <c r="G1049" i="1"/>
  <c r="F1049" i="1"/>
  <c r="D1049" i="1"/>
  <c r="B1049" i="1"/>
  <c r="A1049" i="1"/>
  <c r="J1048" i="1"/>
  <c r="I1048" i="1"/>
  <c r="H1048" i="1"/>
  <c r="G1048" i="1"/>
  <c r="F1048" i="1"/>
  <c r="D1048" i="1"/>
  <c r="B1048" i="1"/>
  <c r="A1048" i="1"/>
  <c r="J1047" i="1"/>
  <c r="I1047" i="1"/>
  <c r="H1047" i="1"/>
  <c r="G1047" i="1"/>
  <c r="F1047" i="1"/>
  <c r="D1047" i="1"/>
  <c r="B1047" i="1"/>
  <c r="A1047" i="1"/>
  <c r="J1046" i="1"/>
  <c r="I1046" i="1"/>
  <c r="H1046" i="1"/>
  <c r="G1046" i="1"/>
  <c r="F1046" i="1"/>
  <c r="D1046" i="1"/>
  <c r="B1046" i="1"/>
  <c r="A1046" i="1"/>
  <c r="J1045" i="1"/>
  <c r="I1045" i="1"/>
  <c r="H1045" i="1"/>
  <c r="G1045" i="1"/>
  <c r="F1045" i="1"/>
  <c r="D1045" i="1"/>
  <c r="B1045" i="1"/>
  <c r="A1045" i="1"/>
  <c r="J1044" i="1"/>
  <c r="I1044" i="1"/>
  <c r="H1044" i="1"/>
  <c r="G1044" i="1"/>
  <c r="F1044" i="1"/>
  <c r="D1044" i="1"/>
  <c r="B1044" i="1"/>
  <c r="A1044" i="1"/>
  <c r="J1043" i="1"/>
  <c r="I1043" i="1"/>
  <c r="H1043" i="1"/>
  <c r="G1043" i="1"/>
  <c r="F1043" i="1"/>
  <c r="D1043" i="1"/>
  <c r="B1043" i="1"/>
  <c r="A1043" i="1"/>
  <c r="J1042" i="1"/>
  <c r="I1042" i="1"/>
  <c r="H1042" i="1"/>
  <c r="G1042" i="1"/>
  <c r="F1042" i="1"/>
  <c r="D1042" i="1"/>
  <c r="B1042" i="1"/>
  <c r="A1042" i="1"/>
  <c r="J1041" i="1"/>
  <c r="I1041" i="1"/>
  <c r="H1041" i="1"/>
  <c r="G1041" i="1"/>
  <c r="F1041" i="1"/>
  <c r="D1041" i="1"/>
  <c r="B1041" i="1"/>
  <c r="A1041" i="1"/>
  <c r="J1040" i="1"/>
  <c r="I1040" i="1"/>
  <c r="H1040" i="1"/>
  <c r="G1040" i="1"/>
  <c r="F1040" i="1"/>
  <c r="D1040" i="1"/>
  <c r="B1040" i="1"/>
  <c r="A1040" i="1"/>
  <c r="J1039" i="1"/>
  <c r="I1039" i="1"/>
  <c r="H1039" i="1"/>
  <c r="G1039" i="1"/>
  <c r="F1039" i="1"/>
  <c r="D1039" i="1"/>
  <c r="B1039" i="1"/>
  <c r="A1039" i="1"/>
  <c r="J1038" i="1"/>
  <c r="I1038" i="1"/>
  <c r="H1038" i="1"/>
  <c r="G1038" i="1"/>
  <c r="F1038" i="1"/>
  <c r="D1038" i="1"/>
  <c r="B1038" i="1"/>
  <c r="A1038" i="1"/>
  <c r="J1037" i="1"/>
  <c r="I1037" i="1"/>
  <c r="H1037" i="1"/>
  <c r="G1037" i="1"/>
  <c r="F1037" i="1"/>
  <c r="D1037" i="1"/>
  <c r="B1037" i="1"/>
  <c r="A1037" i="1"/>
  <c r="J1036" i="1"/>
  <c r="I1036" i="1"/>
  <c r="H1036" i="1"/>
  <c r="G1036" i="1"/>
  <c r="F1036" i="1"/>
  <c r="D1036" i="1"/>
  <c r="B1036" i="1"/>
  <c r="A1036" i="1"/>
  <c r="J1035" i="1"/>
  <c r="I1035" i="1"/>
  <c r="H1035" i="1"/>
  <c r="G1035" i="1"/>
  <c r="F1035" i="1"/>
  <c r="D1035" i="1"/>
  <c r="B1035" i="1"/>
  <c r="A1035" i="1"/>
  <c r="J1034" i="1"/>
  <c r="I1034" i="1"/>
  <c r="H1034" i="1"/>
  <c r="G1034" i="1"/>
  <c r="F1034" i="1"/>
  <c r="D1034" i="1"/>
  <c r="B1034" i="1"/>
  <c r="A1034" i="1"/>
  <c r="J1033" i="1"/>
  <c r="I1033" i="1"/>
  <c r="H1033" i="1"/>
  <c r="G1033" i="1"/>
  <c r="F1033" i="1"/>
  <c r="D1033" i="1"/>
  <c r="B1033" i="1"/>
  <c r="A1033" i="1"/>
  <c r="J1032" i="1"/>
  <c r="I1032" i="1"/>
  <c r="H1032" i="1"/>
  <c r="G1032" i="1"/>
  <c r="F1032" i="1"/>
  <c r="D1032" i="1"/>
  <c r="B1032" i="1"/>
  <c r="A1032" i="1"/>
  <c r="J1031" i="1"/>
  <c r="I1031" i="1"/>
  <c r="H1031" i="1"/>
  <c r="G1031" i="1"/>
  <c r="F1031" i="1"/>
  <c r="D1031" i="1"/>
  <c r="B1031" i="1"/>
  <c r="A1031" i="1"/>
  <c r="J1030" i="1"/>
  <c r="I1030" i="1"/>
  <c r="H1030" i="1"/>
  <c r="G1030" i="1"/>
  <c r="F1030" i="1"/>
  <c r="D1030" i="1"/>
  <c r="B1030" i="1"/>
  <c r="A1030" i="1"/>
  <c r="J1029" i="1"/>
  <c r="I1029" i="1"/>
  <c r="H1029" i="1"/>
  <c r="G1029" i="1"/>
  <c r="F1029" i="1"/>
  <c r="D1029" i="1"/>
  <c r="B1029" i="1"/>
  <c r="A1029" i="1"/>
  <c r="J1028" i="1"/>
  <c r="I1028" i="1"/>
  <c r="H1028" i="1"/>
  <c r="G1028" i="1"/>
  <c r="F1028" i="1"/>
  <c r="D1028" i="1"/>
  <c r="B1028" i="1"/>
  <c r="A1028" i="1"/>
  <c r="J1027" i="1"/>
  <c r="I1027" i="1"/>
  <c r="H1027" i="1"/>
  <c r="G1027" i="1"/>
  <c r="F1027" i="1"/>
  <c r="D1027" i="1"/>
  <c r="B1027" i="1"/>
  <c r="A1027" i="1"/>
  <c r="J1026" i="1"/>
  <c r="I1026" i="1"/>
  <c r="H1026" i="1"/>
  <c r="G1026" i="1"/>
  <c r="F1026" i="1"/>
  <c r="D1026" i="1"/>
  <c r="B1026" i="1"/>
  <c r="A1026" i="1"/>
  <c r="J1025" i="1"/>
  <c r="I1025" i="1"/>
  <c r="H1025" i="1"/>
  <c r="G1025" i="1"/>
  <c r="F1025" i="1"/>
  <c r="D1025" i="1"/>
  <c r="B1025" i="1"/>
  <c r="A1025" i="1"/>
  <c r="J1024" i="1"/>
  <c r="I1024" i="1"/>
  <c r="H1024" i="1"/>
  <c r="G1024" i="1"/>
  <c r="F1024" i="1"/>
  <c r="D1024" i="1"/>
  <c r="B1024" i="1"/>
  <c r="A1024" i="1"/>
  <c r="J1023" i="1"/>
  <c r="I1023" i="1"/>
  <c r="H1023" i="1"/>
  <c r="G1023" i="1"/>
  <c r="F1023" i="1"/>
  <c r="D1023" i="1"/>
  <c r="B1023" i="1"/>
  <c r="A1023" i="1"/>
  <c r="J1022" i="1"/>
  <c r="I1022" i="1"/>
  <c r="H1022" i="1"/>
  <c r="G1022" i="1"/>
  <c r="F1022" i="1"/>
  <c r="D1022" i="1"/>
  <c r="B1022" i="1"/>
  <c r="A1022" i="1"/>
  <c r="J1021" i="1"/>
  <c r="I1021" i="1"/>
  <c r="H1021" i="1"/>
  <c r="G1021" i="1"/>
  <c r="F1021" i="1"/>
  <c r="D1021" i="1"/>
  <c r="B1021" i="1"/>
  <c r="A1021" i="1"/>
  <c r="J1020" i="1"/>
  <c r="I1020" i="1"/>
  <c r="H1020" i="1"/>
  <c r="G1020" i="1"/>
  <c r="F1020" i="1"/>
  <c r="D1020" i="1"/>
  <c r="B1020" i="1"/>
  <c r="A1020" i="1"/>
  <c r="J1019" i="1"/>
  <c r="I1019" i="1"/>
  <c r="H1019" i="1"/>
  <c r="G1019" i="1"/>
  <c r="F1019" i="1"/>
  <c r="D1019" i="1"/>
  <c r="B1019" i="1"/>
  <c r="A1019" i="1"/>
  <c r="J1018" i="1"/>
  <c r="I1018" i="1"/>
  <c r="H1018" i="1"/>
  <c r="G1018" i="1"/>
  <c r="F1018" i="1"/>
  <c r="D1018" i="1"/>
  <c r="B1018" i="1"/>
  <c r="A1018" i="1"/>
  <c r="J1017" i="1"/>
  <c r="I1017" i="1"/>
  <c r="H1017" i="1"/>
  <c r="G1017" i="1"/>
  <c r="F1017" i="1"/>
  <c r="D1017" i="1"/>
  <c r="B1017" i="1"/>
  <c r="A1017" i="1"/>
  <c r="J1016" i="1"/>
  <c r="I1016" i="1"/>
  <c r="H1016" i="1"/>
  <c r="G1016" i="1"/>
  <c r="F1016" i="1"/>
  <c r="D1016" i="1"/>
  <c r="B1016" i="1"/>
  <c r="A1016" i="1"/>
  <c r="J1015" i="1"/>
  <c r="I1015" i="1"/>
  <c r="H1015" i="1"/>
  <c r="G1015" i="1"/>
  <c r="F1015" i="1"/>
  <c r="D1015" i="1"/>
  <c r="B1015" i="1"/>
  <c r="A1015" i="1"/>
  <c r="J1014" i="1"/>
  <c r="I1014" i="1"/>
  <c r="H1014" i="1"/>
  <c r="G1014" i="1"/>
  <c r="F1014" i="1"/>
  <c r="D1014" i="1"/>
  <c r="B1014" i="1"/>
  <c r="A1014" i="1"/>
  <c r="J1013" i="1"/>
  <c r="I1013" i="1"/>
  <c r="H1013" i="1"/>
  <c r="G1013" i="1"/>
  <c r="F1013" i="1"/>
  <c r="D1013" i="1"/>
  <c r="B1013" i="1"/>
  <c r="A1013" i="1"/>
  <c r="J1012" i="1"/>
  <c r="I1012" i="1"/>
  <c r="H1012" i="1"/>
  <c r="G1012" i="1"/>
  <c r="F1012" i="1"/>
  <c r="D1012" i="1"/>
  <c r="B1012" i="1"/>
  <c r="A1012" i="1"/>
  <c r="J1011" i="1"/>
  <c r="I1011" i="1"/>
  <c r="H1011" i="1"/>
  <c r="G1011" i="1"/>
  <c r="F1011" i="1"/>
  <c r="D1011" i="1"/>
  <c r="B1011" i="1"/>
  <c r="A1011" i="1"/>
  <c r="J1010" i="1"/>
  <c r="I1010" i="1"/>
  <c r="H1010" i="1"/>
  <c r="G1010" i="1"/>
  <c r="F1010" i="1"/>
  <c r="D1010" i="1"/>
  <c r="B1010" i="1"/>
  <c r="A1010" i="1"/>
  <c r="J1009" i="1"/>
  <c r="I1009" i="1"/>
  <c r="H1009" i="1"/>
  <c r="G1009" i="1"/>
  <c r="F1009" i="1"/>
  <c r="D1009" i="1"/>
  <c r="B1009" i="1"/>
  <c r="A1009" i="1"/>
  <c r="J1008" i="1"/>
  <c r="I1008" i="1"/>
  <c r="H1008" i="1"/>
  <c r="G1008" i="1"/>
  <c r="F1008" i="1"/>
  <c r="D1008" i="1"/>
  <c r="B1008" i="1"/>
  <c r="A1008" i="1"/>
  <c r="J1007" i="1"/>
  <c r="I1007" i="1"/>
  <c r="H1007" i="1"/>
  <c r="G1007" i="1"/>
  <c r="F1007" i="1"/>
  <c r="D1007" i="1"/>
  <c r="B1007" i="1"/>
  <c r="A1007" i="1"/>
  <c r="J1006" i="1"/>
  <c r="I1006" i="1"/>
  <c r="H1006" i="1"/>
  <c r="G1006" i="1"/>
  <c r="F1006" i="1"/>
  <c r="D1006" i="1"/>
  <c r="B1006" i="1"/>
  <c r="A1006" i="1"/>
  <c r="J1005" i="1"/>
  <c r="I1005" i="1"/>
  <c r="H1005" i="1"/>
  <c r="G1005" i="1"/>
  <c r="F1005" i="1"/>
  <c r="D1005" i="1"/>
  <c r="B1005" i="1"/>
  <c r="A1005" i="1"/>
  <c r="J1004" i="1"/>
  <c r="I1004" i="1"/>
  <c r="H1004" i="1"/>
  <c r="G1004" i="1"/>
  <c r="F1004" i="1"/>
  <c r="D1004" i="1"/>
  <c r="B1004" i="1"/>
  <c r="A1004" i="1"/>
  <c r="J1003" i="1"/>
  <c r="I1003" i="1"/>
  <c r="H1003" i="1"/>
  <c r="G1003" i="1"/>
  <c r="F1003" i="1"/>
  <c r="D1003" i="1"/>
  <c r="B1003" i="1"/>
  <c r="A1003" i="1"/>
  <c r="J1002" i="1"/>
  <c r="I1002" i="1"/>
  <c r="H1002" i="1"/>
  <c r="G1002" i="1"/>
  <c r="F1002" i="1"/>
  <c r="D1002" i="1"/>
  <c r="B1002" i="1"/>
  <c r="A1002" i="1"/>
  <c r="J1001" i="1"/>
  <c r="I1001" i="1"/>
  <c r="H1001" i="1"/>
  <c r="G1001" i="1"/>
  <c r="F1001" i="1"/>
  <c r="D1001" i="1"/>
  <c r="B1001" i="1"/>
  <c r="A1001" i="1"/>
  <c r="J1000" i="1"/>
  <c r="I1000" i="1"/>
  <c r="H1000" i="1"/>
  <c r="G1000" i="1"/>
  <c r="F1000" i="1"/>
  <c r="D1000" i="1"/>
  <c r="B1000" i="1"/>
  <c r="A1000" i="1"/>
  <c r="J999" i="1"/>
  <c r="I999" i="1"/>
  <c r="H999" i="1"/>
  <c r="G999" i="1"/>
  <c r="F999" i="1"/>
  <c r="D999" i="1"/>
  <c r="B999" i="1"/>
  <c r="A999" i="1"/>
  <c r="J998" i="1"/>
  <c r="I998" i="1"/>
  <c r="H998" i="1"/>
  <c r="G998" i="1"/>
  <c r="F998" i="1"/>
  <c r="D998" i="1"/>
  <c r="B998" i="1"/>
  <c r="A998" i="1"/>
  <c r="J997" i="1"/>
  <c r="I997" i="1"/>
  <c r="H997" i="1"/>
  <c r="G997" i="1"/>
  <c r="F997" i="1"/>
  <c r="D997" i="1"/>
  <c r="B997" i="1"/>
  <c r="A997" i="1"/>
  <c r="J996" i="1"/>
  <c r="I996" i="1"/>
  <c r="H996" i="1"/>
  <c r="G996" i="1"/>
  <c r="F996" i="1"/>
  <c r="D996" i="1"/>
  <c r="B996" i="1"/>
  <c r="A996" i="1"/>
  <c r="J995" i="1"/>
  <c r="I995" i="1"/>
  <c r="H995" i="1"/>
  <c r="G995" i="1"/>
  <c r="F995" i="1"/>
  <c r="D995" i="1"/>
  <c r="B995" i="1"/>
  <c r="A995" i="1"/>
  <c r="J994" i="1"/>
  <c r="I994" i="1"/>
  <c r="H994" i="1"/>
  <c r="G994" i="1"/>
  <c r="F994" i="1"/>
  <c r="D994" i="1"/>
  <c r="B994" i="1"/>
  <c r="A994" i="1"/>
  <c r="J993" i="1"/>
  <c r="I993" i="1"/>
  <c r="H993" i="1"/>
  <c r="G993" i="1"/>
  <c r="F993" i="1"/>
  <c r="D993" i="1"/>
  <c r="B993" i="1"/>
  <c r="A993" i="1"/>
  <c r="J992" i="1"/>
  <c r="I992" i="1"/>
  <c r="H992" i="1"/>
  <c r="G992" i="1"/>
  <c r="F992" i="1"/>
  <c r="D992" i="1"/>
  <c r="B992" i="1"/>
  <c r="A992" i="1"/>
  <c r="J991" i="1"/>
  <c r="I991" i="1"/>
  <c r="H991" i="1"/>
  <c r="G991" i="1"/>
  <c r="F991" i="1"/>
  <c r="D991" i="1"/>
  <c r="B991" i="1"/>
  <c r="A991" i="1"/>
  <c r="J990" i="1"/>
  <c r="I990" i="1"/>
  <c r="H990" i="1"/>
  <c r="G990" i="1"/>
  <c r="F990" i="1"/>
  <c r="D990" i="1"/>
  <c r="B990" i="1"/>
  <c r="A990" i="1"/>
  <c r="J989" i="1"/>
  <c r="I989" i="1"/>
  <c r="H989" i="1"/>
  <c r="G989" i="1"/>
  <c r="F989" i="1"/>
  <c r="D989" i="1"/>
  <c r="B989" i="1"/>
  <c r="A989" i="1"/>
  <c r="J988" i="1"/>
  <c r="I988" i="1"/>
  <c r="H988" i="1"/>
  <c r="G988" i="1"/>
  <c r="F988" i="1"/>
  <c r="D988" i="1"/>
  <c r="B988" i="1"/>
  <c r="A988" i="1"/>
  <c r="J987" i="1"/>
  <c r="I987" i="1"/>
  <c r="H987" i="1"/>
  <c r="G987" i="1"/>
  <c r="F987" i="1"/>
  <c r="D987" i="1"/>
  <c r="B987" i="1"/>
  <c r="A987" i="1"/>
  <c r="J986" i="1"/>
  <c r="I986" i="1"/>
  <c r="H986" i="1"/>
  <c r="G986" i="1"/>
  <c r="F986" i="1"/>
  <c r="D986" i="1"/>
  <c r="B986" i="1"/>
  <c r="A986" i="1"/>
  <c r="J985" i="1"/>
  <c r="I985" i="1"/>
  <c r="H985" i="1"/>
  <c r="G985" i="1"/>
  <c r="F985" i="1"/>
  <c r="D985" i="1"/>
  <c r="B985" i="1"/>
  <c r="A985" i="1"/>
  <c r="J984" i="1"/>
  <c r="I984" i="1"/>
  <c r="H984" i="1"/>
  <c r="G984" i="1"/>
  <c r="F984" i="1"/>
  <c r="D984" i="1"/>
  <c r="B984" i="1"/>
  <c r="A984" i="1"/>
  <c r="J983" i="1"/>
  <c r="I983" i="1"/>
  <c r="H983" i="1"/>
  <c r="G983" i="1"/>
  <c r="F983" i="1"/>
  <c r="D983" i="1"/>
  <c r="B983" i="1"/>
  <c r="A983" i="1"/>
  <c r="J982" i="1"/>
  <c r="I982" i="1"/>
  <c r="H982" i="1"/>
  <c r="G982" i="1"/>
  <c r="F982" i="1"/>
  <c r="D982" i="1"/>
  <c r="B982" i="1"/>
  <c r="A982" i="1"/>
  <c r="J981" i="1"/>
  <c r="I981" i="1"/>
  <c r="H981" i="1"/>
  <c r="G981" i="1"/>
  <c r="F981" i="1"/>
  <c r="D981" i="1"/>
  <c r="B981" i="1"/>
  <c r="A981" i="1"/>
  <c r="J980" i="1"/>
  <c r="I980" i="1"/>
  <c r="H980" i="1"/>
  <c r="G980" i="1"/>
  <c r="F980" i="1"/>
  <c r="D980" i="1"/>
  <c r="B980" i="1"/>
  <c r="A980" i="1"/>
  <c r="J979" i="1"/>
  <c r="I979" i="1"/>
  <c r="H979" i="1"/>
  <c r="G979" i="1"/>
  <c r="F979" i="1"/>
  <c r="D979" i="1"/>
  <c r="B979" i="1"/>
  <c r="A979" i="1"/>
  <c r="J978" i="1"/>
  <c r="I978" i="1"/>
  <c r="H978" i="1"/>
  <c r="G978" i="1"/>
  <c r="F978" i="1"/>
  <c r="D978" i="1"/>
  <c r="B978" i="1"/>
  <c r="A978" i="1"/>
  <c r="J977" i="1"/>
  <c r="I977" i="1"/>
  <c r="H977" i="1"/>
  <c r="G977" i="1"/>
  <c r="F977" i="1"/>
  <c r="D977" i="1"/>
  <c r="B977" i="1"/>
  <c r="A977" i="1"/>
  <c r="J976" i="1"/>
  <c r="I976" i="1"/>
  <c r="H976" i="1"/>
  <c r="G976" i="1"/>
  <c r="F976" i="1"/>
  <c r="D976" i="1"/>
  <c r="B976" i="1"/>
  <c r="A976" i="1"/>
  <c r="J975" i="1"/>
  <c r="I975" i="1"/>
  <c r="H975" i="1"/>
  <c r="G975" i="1"/>
  <c r="F975" i="1"/>
  <c r="D975" i="1"/>
  <c r="B975" i="1"/>
  <c r="A975" i="1"/>
  <c r="J974" i="1"/>
  <c r="I974" i="1"/>
  <c r="H974" i="1"/>
  <c r="G974" i="1"/>
  <c r="F974" i="1"/>
  <c r="D974" i="1"/>
  <c r="B974" i="1"/>
  <c r="A974" i="1"/>
  <c r="J973" i="1"/>
  <c r="I973" i="1"/>
  <c r="H973" i="1"/>
  <c r="G973" i="1"/>
  <c r="F973" i="1"/>
  <c r="D973" i="1"/>
  <c r="B973" i="1"/>
  <c r="A973" i="1"/>
  <c r="J972" i="1"/>
  <c r="I972" i="1"/>
  <c r="H972" i="1"/>
  <c r="G972" i="1"/>
  <c r="F972" i="1"/>
  <c r="D972" i="1"/>
  <c r="B972" i="1"/>
  <c r="A972" i="1"/>
  <c r="J971" i="1"/>
  <c r="I971" i="1"/>
  <c r="H971" i="1"/>
  <c r="G971" i="1"/>
  <c r="F971" i="1"/>
  <c r="D971" i="1"/>
  <c r="B971" i="1"/>
  <c r="A971" i="1"/>
  <c r="J970" i="1"/>
  <c r="I970" i="1"/>
  <c r="H970" i="1"/>
  <c r="G970" i="1"/>
  <c r="F970" i="1"/>
  <c r="D970" i="1"/>
  <c r="B970" i="1"/>
  <c r="A970" i="1"/>
  <c r="J969" i="1"/>
  <c r="I969" i="1"/>
  <c r="H969" i="1"/>
  <c r="G969" i="1"/>
  <c r="F969" i="1"/>
  <c r="D969" i="1"/>
  <c r="B969" i="1"/>
  <c r="A969" i="1"/>
  <c r="J968" i="1"/>
  <c r="I968" i="1"/>
  <c r="H968" i="1"/>
  <c r="G968" i="1"/>
  <c r="F968" i="1"/>
  <c r="D968" i="1"/>
  <c r="B968" i="1"/>
  <c r="A968" i="1"/>
  <c r="J967" i="1"/>
  <c r="I967" i="1"/>
  <c r="H967" i="1"/>
  <c r="G967" i="1"/>
  <c r="F967" i="1"/>
  <c r="D967" i="1"/>
  <c r="B967" i="1"/>
  <c r="A967" i="1"/>
  <c r="J966" i="1"/>
  <c r="I966" i="1"/>
  <c r="H966" i="1"/>
  <c r="G966" i="1"/>
  <c r="F966" i="1"/>
  <c r="D966" i="1"/>
  <c r="B966" i="1"/>
  <c r="A966" i="1"/>
  <c r="J965" i="1"/>
  <c r="I965" i="1"/>
  <c r="H965" i="1"/>
  <c r="G965" i="1"/>
  <c r="F965" i="1"/>
  <c r="D965" i="1"/>
  <c r="B965" i="1"/>
  <c r="A965" i="1"/>
  <c r="J964" i="1"/>
  <c r="I964" i="1"/>
  <c r="H964" i="1"/>
  <c r="G964" i="1"/>
  <c r="F964" i="1"/>
  <c r="D964" i="1"/>
  <c r="B964" i="1"/>
  <c r="A964" i="1"/>
  <c r="J963" i="1"/>
  <c r="I963" i="1"/>
  <c r="H963" i="1"/>
  <c r="G963" i="1"/>
  <c r="F963" i="1"/>
  <c r="D963" i="1"/>
  <c r="B963" i="1"/>
  <c r="A963" i="1"/>
  <c r="J962" i="1"/>
  <c r="I962" i="1"/>
  <c r="H962" i="1"/>
  <c r="G962" i="1"/>
  <c r="F962" i="1"/>
  <c r="D962" i="1"/>
  <c r="B962" i="1"/>
  <c r="A962" i="1"/>
  <c r="J961" i="1"/>
  <c r="I961" i="1"/>
  <c r="H961" i="1"/>
  <c r="G961" i="1"/>
  <c r="F961" i="1"/>
  <c r="D961" i="1"/>
  <c r="B961" i="1"/>
  <c r="A961" i="1"/>
  <c r="J960" i="1"/>
  <c r="I960" i="1"/>
  <c r="H960" i="1"/>
  <c r="G960" i="1"/>
  <c r="F960" i="1"/>
  <c r="D960" i="1"/>
  <c r="B960" i="1"/>
  <c r="A960" i="1"/>
  <c r="J959" i="1"/>
  <c r="I959" i="1"/>
  <c r="H959" i="1"/>
  <c r="G959" i="1"/>
  <c r="F959" i="1"/>
  <c r="D959" i="1"/>
  <c r="B959" i="1"/>
  <c r="A959" i="1"/>
  <c r="J958" i="1"/>
  <c r="I958" i="1"/>
  <c r="H958" i="1"/>
  <c r="G958" i="1"/>
  <c r="F958" i="1"/>
  <c r="D958" i="1"/>
  <c r="B958" i="1"/>
  <c r="A958" i="1"/>
  <c r="J957" i="1"/>
  <c r="I957" i="1"/>
  <c r="H957" i="1"/>
  <c r="G957" i="1"/>
  <c r="F957" i="1"/>
  <c r="D957" i="1"/>
  <c r="B957" i="1"/>
  <c r="A957" i="1"/>
  <c r="J956" i="1"/>
  <c r="I956" i="1"/>
  <c r="H956" i="1"/>
  <c r="G956" i="1"/>
  <c r="F956" i="1"/>
  <c r="D956" i="1"/>
  <c r="B956" i="1"/>
  <c r="A956" i="1"/>
  <c r="J955" i="1"/>
  <c r="I955" i="1"/>
  <c r="H955" i="1"/>
  <c r="G955" i="1"/>
  <c r="F955" i="1"/>
  <c r="D955" i="1"/>
  <c r="B955" i="1"/>
  <c r="A955" i="1"/>
  <c r="J954" i="1"/>
  <c r="I954" i="1"/>
  <c r="H954" i="1"/>
  <c r="G954" i="1"/>
  <c r="F954" i="1"/>
  <c r="D954" i="1"/>
  <c r="B954" i="1"/>
  <c r="A954" i="1"/>
  <c r="J953" i="1"/>
  <c r="I953" i="1"/>
  <c r="H953" i="1"/>
  <c r="G953" i="1"/>
  <c r="F953" i="1"/>
  <c r="D953" i="1"/>
  <c r="B953" i="1"/>
  <c r="A953" i="1"/>
  <c r="J952" i="1"/>
  <c r="I952" i="1"/>
  <c r="H952" i="1"/>
  <c r="G952" i="1"/>
  <c r="F952" i="1"/>
  <c r="D952" i="1"/>
  <c r="B952" i="1"/>
  <c r="A952" i="1"/>
  <c r="J951" i="1"/>
  <c r="I951" i="1"/>
  <c r="H951" i="1"/>
  <c r="G951" i="1"/>
  <c r="F951" i="1"/>
  <c r="D951" i="1"/>
  <c r="B951" i="1"/>
  <c r="A951" i="1"/>
  <c r="J950" i="1"/>
  <c r="I950" i="1"/>
  <c r="H950" i="1"/>
  <c r="G950" i="1"/>
  <c r="F950" i="1"/>
  <c r="D950" i="1"/>
  <c r="B950" i="1"/>
  <c r="A950" i="1"/>
  <c r="J949" i="1"/>
  <c r="I949" i="1"/>
  <c r="H949" i="1"/>
  <c r="G949" i="1"/>
  <c r="F949" i="1"/>
  <c r="D949" i="1"/>
  <c r="B949" i="1"/>
  <c r="A949" i="1"/>
  <c r="J948" i="1"/>
  <c r="I948" i="1"/>
  <c r="H948" i="1"/>
  <c r="G948" i="1"/>
  <c r="F948" i="1"/>
  <c r="D948" i="1"/>
  <c r="B948" i="1"/>
  <c r="A948" i="1"/>
  <c r="J947" i="1"/>
  <c r="I947" i="1"/>
  <c r="H947" i="1"/>
  <c r="G947" i="1"/>
  <c r="F947" i="1"/>
  <c r="D947" i="1"/>
  <c r="B947" i="1"/>
  <c r="A947" i="1"/>
  <c r="J946" i="1"/>
  <c r="I946" i="1"/>
  <c r="H946" i="1"/>
  <c r="G946" i="1"/>
  <c r="F946" i="1"/>
  <c r="D946" i="1"/>
  <c r="B946" i="1"/>
  <c r="A946" i="1"/>
  <c r="J945" i="1"/>
  <c r="I945" i="1"/>
  <c r="G945" i="1"/>
  <c r="F945" i="1"/>
  <c r="A945" i="1"/>
  <c r="J944" i="1"/>
  <c r="I944" i="1"/>
  <c r="G944" i="1"/>
  <c r="F944" i="1"/>
  <c r="A944" i="1"/>
  <c r="J943" i="1"/>
  <c r="I943" i="1"/>
  <c r="H943" i="1"/>
  <c r="G943" i="1"/>
  <c r="F943" i="1"/>
  <c r="D943" i="1"/>
  <c r="B943" i="1"/>
  <c r="A943" i="1"/>
  <c r="J942" i="1"/>
  <c r="I942" i="1"/>
  <c r="H942" i="1"/>
  <c r="G942" i="1"/>
  <c r="F942" i="1"/>
  <c r="D942" i="1"/>
  <c r="B942" i="1"/>
  <c r="A942" i="1"/>
  <c r="J941" i="1"/>
  <c r="I941" i="1"/>
  <c r="H941" i="1"/>
  <c r="G941" i="1"/>
  <c r="F941" i="1"/>
  <c r="D941" i="1"/>
  <c r="B941" i="1"/>
  <c r="A941" i="1"/>
  <c r="J940" i="1"/>
  <c r="I940" i="1"/>
  <c r="H940" i="1"/>
  <c r="G940" i="1"/>
  <c r="F940" i="1"/>
  <c r="D940" i="1"/>
  <c r="B940" i="1"/>
  <c r="A940" i="1"/>
  <c r="J939" i="1"/>
  <c r="I939" i="1"/>
  <c r="H939" i="1"/>
  <c r="G939" i="1"/>
  <c r="F939" i="1"/>
  <c r="D939" i="1"/>
  <c r="B939" i="1"/>
  <c r="A939" i="1"/>
  <c r="J938" i="1"/>
  <c r="I938" i="1"/>
  <c r="H938" i="1"/>
  <c r="G938" i="1"/>
  <c r="F938" i="1"/>
  <c r="D938" i="1"/>
  <c r="B938" i="1"/>
  <c r="A938" i="1"/>
  <c r="J937" i="1"/>
  <c r="I937" i="1"/>
  <c r="H937" i="1"/>
  <c r="G937" i="1"/>
  <c r="F937" i="1"/>
  <c r="D937" i="1"/>
  <c r="B937" i="1"/>
  <c r="A937" i="1"/>
  <c r="J936" i="1"/>
  <c r="I936" i="1"/>
  <c r="H936" i="1"/>
  <c r="G936" i="1"/>
  <c r="F936" i="1"/>
  <c r="D936" i="1"/>
  <c r="B936" i="1"/>
  <c r="A936" i="1"/>
  <c r="J935" i="1"/>
  <c r="I935" i="1"/>
  <c r="H935" i="1"/>
  <c r="G935" i="1"/>
  <c r="F935" i="1"/>
  <c r="D935" i="1"/>
  <c r="B935" i="1"/>
  <c r="A935" i="1"/>
  <c r="J934" i="1"/>
  <c r="I934" i="1"/>
  <c r="H934" i="1"/>
  <c r="G934" i="1"/>
  <c r="F934" i="1"/>
  <c r="D934" i="1"/>
  <c r="B934" i="1"/>
  <c r="A934" i="1"/>
  <c r="J933" i="1"/>
  <c r="I933" i="1"/>
  <c r="H933" i="1"/>
  <c r="G933" i="1"/>
  <c r="F933" i="1"/>
  <c r="D933" i="1"/>
  <c r="B933" i="1"/>
  <c r="A933" i="1"/>
  <c r="J932" i="1"/>
  <c r="I932" i="1"/>
  <c r="H932" i="1"/>
  <c r="G932" i="1"/>
  <c r="F932" i="1"/>
  <c r="D932" i="1"/>
  <c r="B932" i="1"/>
  <c r="A932" i="1"/>
  <c r="J931" i="1"/>
  <c r="I931" i="1"/>
  <c r="H931" i="1"/>
  <c r="G931" i="1"/>
  <c r="F931" i="1"/>
  <c r="D931" i="1"/>
  <c r="B931" i="1"/>
  <c r="A931" i="1"/>
  <c r="J930" i="1"/>
  <c r="I930" i="1"/>
  <c r="G930" i="1"/>
  <c r="F930" i="1"/>
  <c r="A930" i="1"/>
  <c r="J929" i="1"/>
  <c r="I929" i="1"/>
  <c r="H929" i="1"/>
  <c r="G929" i="1"/>
  <c r="F929" i="1"/>
  <c r="D929" i="1"/>
  <c r="B929" i="1"/>
  <c r="A929" i="1"/>
  <c r="J928" i="1"/>
  <c r="I928" i="1"/>
  <c r="H928" i="1"/>
  <c r="G928" i="1"/>
  <c r="F928" i="1"/>
  <c r="D928" i="1"/>
  <c r="B928" i="1"/>
  <c r="A928" i="1"/>
  <c r="J927" i="1"/>
  <c r="I927" i="1"/>
  <c r="H927" i="1"/>
  <c r="G927" i="1"/>
  <c r="F927" i="1"/>
  <c r="D927" i="1"/>
  <c r="B927" i="1"/>
  <c r="A927" i="1"/>
  <c r="J926" i="1"/>
  <c r="I926" i="1"/>
  <c r="H926" i="1"/>
  <c r="G926" i="1"/>
  <c r="F926" i="1"/>
  <c r="D926" i="1"/>
  <c r="B926" i="1"/>
  <c r="A926" i="1"/>
  <c r="J925" i="1"/>
  <c r="I925" i="1"/>
  <c r="H925" i="1"/>
  <c r="G925" i="1"/>
  <c r="F925" i="1"/>
  <c r="D925" i="1"/>
  <c r="B925" i="1"/>
  <c r="A925" i="1"/>
  <c r="J924" i="1"/>
  <c r="I924" i="1"/>
  <c r="H924" i="1"/>
  <c r="G924" i="1"/>
  <c r="F924" i="1"/>
  <c r="D924" i="1"/>
  <c r="B924" i="1"/>
  <c r="A924" i="1"/>
  <c r="J923" i="1"/>
  <c r="I923" i="1"/>
  <c r="H923" i="1"/>
  <c r="G923" i="1"/>
  <c r="F923" i="1"/>
  <c r="D923" i="1"/>
  <c r="B923" i="1"/>
  <c r="A923" i="1"/>
  <c r="J922" i="1"/>
  <c r="I922" i="1"/>
  <c r="H922" i="1"/>
  <c r="G922" i="1"/>
  <c r="F922" i="1"/>
  <c r="D922" i="1"/>
  <c r="B922" i="1"/>
  <c r="A922" i="1"/>
  <c r="J921" i="1"/>
  <c r="I921" i="1"/>
  <c r="H921" i="1"/>
  <c r="G921" i="1"/>
  <c r="F921" i="1"/>
  <c r="D921" i="1"/>
  <c r="B921" i="1"/>
  <c r="A921" i="1"/>
  <c r="J920" i="1"/>
  <c r="I920" i="1"/>
  <c r="H920" i="1"/>
  <c r="G920" i="1"/>
  <c r="F920" i="1"/>
  <c r="D920" i="1"/>
  <c r="B920" i="1"/>
  <c r="A920" i="1"/>
  <c r="J919" i="1"/>
  <c r="I919" i="1"/>
  <c r="H919" i="1"/>
  <c r="G919" i="1"/>
  <c r="F919" i="1"/>
  <c r="D919" i="1"/>
  <c r="B919" i="1"/>
  <c r="A919" i="1"/>
  <c r="J918" i="1"/>
  <c r="I918" i="1"/>
  <c r="H918" i="1"/>
  <c r="G918" i="1"/>
  <c r="F918" i="1"/>
  <c r="D918" i="1"/>
  <c r="B918" i="1"/>
  <c r="A918" i="1"/>
  <c r="J917" i="1"/>
  <c r="I917" i="1"/>
  <c r="H917" i="1"/>
  <c r="G917" i="1"/>
  <c r="F917" i="1"/>
  <c r="D917" i="1"/>
  <c r="B917" i="1"/>
  <c r="A917" i="1"/>
  <c r="J916" i="1"/>
  <c r="I916" i="1"/>
  <c r="H916" i="1"/>
  <c r="G916" i="1"/>
  <c r="F916" i="1"/>
  <c r="D916" i="1"/>
  <c r="B916" i="1"/>
  <c r="A916" i="1"/>
  <c r="J915" i="1"/>
  <c r="I915" i="1"/>
  <c r="G915" i="1"/>
  <c r="F915" i="1"/>
  <c r="A915" i="1"/>
  <c r="J914" i="1"/>
  <c r="I914" i="1"/>
  <c r="H914" i="1"/>
  <c r="G914" i="1"/>
  <c r="F914" i="1"/>
  <c r="D914" i="1"/>
  <c r="B914" i="1"/>
  <c r="A914" i="1"/>
  <c r="J913" i="1"/>
  <c r="I913" i="1"/>
  <c r="H913" i="1"/>
  <c r="G913" i="1"/>
  <c r="F913" i="1"/>
  <c r="D913" i="1"/>
  <c r="B913" i="1"/>
  <c r="A913" i="1"/>
  <c r="J912" i="1"/>
  <c r="I912" i="1"/>
  <c r="H912" i="1"/>
  <c r="G912" i="1"/>
  <c r="F912" i="1"/>
  <c r="D912" i="1"/>
  <c r="B912" i="1"/>
  <c r="A912" i="1"/>
  <c r="J911" i="1"/>
  <c r="I911" i="1"/>
  <c r="H911" i="1"/>
  <c r="G911" i="1"/>
  <c r="F911" i="1"/>
  <c r="D911" i="1"/>
  <c r="B911" i="1"/>
  <c r="A911" i="1"/>
  <c r="J910" i="1"/>
  <c r="I910" i="1"/>
  <c r="H910" i="1"/>
  <c r="G910" i="1"/>
  <c r="F910" i="1"/>
  <c r="D910" i="1"/>
  <c r="B910" i="1"/>
  <c r="A910" i="1"/>
  <c r="J909" i="1"/>
  <c r="I909" i="1"/>
  <c r="H909" i="1"/>
  <c r="G909" i="1"/>
  <c r="F909" i="1"/>
  <c r="D909" i="1"/>
  <c r="B909" i="1"/>
  <c r="A909" i="1"/>
  <c r="J908" i="1"/>
  <c r="I908" i="1"/>
  <c r="H908" i="1"/>
  <c r="G908" i="1"/>
  <c r="F908" i="1"/>
  <c r="D908" i="1"/>
  <c r="B908" i="1"/>
  <c r="A908" i="1"/>
  <c r="J907" i="1"/>
  <c r="I907" i="1"/>
  <c r="H907" i="1"/>
  <c r="G907" i="1"/>
  <c r="F907" i="1"/>
  <c r="D907" i="1"/>
  <c r="B907" i="1"/>
  <c r="A907" i="1"/>
  <c r="J906" i="1"/>
  <c r="I906" i="1"/>
  <c r="H906" i="1"/>
  <c r="G906" i="1"/>
  <c r="F906" i="1"/>
  <c r="D906" i="1"/>
  <c r="B906" i="1"/>
  <c r="A906" i="1"/>
  <c r="J905" i="1"/>
  <c r="I905" i="1"/>
  <c r="H905" i="1"/>
  <c r="G905" i="1"/>
  <c r="F905" i="1"/>
  <c r="D905" i="1"/>
  <c r="B905" i="1"/>
  <c r="A905" i="1"/>
  <c r="J904" i="1"/>
  <c r="I904" i="1"/>
  <c r="H904" i="1"/>
  <c r="G904" i="1"/>
  <c r="F904" i="1"/>
  <c r="D904" i="1"/>
  <c r="B904" i="1"/>
  <c r="A904" i="1"/>
  <c r="J903" i="1"/>
  <c r="I903" i="1"/>
  <c r="H903" i="1"/>
  <c r="G903" i="1"/>
  <c r="F903" i="1"/>
  <c r="D903" i="1"/>
  <c r="B903" i="1"/>
  <c r="A903" i="1"/>
  <c r="J902" i="1"/>
  <c r="I902" i="1"/>
  <c r="H902" i="1"/>
  <c r="G902" i="1"/>
  <c r="F902" i="1"/>
  <c r="D902" i="1"/>
  <c r="B902" i="1"/>
  <c r="A902" i="1"/>
  <c r="J901" i="1"/>
  <c r="I901" i="1"/>
  <c r="H901" i="1"/>
  <c r="G901" i="1"/>
  <c r="F901" i="1"/>
  <c r="D901" i="1"/>
  <c r="B901" i="1"/>
  <c r="A901" i="1"/>
  <c r="J900" i="1"/>
  <c r="I900" i="1"/>
  <c r="H900" i="1"/>
  <c r="G900" i="1"/>
  <c r="F900" i="1"/>
  <c r="D900" i="1"/>
  <c r="B900" i="1"/>
  <c r="A900" i="1"/>
  <c r="J899" i="1"/>
  <c r="I899" i="1"/>
  <c r="H899" i="1"/>
  <c r="G899" i="1"/>
  <c r="F899" i="1"/>
  <c r="D899" i="1"/>
  <c r="B899" i="1"/>
  <c r="A899" i="1"/>
  <c r="J898" i="1"/>
  <c r="I898" i="1"/>
  <c r="H898" i="1"/>
  <c r="G898" i="1"/>
  <c r="F898" i="1"/>
  <c r="D898" i="1"/>
  <c r="B898" i="1"/>
  <c r="A898" i="1"/>
  <c r="J897" i="1"/>
  <c r="I897" i="1"/>
  <c r="H897" i="1"/>
  <c r="G897" i="1"/>
  <c r="F897" i="1"/>
  <c r="D897" i="1"/>
  <c r="B897" i="1"/>
  <c r="A897" i="1"/>
  <c r="J896" i="1"/>
  <c r="I896" i="1"/>
  <c r="H896" i="1"/>
  <c r="G896" i="1"/>
  <c r="F896" i="1"/>
  <c r="D896" i="1"/>
  <c r="B896" i="1"/>
  <c r="A896" i="1"/>
  <c r="J895" i="1"/>
  <c r="I895" i="1"/>
  <c r="H895" i="1"/>
  <c r="G895" i="1"/>
  <c r="F895" i="1"/>
  <c r="D895" i="1"/>
  <c r="B895" i="1"/>
  <c r="A895" i="1"/>
  <c r="J894" i="1"/>
  <c r="I894" i="1"/>
  <c r="H894" i="1"/>
  <c r="G894" i="1"/>
  <c r="F894" i="1"/>
  <c r="D894" i="1"/>
  <c r="B894" i="1"/>
  <c r="A894" i="1"/>
  <c r="J893" i="1"/>
  <c r="I893" i="1"/>
  <c r="H893" i="1"/>
  <c r="G893" i="1"/>
  <c r="F893" i="1"/>
  <c r="D893" i="1"/>
  <c r="B893" i="1"/>
  <c r="A893" i="1"/>
  <c r="J892" i="1"/>
  <c r="I892" i="1"/>
  <c r="H892" i="1"/>
  <c r="G892" i="1"/>
  <c r="F892" i="1"/>
  <c r="D892" i="1"/>
  <c r="B892" i="1"/>
  <c r="A892" i="1"/>
  <c r="J891" i="1"/>
  <c r="I891" i="1"/>
  <c r="H891" i="1"/>
  <c r="G891" i="1"/>
  <c r="F891" i="1"/>
  <c r="D891" i="1"/>
  <c r="B891" i="1"/>
  <c r="A891" i="1"/>
  <c r="J890" i="1"/>
  <c r="I890" i="1"/>
  <c r="H890" i="1"/>
  <c r="G890" i="1"/>
  <c r="F890" i="1"/>
  <c r="D890" i="1"/>
  <c r="B890" i="1"/>
  <c r="A890" i="1"/>
  <c r="J889" i="1"/>
  <c r="I889" i="1"/>
  <c r="H889" i="1"/>
  <c r="G889" i="1"/>
  <c r="F889" i="1"/>
  <c r="D889" i="1"/>
  <c r="B889" i="1"/>
  <c r="A889" i="1"/>
  <c r="J888" i="1"/>
  <c r="I888" i="1"/>
  <c r="H888" i="1"/>
  <c r="G888" i="1"/>
  <c r="F888" i="1"/>
  <c r="D888" i="1"/>
  <c r="B888" i="1"/>
  <c r="A888" i="1"/>
  <c r="J887" i="1"/>
  <c r="I887" i="1"/>
  <c r="H887" i="1"/>
  <c r="G887" i="1"/>
  <c r="F887" i="1"/>
  <c r="D887" i="1"/>
  <c r="B887" i="1"/>
  <c r="A887" i="1"/>
  <c r="J886" i="1"/>
  <c r="I886" i="1"/>
  <c r="H886" i="1"/>
  <c r="G886" i="1"/>
  <c r="F886" i="1"/>
  <c r="D886" i="1"/>
  <c r="B886" i="1"/>
  <c r="A886" i="1"/>
  <c r="J885" i="1"/>
  <c r="I885" i="1"/>
  <c r="H885" i="1"/>
  <c r="G885" i="1"/>
  <c r="F885" i="1"/>
  <c r="D885" i="1"/>
  <c r="B885" i="1"/>
  <c r="A885" i="1"/>
  <c r="J884" i="1"/>
  <c r="I884" i="1"/>
  <c r="H884" i="1"/>
  <c r="G884" i="1"/>
  <c r="F884" i="1"/>
  <c r="D884" i="1"/>
  <c r="B884" i="1"/>
  <c r="A884" i="1"/>
  <c r="J883" i="1"/>
  <c r="I883" i="1"/>
  <c r="H883" i="1"/>
  <c r="G883" i="1"/>
  <c r="F883" i="1"/>
  <c r="D883" i="1"/>
  <c r="B883" i="1"/>
  <c r="A883" i="1"/>
  <c r="J882" i="1"/>
  <c r="I882" i="1"/>
  <c r="H882" i="1"/>
  <c r="G882" i="1"/>
  <c r="F882" i="1"/>
  <c r="D882" i="1"/>
  <c r="B882" i="1"/>
  <c r="A882" i="1"/>
  <c r="J881" i="1"/>
  <c r="I881" i="1"/>
  <c r="H881" i="1"/>
  <c r="G881" i="1"/>
  <c r="F881" i="1"/>
  <c r="D881" i="1"/>
  <c r="B881" i="1"/>
  <c r="A881" i="1"/>
  <c r="J880" i="1"/>
  <c r="I880" i="1"/>
  <c r="H880" i="1"/>
  <c r="G880" i="1"/>
  <c r="F880" i="1"/>
  <c r="D880" i="1"/>
  <c r="B880" i="1"/>
  <c r="A880" i="1"/>
  <c r="J879" i="1"/>
  <c r="I879" i="1"/>
  <c r="H879" i="1"/>
  <c r="G879" i="1"/>
  <c r="F879" i="1"/>
  <c r="D879" i="1"/>
  <c r="B879" i="1"/>
  <c r="A879" i="1"/>
  <c r="J878" i="1"/>
  <c r="I878" i="1"/>
  <c r="H878" i="1"/>
  <c r="G878" i="1"/>
  <c r="F878" i="1"/>
  <c r="D878" i="1"/>
  <c r="B878" i="1"/>
  <c r="A878" i="1"/>
  <c r="J877" i="1"/>
  <c r="I877" i="1"/>
  <c r="H877" i="1"/>
  <c r="G877" i="1"/>
  <c r="F877" i="1"/>
  <c r="D877" i="1"/>
  <c r="B877" i="1"/>
  <c r="A877" i="1"/>
  <c r="J876" i="1"/>
  <c r="I876" i="1"/>
  <c r="H876" i="1"/>
  <c r="G876" i="1"/>
  <c r="F876" i="1"/>
  <c r="D876" i="1"/>
  <c r="B876" i="1"/>
  <c r="A876" i="1"/>
  <c r="J875" i="1"/>
  <c r="I875" i="1"/>
  <c r="G875" i="1"/>
  <c r="F875" i="1"/>
  <c r="A875" i="1"/>
  <c r="J874" i="1"/>
  <c r="I874" i="1"/>
  <c r="H874" i="1"/>
  <c r="G874" i="1"/>
  <c r="F874" i="1"/>
  <c r="D874" i="1"/>
  <c r="B874" i="1"/>
  <c r="A874" i="1"/>
  <c r="J873" i="1"/>
  <c r="I873" i="1"/>
  <c r="H873" i="1"/>
  <c r="G873" i="1"/>
  <c r="F873" i="1"/>
  <c r="D873" i="1"/>
  <c r="B873" i="1"/>
  <c r="A873" i="1"/>
  <c r="J872" i="1"/>
  <c r="I872" i="1"/>
  <c r="H872" i="1"/>
  <c r="G872" i="1"/>
  <c r="F872" i="1"/>
  <c r="D872" i="1"/>
  <c r="B872" i="1"/>
  <c r="A872" i="1"/>
  <c r="J871" i="1"/>
  <c r="I871" i="1"/>
  <c r="H871" i="1"/>
  <c r="G871" i="1"/>
  <c r="F871" i="1"/>
  <c r="D871" i="1"/>
  <c r="B871" i="1"/>
  <c r="A871" i="1"/>
  <c r="J870" i="1"/>
  <c r="I870" i="1"/>
  <c r="H870" i="1"/>
  <c r="G870" i="1"/>
  <c r="F870" i="1"/>
  <c r="D870" i="1"/>
  <c r="B870" i="1"/>
  <c r="A870" i="1"/>
  <c r="J869" i="1"/>
  <c r="I869" i="1"/>
  <c r="H869" i="1"/>
  <c r="G869" i="1"/>
  <c r="F869" i="1"/>
  <c r="D869" i="1"/>
  <c r="B869" i="1"/>
  <c r="A869" i="1"/>
  <c r="J868" i="1"/>
  <c r="I868" i="1"/>
  <c r="G868" i="1"/>
  <c r="F868" i="1"/>
  <c r="A868" i="1"/>
  <c r="J867" i="1"/>
  <c r="I867" i="1"/>
  <c r="H867" i="1"/>
  <c r="G867" i="1"/>
  <c r="F867" i="1"/>
  <c r="D867" i="1"/>
  <c r="B867" i="1"/>
  <c r="A867" i="1"/>
  <c r="J866" i="1"/>
  <c r="I866" i="1"/>
  <c r="H866" i="1"/>
  <c r="G866" i="1"/>
  <c r="F866" i="1"/>
  <c r="D866" i="1"/>
  <c r="B866" i="1"/>
  <c r="A866" i="1"/>
  <c r="J865" i="1"/>
  <c r="I865" i="1"/>
  <c r="H865" i="1"/>
  <c r="G865" i="1"/>
  <c r="F865" i="1"/>
  <c r="D865" i="1"/>
  <c r="B865" i="1"/>
  <c r="A865" i="1"/>
  <c r="J864" i="1"/>
  <c r="I864" i="1"/>
  <c r="H864" i="1"/>
  <c r="G864" i="1"/>
  <c r="F864" i="1"/>
  <c r="D864" i="1"/>
  <c r="B864" i="1"/>
  <c r="A864" i="1"/>
  <c r="J863" i="1"/>
  <c r="I863" i="1"/>
  <c r="H863" i="1"/>
  <c r="G863" i="1"/>
  <c r="F863" i="1"/>
  <c r="D863" i="1"/>
  <c r="B863" i="1"/>
  <c r="A863" i="1"/>
  <c r="J862" i="1"/>
  <c r="I862" i="1"/>
  <c r="H862" i="1"/>
  <c r="G862" i="1"/>
  <c r="F862" i="1"/>
  <c r="D862" i="1"/>
  <c r="B862" i="1"/>
  <c r="A862" i="1"/>
  <c r="J861" i="1"/>
  <c r="I861" i="1"/>
  <c r="H861" i="1"/>
  <c r="G861" i="1"/>
  <c r="F861" i="1"/>
  <c r="D861" i="1"/>
  <c r="B861" i="1"/>
  <c r="A861" i="1"/>
  <c r="J860" i="1"/>
  <c r="I860" i="1"/>
  <c r="H860" i="1"/>
  <c r="G860" i="1"/>
  <c r="F860" i="1"/>
  <c r="D860" i="1"/>
  <c r="B860" i="1"/>
  <c r="A860" i="1"/>
  <c r="J859" i="1"/>
  <c r="I859" i="1"/>
  <c r="H859" i="1"/>
  <c r="G859" i="1"/>
  <c r="F859" i="1"/>
  <c r="D859" i="1"/>
  <c r="B859" i="1"/>
  <c r="A859" i="1"/>
  <c r="J858" i="1"/>
  <c r="I858" i="1"/>
  <c r="H858" i="1"/>
  <c r="G858" i="1"/>
  <c r="F858" i="1"/>
  <c r="D858" i="1"/>
  <c r="B858" i="1"/>
  <c r="A858" i="1"/>
  <c r="J857" i="1"/>
  <c r="I857" i="1"/>
  <c r="H857" i="1"/>
  <c r="G857" i="1"/>
  <c r="F857" i="1"/>
  <c r="D857" i="1"/>
  <c r="B857" i="1"/>
  <c r="A857" i="1"/>
  <c r="J856" i="1"/>
  <c r="I856" i="1"/>
  <c r="H856" i="1"/>
  <c r="G856" i="1"/>
  <c r="F856" i="1"/>
  <c r="D856" i="1"/>
  <c r="B856" i="1"/>
  <c r="A856" i="1"/>
  <c r="J855" i="1"/>
  <c r="I855" i="1"/>
  <c r="H855" i="1"/>
  <c r="G855" i="1"/>
  <c r="F855" i="1"/>
  <c r="D855" i="1"/>
  <c r="B855" i="1"/>
  <c r="A855" i="1"/>
  <c r="J854" i="1"/>
  <c r="I854" i="1"/>
  <c r="H854" i="1"/>
  <c r="G854" i="1"/>
  <c r="F854" i="1"/>
  <c r="D854" i="1"/>
  <c r="B854" i="1"/>
  <c r="A854" i="1"/>
  <c r="J853" i="1"/>
  <c r="I853" i="1"/>
  <c r="H853" i="1"/>
  <c r="G853" i="1"/>
  <c r="F853" i="1"/>
  <c r="D853" i="1"/>
  <c r="B853" i="1"/>
  <c r="A853" i="1"/>
  <c r="J852" i="1"/>
  <c r="I852" i="1"/>
  <c r="H852" i="1"/>
  <c r="G852" i="1"/>
  <c r="F852" i="1"/>
  <c r="D852" i="1"/>
  <c r="B852" i="1"/>
  <c r="A852" i="1"/>
  <c r="J851" i="1"/>
  <c r="I851" i="1"/>
  <c r="G851" i="1"/>
  <c r="F851" i="1"/>
  <c r="A851" i="1"/>
  <c r="J850" i="1"/>
  <c r="I850" i="1"/>
  <c r="H850" i="1"/>
  <c r="G850" i="1"/>
  <c r="F850" i="1"/>
  <c r="D850" i="1"/>
  <c r="B850" i="1"/>
  <c r="A850" i="1"/>
  <c r="J849" i="1"/>
  <c r="I849" i="1"/>
  <c r="H849" i="1"/>
  <c r="G849" i="1"/>
  <c r="F849" i="1"/>
  <c r="D849" i="1"/>
  <c r="B849" i="1"/>
  <c r="A849" i="1"/>
  <c r="J848" i="1"/>
  <c r="I848" i="1"/>
  <c r="H848" i="1"/>
  <c r="G848" i="1"/>
  <c r="F848" i="1"/>
  <c r="D848" i="1"/>
  <c r="B848" i="1"/>
  <c r="A848" i="1"/>
  <c r="J847" i="1"/>
  <c r="I847" i="1"/>
  <c r="H847" i="1"/>
  <c r="G847" i="1"/>
  <c r="F847" i="1"/>
  <c r="D847" i="1"/>
  <c r="B847" i="1"/>
  <c r="A847" i="1"/>
  <c r="J846" i="1"/>
  <c r="I846" i="1"/>
  <c r="H846" i="1"/>
  <c r="G846" i="1"/>
  <c r="F846" i="1"/>
  <c r="D846" i="1"/>
  <c r="B846" i="1"/>
  <c r="A846" i="1"/>
  <c r="J845" i="1"/>
  <c r="I845" i="1"/>
  <c r="H845" i="1"/>
  <c r="G845" i="1"/>
  <c r="F845" i="1"/>
  <c r="D845" i="1"/>
  <c r="B845" i="1"/>
  <c r="A845" i="1"/>
  <c r="J844" i="1"/>
  <c r="I844" i="1"/>
  <c r="H844" i="1"/>
  <c r="G844" i="1"/>
  <c r="F844" i="1"/>
  <c r="D844" i="1"/>
  <c r="B844" i="1"/>
  <c r="A844" i="1"/>
  <c r="J843" i="1"/>
  <c r="I843" i="1"/>
  <c r="H843" i="1"/>
  <c r="G843" i="1"/>
  <c r="F843" i="1"/>
  <c r="D843" i="1"/>
  <c r="B843" i="1"/>
  <c r="A843" i="1"/>
  <c r="J842" i="1"/>
  <c r="I842" i="1"/>
  <c r="H842" i="1"/>
  <c r="G842" i="1"/>
  <c r="F842" i="1"/>
  <c r="D842" i="1"/>
  <c r="B842" i="1"/>
  <c r="A842" i="1"/>
  <c r="J841" i="1"/>
  <c r="I841" i="1"/>
  <c r="H841" i="1"/>
  <c r="G841" i="1"/>
  <c r="F841" i="1"/>
  <c r="D841" i="1"/>
  <c r="B841" i="1"/>
  <c r="A841" i="1"/>
  <c r="J840" i="1"/>
  <c r="I840" i="1"/>
  <c r="H840" i="1"/>
  <c r="G840" i="1"/>
  <c r="F840" i="1"/>
  <c r="D840" i="1"/>
  <c r="B840" i="1"/>
  <c r="A840" i="1"/>
  <c r="J839" i="1"/>
  <c r="I839" i="1"/>
  <c r="H839" i="1"/>
  <c r="G839" i="1"/>
  <c r="F839" i="1"/>
  <c r="D839" i="1"/>
  <c r="B839" i="1"/>
  <c r="A839" i="1"/>
  <c r="J838" i="1"/>
  <c r="I838" i="1"/>
  <c r="H838" i="1"/>
  <c r="G838" i="1"/>
  <c r="F838" i="1"/>
  <c r="D838" i="1"/>
  <c r="B838" i="1"/>
  <c r="A838" i="1"/>
  <c r="J837" i="1"/>
  <c r="I837" i="1"/>
  <c r="H837" i="1"/>
  <c r="G837" i="1"/>
  <c r="F837" i="1"/>
  <c r="D837" i="1"/>
  <c r="B837" i="1"/>
  <c r="A837" i="1"/>
  <c r="J836" i="1"/>
  <c r="I836" i="1"/>
  <c r="H836" i="1"/>
  <c r="G836" i="1"/>
  <c r="F836" i="1"/>
  <c r="D836" i="1"/>
  <c r="B836" i="1"/>
  <c r="A836" i="1"/>
  <c r="J835" i="1"/>
  <c r="I835" i="1"/>
  <c r="H835" i="1"/>
  <c r="G835" i="1"/>
  <c r="F835" i="1"/>
  <c r="D835" i="1"/>
  <c r="B835" i="1"/>
  <c r="A835" i="1"/>
  <c r="J834" i="1"/>
  <c r="I834" i="1"/>
  <c r="H834" i="1"/>
  <c r="G834" i="1"/>
  <c r="F834" i="1"/>
  <c r="D834" i="1"/>
  <c r="B834" i="1"/>
  <c r="A834" i="1"/>
  <c r="J833" i="1"/>
  <c r="I833" i="1"/>
  <c r="G833" i="1"/>
  <c r="F833" i="1"/>
  <c r="A833" i="1"/>
  <c r="J832" i="1"/>
  <c r="I832" i="1"/>
  <c r="H832" i="1"/>
  <c r="G832" i="1"/>
  <c r="F832" i="1"/>
  <c r="D832" i="1"/>
  <c r="B832" i="1"/>
  <c r="A832" i="1"/>
  <c r="J831" i="1"/>
  <c r="I831" i="1"/>
  <c r="H831" i="1"/>
  <c r="G831" i="1"/>
  <c r="F831" i="1"/>
  <c r="D831" i="1"/>
  <c r="B831" i="1"/>
  <c r="A831" i="1"/>
  <c r="J830" i="1"/>
  <c r="I830" i="1"/>
  <c r="H830" i="1"/>
  <c r="G830" i="1"/>
  <c r="F830" i="1"/>
  <c r="D830" i="1"/>
  <c r="B830" i="1"/>
  <c r="A830" i="1"/>
  <c r="J829" i="1"/>
  <c r="I829" i="1"/>
  <c r="H829" i="1"/>
  <c r="G829" i="1"/>
  <c r="F829" i="1"/>
  <c r="D829" i="1"/>
  <c r="B829" i="1"/>
  <c r="A829" i="1"/>
  <c r="J828" i="1"/>
  <c r="I828" i="1"/>
  <c r="H828" i="1"/>
  <c r="G828" i="1"/>
  <c r="F828" i="1"/>
  <c r="D828" i="1"/>
  <c r="B828" i="1"/>
  <c r="A828" i="1"/>
  <c r="J827" i="1"/>
  <c r="I827" i="1"/>
  <c r="H827" i="1"/>
  <c r="G827" i="1"/>
  <c r="F827" i="1"/>
  <c r="D827" i="1"/>
  <c r="B827" i="1"/>
  <c r="A827" i="1"/>
  <c r="J826" i="1"/>
  <c r="I826" i="1"/>
  <c r="H826" i="1"/>
  <c r="G826" i="1"/>
  <c r="F826" i="1"/>
  <c r="D826" i="1"/>
  <c r="B826" i="1"/>
  <c r="A826" i="1"/>
  <c r="J825" i="1"/>
  <c r="I825" i="1"/>
  <c r="H825" i="1"/>
  <c r="G825" i="1"/>
  <c r="F825" i="1"/>
  <c r="D825" i="1"/>
  <c r="B825" i="1"/>
  <c r="A825" i="1"/>
  <c r="J824" i="1"/>
  <c r="I824" i="1"/>
  <c r="H824" i="1"/>
  <c r="G824" i="1"/>
  <c r="F824" i="1"/>
  <c r="D824" i="1"/>
  <c r="B824" i="1"/>
  <c r="A824" i="1"/>
  <c r="J823" i="1"/>
  <c r="I823" i="1"/>
  <c r="H823" i="1"/>
  <c r="G823" i="1"/>
  <c r="F823" i="1"/>
  <c r="D823" i="1"/>
  <c r="B823" i="1"/>
  <c r="A823" i="1"/>
  <c r="J822" i="1"/>
  <c r="I822" i="1"/>
  <c r="H822" i="1"/>
  <c r="G822" i="1"/>
  <c r="F822" i="1"/>
  <c r="D822" i="1"/>
  <c r="B822" i="1"/>
  <c r="A822" i="1"/>
  <c r="J821" i="1"/>
  <c r="I821" i="1"/>
  <c r="H821" i="1"/>
  <c r="G821" i="1"/>
  <c r="F821" i="1"/>
  <c r="D821" i="1"/>
  <c r="B821" i="1"/>
  <c r="A821" i="1"/>
  <c r="J820" i="1"/>
  <c r="I820" i="1"/>
  <c r="H820" i="1"/>
  <c r="G820" i="1"/>
  <c r="F820" i="1"/>
  <c r="D820" i="1"/>
  <c r="B820" i="1"/>
  <c r="A820" i="1"/>
  <c r="J819" i="1"/>
  <c r="I819" i="1"/>
  <c r="H819" i="1"/>
  <c r="G819" i="1"/>
  <c r="F819" i="1"/>
  <c r="D819" i="1"/>
  <c r="B819" i="1"/>
  <c r="A819" i="1"/>
  <c r="J818" i="1"/>
  <c r="I818" i="1"/>
  <c r="H818" i="1"/>
  <c r="G818" i="1"/>
  <c r="F818" i="1"/>
  <c r="D818" i="1"/>
  <c r="B818" i="1"/>
  <c r="A818" i="1"/>
  <c r="J817" i="1"/>
  <c r="I817" i="1"/>
  <c r="H817" i="1"/>
  <c r="G817" i="1"/>
  <c r="F817" i="1"/>
  <c r="D817" i="1"/>
  <c r="B817" i="1"/>
  <c r="A817" i="1"/>
  <c r="J816" i="1"/>
  <c r="I816" i="1"/>
  <c r="H816" i="1"/>
  <c r="G816" i="1"/>
  <c r="F816" i="1"/>
  <c r="D816" i="1"/>
  <c r="B816" i="1"/>
  <c r="A816" i="1"/>
  <c r="J815" i="1"/>
  <c r="I815" i="1"/>
  <c r="H815" i="1"/>
  <c r="G815" i="1"/>
  <c r="F815" i="1"/>
  <c r="D815" i="1"/>
  <c r="B815" i="1"/>
  <c r="A815" i="1"/>
  <c r="J814" i="1"/>
  <c r="I814" i="1"/>
  <c r="H814" i="1"/>
  <c r="G814" i="1"/>
  <c r="F814" i="1"/>
  <c r="D814" i="1"/>
  <c r="B814" i="1"/>
  <c r="A814" i="1"/>
  <c r="J813" i="1"/>
  <c r="I813" i="1"/>
  <c r="H813" i="1"/>
  <c r="G813" i="1"/>
  <c r="F813" i="1"/>
  <c r="D813" i="1"/>
  <c r="B813" i="1"/>
  <c r="A813" i="1"/>
  <c r="J812" i="1"/>
  <c r="I812" i="1"/>
  <c r="H812" i="1"/>
  <c r="G812" i="1"/>
  <c r="F812" i="1"/>
  <c r="D812" i="1"/>
  <c r="B812" i="1"/>
  <c r="A812" i="1"/>
  <c r="J811" i="1"/>
  <c r="I811" i="1"/>
  <c r="H811" i="1"/>
  <c r="G811" i="1"/>
  <c r="F811" i="1"/>
  <c r="D811" i="1"/>
  <c r="B811" i="1"/>
  <c r="A811" i="1"/>
  <c r="J810" i="1"/>
  <c r="I810" i="1"/>
  <c r="H810" i="1"/>
  <c r="G810" i="1"/>
  <c r="F810" i="1"/>
  <c r="D810" i="1"/>
  <c r="B810" i="1"/>
  <c r="A810" i="1"/>
  <c r="J809" i="1"/>
  <c r="I809" i="1"/>
  <c r="H809" i="1"/>
  <c r="G809" i="1"/>
  <c r="F809" i="1"/>
  <c r="D809" i="1"/>
  <c r="B809" i="1"/>
  <c r="A809" i="1"/>
  <c r="J808" i="1"/>
  <c r="I808" i="1"/>
  <c r="H808" i="1"/>
  <c r="G808" i="1"/>
  <c r="F808" i="1"/>
  <c r="D808" i="1"/>
  <c r="B808" i="1"/>
  <c r="A808" i="1"/>
  <c r="J807" i="1"/>
  <c r="I807" i="1"/>
  <c r="H807" i="1"/>
  <c r="G807" i="1"/>
  <c r="F807" i="1"/>
  <c r="D807" i="1"/>
  <c r="B807" i="1"/>
  <c r="A807" i="1"/>
  <c r="J806" i="1"/>
  <c r="I806" i="1"/>
  <c r="H806" i="1"/>
  <c r="G806" i="1"/>
  <c r="F806" i="1"/>
  <c r="D806" i="1"/>
  <c r="B806" i="1"/>
  <c r="A806" i="1"/>
  <c r="J805" i="1"/>
  <c r="I805" i="1"/>
  <c r="H805" i="1"/>
  <c r="G805" i="1"/>
  <c r="F805" i="1"/>
  <c r="D805" i="1"/>
  <c r="B805" i="1"/>
  <c r="A805" i="1"/>
  <c r="J804" i="1"/>
  <c r="I804" i="1"/>
  <c r="H804" i="1"/>
  <c r="G804" i="1"/>
  <c r="F804" i="1"/>
  <c r="D804" i="1"/>
  <c r="B804" i="1"/>
  <c r="A804" i="1"/>
  <c r="J803" i="1"/>
  <c r="I803" i="1"/>
  <c r="H803" i="1"/>
  <c r="G803" i="1"/>
  <c r="F803" i="1"/>
  <c r="D803" i="1"/>
  <c r="B803" i="1"/>
  <c r="A803" i="1"/>
  <c r="J802" i="1"/>
  <c r="I802" i="1"/>
  <c r="H802" i="1"/>
  <c r="G802" i="1"/>
  <c r="F802" i="1"/>
  <c r="D802" i="1"/>
  <c r="B802" i="1"/>
  <c r="A802" i="1"/>
  <c r="J801" i="1"/>
  <c r="I801" i="1"/>
  <c r="H801" i="1"/>
  <c r="G801" i="1"/>
  <c r="F801" i="1"/>
  <c r="D801" i="1"/>
  <c r="B801" i="1"/>
  <c r="A801" i="1"/>
  <c r="J800" i="1"/>
  <c r="I800" i="1"/>
  <c r="H800" i="1"/>
  <c r="G800" i="1"/>
  <c r="F800" i="1"/>
  <c r="D800" i="1"/>
  <c r="B800" i="1"/>
  <c r="A800" i="1"/>
  <c r="J799" i="1"/>
  <c r="I799" i="1"/>
  <c r="H799" i="1"/>
  <c r="G799" i="1"/>
  <c r="F799" i="1"/>
  <c r="D799" i="1"/>
  <c r="B799" i="1"/>
  <c r="A799" i="1"/>
  <c r="J798" i="1"/>
  <c r="I798" i="1"/>
  <c r="H798" i="1"/>
  <c r="G798" i="1"/>
  <c r="F798" i="1"/>
  <c r="D798" i="1"/>
  <c r="B798" i="1"/>
  <c r="A798" i="1"/>
  <c r="J797" i="1"/>
  <c r="I797" i="1"/>
  <c r="H797" i="1"/>
  <c r="G797" i="1"/>
  <c r="F797" i="1"/>
  <c r="D797" i="1"/>
  <c r="B797" i="1"/>
  <c r="A797" i="1"/>
  <c r="J796" i="1"/>
  <c r="I796" i="1"/>
  <c r="H796" i="1"/>
  <c r="G796" i="1"/>
  <c r="F796" i="1"/>
  <c r="D796" i="1"/>
  <c r="B796" i="1"/>
  <c r="A796" i="1"/>
  <c r="J795" i="1"/>
  <c r="I795" i="1"/>
  <c r="H795" i="1"/>
  <c r="G795" i="1"/>
  <c r="F795" i="1"/>
  <c r="D795" i="1"/>
  <c r="B795" i="1"/>
  <c r="A795" i="1"/>
  <c r="J794" i="1"/>
  <c r="I794" i="1"/>
  <c r="H794" i="1"/>
  <c r="G794" i="1"/>
  <c r="F794" i="1"/>
  <c r="D794" i="1"/>
  <c r="B794" i="1"/>
  <c r="A794" i="1"/>
  <c r="J793" i="1"/>
  <c r="I793" i="1"/>
  <c r="H793" i="1"/>
  <c r="G793" i="1"/>
  <c r="F793" i="1"/>
  <c r="D793" i="1"/>
  <c r="B793" i="1"/>
  <c r="A793" i="1"/>
  <c r="J792" i="1"/>
  <c r="I792" i="1"/>
  <c r="H792" i="1"/>
  <c r="G792" i="1"/>
  <c r="F792" i="1"/>
  <c r="D792" i="1"/>
  <c r="B792" i="1"/>
  <c r="A792" i="1"/>
  <c r="J791" i="1"/>
  <c r="I791" i="1"/>
  <c r="H791" i="1"/>
  <c r="G791" i="1"/>
  <c r="F791" i="1"/>
  <c r="D791" i="1"/>
  <c r="B791" i="1"/>
  <c r="A791" i="1"/>
  <c r="J790" i="1"/>
  <c r="I790" i="1"/>
  <c r="H790" i="1"/>
  <c r="G790" i="1"/>
  <c r="F790" i="1"/>
  <c r="D790" i="1"/>
  <c r="B790" i="1"/>
  <c r="A790" i="1"/>
  <c r="J789" i="1"/>
  <c r="I789" i="1"/>
  <c r="H789" i="1"/>
  <c r="G789" i="1"/>
  <c r="F789" i="1"/>
  <c r="D789" i="1"/>
  <c r="B789" i="1"/>
  <c r="A789" i="1"/>
  <c r="J788" i="1"/>
  <c r="I788" i="1"/>
  <c r="H788" i="1"/>
  <c r="G788" i="1"/>
  <c r="F788" i="1"/>
  <c r="D788" i="1"/>
  <c r="B788" i="1"/>
  <c r="A788" i="1"/>
  <c r="J787" i="1"/>
  <c r="I787" i="1"/>
  <c r="H787" i="1"/>
  <c r="G787" i="1"/>
  <c r="F787" i="1"/>
  <c r="D787" i="1"/>
  <c r="B787" i="1"/>
  <c r="A787" i="1"/>
  <c r="J786" i="1"/>
  <c r="I786" i="1"/>
  <c r="H786" i="1"/>
  <c r="G786" i="1"/>
  <c r="F786" i="1"/>
  <c r="D786" i="1"/>
  <c r="B786" i="1"/>
  <c r="A786" i="1"/>
  <c r="J785" i="1"/>
  <c r="I785" i="1"/>
  <c r="H785" i="1"/>
  <c r="G785" i="1"/>
  <c r="F785" i="1"/>
  <c r="D785" i="1"/>
  <c r="B785" i="1"/>
  <c r="A785" i="1"/>
  <c r="J784" i="1"/>
  <c r="I784" i="1"/>
  <c r="H784" i="1"/>
  <c r="G784" i="1"/>
  <c r="F784" i="1"/>
  <c r="D784" i="1"/>
  <c r="B784" i="1"/>
  <c r="A784" i="1"/>
  <c r="J783" i="1"/>
  <c r="I783" i="1"/>
  <c r="H783" i="1"/>
  <c r="G783" i="1"/>
  <c r="F783" i="1"/>
  <c r="D783" i="1"/>
  <c r="B783" i="1"/>
  <c r="A783" i="1"/>
  <c r="J782" i="1"/>
  <c r="I782" i="1"/>
  <c r="H782" i="1"/>
  <c r="G782" i="1"/>
  <c r="F782" i="1"/>
  <c r="D782" i="1"/>
  <c r="B782" i="1"/>
  <c r="A782" i="1"/>
  <c r="J781" i="1"/>
  <c r="I781" i="1"/>
  <c r="H781" i="1"/>
  <c r="G781" i="1"/>
  <c r="F781" i="1"/>
  <c r="D781" i="1"/>
  <c r="B781" i="1"/>
  <c r="A781" i="1"/>
  <c r="J780" i="1"/>
  <c r="I780" i="1"/>
  <c r="H780" i="1"/>
  <c r="G780" i="1"/>
  <c r="F780" i="1"/>
  <c r="D780" i="1"/>
  <c r="B780" i="1"/>
  <c r="A780" i="1"/>
  <c r="J779" i="1"/>
  <c r="I779" i="1"/>
  <c r="H779" i="1"/>
  <c r="G779" i="1"/>
  <c r="F779" i="1"/>
  <c r="D779" i="1"/>
  <c r="B779" i="1"/>
  <c r="A779" i="1"/>
  <c r="J778" i="1"/>
  <c r="I778" i="1"/>
  <c r="H778" i="1"/>
  <c r="G778" i="1"/>
  <c r="F778" i="1"/>
  <c r="D778" i="1"/>
  <c r="B778" i="1"/>
  <c r="A778" i="1"/>
  <c r="J777" i="1"/>
  <c r="I777" i="1"/>
  <c r="H777" i="1"/>
  <c r="G777" i="1"/>
  <c r="F777" i="1"/>
  <c r="D777" i="1"/>
  <c r="B777" i="1"/>
  <c r="A777" i="1"/>
  <c r="J776" i="1"/>
  <c r="I776" i="1"/>
  <c r="H776" i="1"/>
  <c r="G776" i="1"/>
  <c r="F776" i="1"/>
  <c r="D776" i="1"/>
  <c r="B776" i="1"/>
  <c r="A776" i="1"/>
  <c r="J775" i="1"/>
  <c r="I775" i="1"/>
  <c r="H775" i="1"/>
  <c r="G775" i="1"/>
  <c r="F775" i="1"/>
  <c r="D775" i="1"/>
  <c r="B775" i="1"/>
  <c r="A775" i="1"/>
  <c r="J774" i="1"/>
  <c r="I774" i="1"/>
  <c r="H774" i="1"/>
  <c r="G774" i="1"/>
  <c r="F774" i="1"/>
  <c r="D774" i="1"/>
  <c r="B774" i="1"/>
  <c r="A774" i="1"/>
  <c r="J773" i="1"/>
  <c r="I773" i="1"/>
  <c r="H773" i="1"/>
  <c r="G773" i="1"/>
  <c r="F773" i="1"/>
  <c r="D773" i="1"/>
  <c r="B773" i="1"/>
  <c r="A773" i="1"/>
  <c r="J772" i="1"/>
  <c r="I772" i="1"/>
  <c r="H772" i="1"/>
  <c r="G772" i="1"/>
  <c r="F772" i="1"/>
  <c r="D772" i="1"/>
  <c r="B772" i="1"/>
  <c r="A772" i="1"/>
  <c r="J771" i="1"/>
  <c r="I771" i="1"/>
  <c r="H771" i="1"/>
  <c r="G771" i="1"/>
  <c r="F771" i="1"/>
  <c r="D771" i="1"/>
  <c r="B771" i="1"/>
  <c r="A771" i="1"/>
  <c r="J770" i="1"/>
  <c r="I770" i="1"/>
  <c r="H770" i="1"/>
  <c r="G770" i="1"/>
  <c r="F770" i="1"/>
  <c r="D770" i="1"/>
  <c r="B770" i="1"/>
  <c r="A770" i="1"/>
  <c r="J769" i="1"/>
  <c r="I769" i="1"/>
  <c r="H769" i="1"/>
  <c r="G769" i="1"/>
  <c r="F769" i="1"/>
  <c r="D769" i="1"/>
  <c r="B769" i="1"/>
  <c r="A769" i="1"/>
  <c r="J768" i="1"/>
  <c r="I768" i="1"/>
  <c r="H768" i="1"/>
  <c r="G768" i="1"/>
  <c r="F768" i="1"/>
  <c r="D768" i="1"/>
  <c r="B768" i="1"/>
  <c r="A768" i="1"/>
  <c r="J767" i="1"/>
  <c r="I767" i="1"/>
  <c r="H767" i="1"/>
  <c r="G767" i="1"/>
  <c r="F767" i="1"/>
  <c r="D767" i="1"/>
  <c r="B767" i="1"/>
  <c r="A767" i="1"/>
  <c r="J766" i="1"/>
  <c r="I766" i="1"/>
  <c r="H766" i="1"/>
  <c r="G766" i="1"/>
  <c r="F766" i="1"/>
  <c r="D766" i="1"/>
  <c r="B766" i="1"/>
  <c r="A766" i="1"/>
  <c r="J765" i="1"/>
  <c r="I765" i="1"/>
  <c r="H765" i="1"/>
  <c r="G765" i="1"/>
  <c r="F765" i="1"/>
  <c r="D765" i="1"/>
  <c r="B765" i="1"/>
  <c r="A765" i="1"/>
  <c r="J764" i="1"/>
  <c r="I764" i="1"/>
  <c r="H764" i="1"/>
  <c r="G764" i="1"/>
  <c r="F764" i="1"/>
  <c r="D764" i="1"/>
  <c r="B764" i="1"/>
  <c r="A764" i="1"/>
  <c r="J763" i="1"/>
  <c r="I763" i="1"/>
  <c r="H763" i="1"/>
  <c r="G763" i="1"/>
  <c r="F763" i="1"/>
  <c r="D763" i="1"/>
  <c r="B763" i="1"/>
  <c r="A763" i="1"/>
  <c r="J762" i="1"/>
  <c r="I762" i="1"/>
  <c r="H762" i="1"/>
  <c r="G762" i="1"/>
  <c r="F762" i="1"/>
  <c r="D762" i="1"/>
  <c r="B762" i="1"/>
  <c r="A762" i="1"/>
  <c r="J761" i="1"/>
  <c r="I761" i="1"/>
  <c r="H761" i="1"/>
  <c r="G761" i="1"/>
  <c r="F761" i="1"/>
  <c r="D761" i="1"/>
  <c r="B761" i="1"/>
  <c r="A761" i="1"/>
  <c r="J760" i="1"/>
  <c r="I760" i="1"/>
  <c r="H760" i="1"/>
  <c r="G760" i="1"/>
  <c r="F760" i="1"/>
  <c r="D760" i="1"/>
  <c r="B760" i="1"/>
  <c r="A760" i="1"/>
  <c r="J759" i="1"/>
  <c r="I759" i="1"/>
  <c r="H759" i="1"/>
  <c r="G759" i="1"/>
  <c r="F759" i="1"/>
  <c r="D759" i="1"/>
  <c r="B759" i="1"/>
  <c r="A759" i="1"/>
  <c r="J758" i="1"/>
  <c r="I758" i="1"/>
  <c r="H758" i="1"/>
  <c r="G758" i="1"/>
  <c r="F758" i="1"/>
  <c r="D758" i="1"/>
  <c r="B758" i="1"/>
  <c r="A758" i="1"/>
  <c r="J757" i="1"/>
  <c r="I757" i="1"/>
  <c r="H757" i="1"/>
  <c r="G757" i="1"/>
  <c r="F757" i="1"/>
  <c r="D757" i="1"/>
  <c r="B757" i="1"/>
  <c r="A757" i="1"/>
  <c r="J756" i="1"/>
  <c r="I756" i="1"/>
  <c r="H756" i="1"/>
  <c r="G756" i="1"/>
  <c r="F756" i="1"/>
  <c r="D756" i="1"/>
  <c r="B756" i="1"/>
  <c r="A756" i="1"/>
  <c r="J755" i="1"/>
  <c r="I755" i="1"/>
  <c r="H755" i="1"/>
  <c r="G755" i="1"/>
  <c r="F755" i="1"/>
  <c r="D755" i="1"/>
  <c r="B755" i="1"/>
  <c r="A755" i="1"/>
  <c r="J754" i="1"/>
  <c r="I754" i="1"/>
  <c r="H754" i="1"/>
  <c r="G754" i="1"/>
  <c r="F754" i="1"/>
  <c r="D754" i="1"/>
  <c r="B754" i="1"/>
  <c r="A754" i="1"/>
  <c r="J753" i="1"/>
  <c r="I753" i="1"/>
  <c r="H753" i="1"/>
  <c r="G753" i="1"/>
  <c r="F753" i="1"/>
  <c r="D753" i="1"/>
  <c r="B753" i="1"/>
  <c r="A753" i="1"/>
  <c r="J752" i="1"/>
  <c r="I752" i="1"/>
  <c r="G752" i="1"/>
  <c r="F752" i="1"/>
  <c r="A752" i="1"/>
  <c r="J751" i="1"/>
  <c r="I751" i="1"/>
  <c r="G751" i="1"/>
  <c r="F751" i="1"/>
  <c r="A751" i="1"/>
  <c r="J750" i="1"/>
  <c r="I750" i="1"/>
  <c r="H750" i="1"/>
  <c r="G750" i="1"/>
  <c r="F750" i="1"/>
  <c r="D750" i="1"/>
  <c r="B750" i="1"/>
  <c r="A750" i="1"/>
  <c r="J749" i="1"/>
  <c r="I749" i="1"/>
  <c r="H749" i="1"/>
  <c r="G749" i="1"/>
  <c r="F749" i="1"/>
  <c r="D749" i="1"/>
  <c r="B749" i="1"/>
  <c r="A749" i="1"/>
  <c r="J748" i="1"/>
  <c r="I748" i="1"/>
  <c r="H748" i="1"/>
  <c r="G748" i="1"/>
  <c r="F748" i="1"/>
  <c r="D748" i="1"/>
  <c r="B748" i="1"/>
  <c r="A748" i="1"/>
  <c r="J747" i="1"/>
  <c r="I747" i="1"/>
  <c r="H747" i="1"/>
  <c r="G747" i="1"/>
  <c r="F747" i="1"/>
  <c r="D747" i="1"/>
  <c r="B747" i="1"/>
  <c r="A747" i="1"/>
  <c r="J746" i="1"/>
  <c r="I746" i="1"/>
  <c r="H746" i="1"/>
  <c r="G746" i="1"/>
  <c r="F746" i="1"/>
  <c r="D746" i="1"/>
  <c r="B746" i="1"/>
  <c r="A746" i="1"/>
  <c r="J745" i="1"/>
  <c r="I745" i="1"/>
  <c r="H745" i="1"/>
  <c r="G745" i="1"/>
  <c r="F745" i="1"/>
  <c r="D745" i="1"/>
  <c r="B745" i="1"/>
  <c r="A745" i="1"/>
  <c r="J744" i="1"/>
  <c r="I744" i="1"/>
  <c r="H744" i="1"/>
  <c r="G744" i="1"/>
  <c r="F744" i="1"/>
  <c r="D744" i="1"/>
  <c r="B744" i="1"/>
  <c r="A744" i="1"/>
  <c r="J743" i="1"/>
  <c r="I743" i="1"/>
  <c r="H743" i="1"/>
  <c r="G743" i="1"/>
  <c r="F743" i="1"/>
  <c r="D743" i="1"/>
  <c r="B743" i="1"/>
  <c r="A743" i="1"/>
  <c r="J742" i="1"/>
  <c r="I742" i="1"/>
  <c r="H742" i="1"/>
  <c r="G742" i="1"/>
  <c r="F742" i="1"/>
  <c r="D742" i="1"/>
  <c r="B742" i="1"/>
  <c r="A742" i="1"/>
  <c r="J741" i="1"/>
  <c r="I741" i="1"/>
  <c r="H741" i="1"/>
  <c r="G741" i="1"/>
  <c r="F741" i="1"/>
  <c r="D741" i="1"/>
  <c r="B741" i="1"/>
  <c r="A741" i="1"/>
  <c r="J740" i="1"/>
  <c r="I740" i="1"/>
  <c r="H740" i="1"/>
  <c r="G740" i="1"/>
  <c r="F740" i="1"/>
  <c r="D740" i="1"/>
  <c r="B740" i="1"/>
  <c r="A740" i="1"/>
  <c r="J739" i="1"/>
  <c r="I739" i="1"/>
  <c r="H739" i="1"/>
  <c r="G739" i="1"/>
  <c r="F739" i="1"/>
  <c r="D739" i="1"/>
  <c r="B739" i="1"/>
  <c r="A739" i="1"/>
  <c r="J738" i="1"/>
  <c r="I738" i="1"/>
  <c r="H738" i="1"/>
  <c r="G738" i="1"/>
  <c r="F738" i="1"/>
  <c r="D738" i="1"/>
  <c r="B738" i="1"/>
  <c r="A738" i="1"/>
  <c r="J737" i="1"/>
  <c r="I737" i="1"/>
  <c r="H737" i="1"/>
  <c r="G737" i="1"/>
  <c r="F737" i="1"/>
  <c r="D737" i="1"/>
  <c r="B737" i="1"/>
  <c r="A737" i="1"/>
  <c r="J736" i="1"/>
  <c r="I736" i="1"/>
  <c r="H736" i="1"/>
  <c r="G736" i="1"/>
  <c r="F736" i="1"/>
  <c r="D736" i="1"/>
  <c r="B736" i="1"/>
  <c r="A736" i="1"/>
  <c r="J735" i="1"/>
  <c r="I735" i="1"/>
  <c r="H735" i="1"/>
  <c r="G735" i="1"/>
  <c r="F735" i="1"/>
  <c r="D735" i="1"/>
  <c r="B735" i="1"/>
  <c r="A735" i="1"/>
  <c r="J734" i="1"/>
  <c r="I734" i="1"/>
  <c r="H734" i="1"/>
  <c r="G734" i="1"/>
  <c r="F734" i="1"/>
  <c r="D734" i="1"/>
  <c r="B734" i="1"/>
  <c r="A734" i="1"/>
  <c r="J733" i="1"/>
  <c r="I733" i="1"/>
  <c r="H733" i="1"/>
  <c r="G733" i="1"/>
  <c r="F733" i="1"/>
  <c r="D733" i="1"/>
  <c r="B733" i="1"/>
  <c r="A733" i="1"/>
  <c r="J732" i="1"/>
  <c r="I732" i="1"/>
  <c r="H732" i="1"/>
  <c r="G732" i="1"/>
  <c r="F732" i="1"/>
  <c r="D732" i="1"/>
  <c r="B732" i="1"/>
  <c r="A732" i="1"/>
  <c r="J731" i="1"/>
  <c r="I731" i="1"/>
  <c r="H731" i="1"/>
  <c r="G731" i="1"/>
  <c r="F731" i="1"/>
  <c r="D731" i="1"/>
  <c r="B731" i="1"/>
  <c r="A731" i="1"/>
  <c r="J730" i="1"/>
  <c r="I730" i="1"/>
  <c r="H730" i="1"/>
  <c r="G730" i="1"/>
  <c r="F730" i="1"/>
  <c r="D730" i="1"/>
  <c r="B730" i="1"/>
  <c r="A730" i="1"/>
  <c r="J729" i="1"/>
  <c r="I729" i="1"/>
  <c r="H729" i="1"/>
  <c r="G729" i="1"/>
  <c r="F729" i="1"/>
  <c r="D729" i="1"/>
  <c r="B729" i="1"/>
  <c r="A729" i="1"/>
  <c r="J728" i="1"/>
  <c r="I728" i="1"/>
  <c r="G728" i="1"/>
  <c r="F728" i="1"/>
  <c r="A728" i="1"/>
  <c r="J727" i="1"/>
  <c r="I727" i="1"/>
  <c r="H727" i="1"/>
  <c r="G727" i="1"/>
  <c r="F727" i="1"/>
  <c r="D727" i="1"/>
  <c r="B727" i="1"/>
  <c r="A727" i="1"/>
  <c r="J726" i="1"/>
  <c r="I726" i="1"/>
  <c r="H726" i="1"/>
  <c r="G726" i="1"/>
  <c r="F726" i="1"/>
  <c r="D726" i="1"/>
  <c r="B726" i="1"/>
  <c r="A726" i="1"/>
  <c r="J725" i="1"/>
  <c r="I725" i="1"/>
  <c r="H725" i="1"/>
  <c r="G725" i="1"/>
  <c r="F725" i="1"/>
  <c r="D725" i="1"/>
  <c r="B725" i="1"/>
  <c r="A725" i="1"/>
  <c r="J724" i="1"/>
  <c r="I724" i="1"/>
  <c r="H724" i="1"/>
  <c r="G724" i="1"/>
  <c r="F724" i="1"/>
  <c r="D724" i="1"/>
  <c r="B724" i="1"/>
  <c r="A724" i="1"/>
  <c r="J723" i="1"/>
  <c r="I723" i="1"/>
  <c r="H723" i="1"/>
  <c r="G723" i="1"/>
  <c r="F723" i="1"/>
  <c r="D723" i="1"/>
  <c r="B723" i="1"/>
  <c r="A723" i="1"/>
  <c r="J722" i="1"/>
  <c r="I722" i="1"/>
  <c r="G722" i="1"/>
  <c r="F722" i="1"/>
  <c r="A722" i="1"/>
  <c r="J721" i="1"/>
  <c r="I721" i="1"/>
  <c r="H721" i="1"/>
  <c r="G721" i="1"/>
  <c r="F721" i="1"/>
  <c r="D721" i="1"/>
  <c r="B721" i="1"/>
  <c r="A721" i="1"/>
  <c r="J720" i="1"/>
  <c r="I720" i="1"/>
  <c r="H720" i="1"/>
  <c r="G720" i="1"/>
  <c r="F720" i="1"/>
  <c r="D720" i="1"/>
  <c r="B720" i="1"/>
  <c r="A720" i="1"/>
  <c r="J719" i="1"/>
  <c r="I719" i="1"/>
  <c r="H719" i="1"/>
  <c r="G719" i="1"/>
  <c r="F719" i="1"/>
  <c r="D719" i="1"/>
  <c r="B719" i="1"/>
  <c r="A719" i="1"/>
  <c r="J718" i="1"/>
  <c r="I718" i="1"/>
  <c r="H718" i="1"/>
  <c r="G718" i="1"/>
  <c r="F718" i="1"/>
  <c r="D718" i="1"/>
  <c r="B718" i="1"/>
  <c r="A718" i="1"/>
  <c r="J717" i="1"/>
  <c r="I717" i="1"/>
  <c r="H717" i="1"/>
  <c r="G717" i="1"/>
  <c r="F717" i="1"/>
  <c r="D717" i="1"/>
  <c r="B717" i="1"/>
  <c r="A717" i="1"/>
  <c r="J716" i="1"/>
  <c r="I716" i="1"/>
  <c r="H716" i="1"/>
  <c r="G716" i="1"/>
  <c r="F716" i="1"/>
  <c r="D716" i="1"/>
  <c r="B716" i="1"/>
  <c r="A716" i="1"/>
  <c r="J715" i="1"/>
  <c r="I715" i="1"/>
  <c r="H715" i="1"/>
  <c r="G715" i="1"/>
  <c r="F715" i="1"/>
  <c r="D715" i="1"/>
  <c r="B715" i="1"/>
  <c r="A715" i="1"/>
  <c r="J714" i="1"/>
  <c r="I714" i="1"/>
  <c r="H714" i="1"/>
  <c r="G714" i="1"/>
  <c r="F714" i="1"/>
  <c r="D714" i="1"/>
  <c r="B714" i="1"/>
  <c r="A714" i="1"/>
  <c r="J713" i="1"/>
  <c r="I713" i="1"/>
  <c r="H713" i="1"/>
  <c r="G713" i="1"/>
  <c r="F713" i="1"/>
  <c r="D713" i="1"/>
  <c r="B713" i="1"/>
  <c r="A713" i="1"/>
  <c r="J712" i="1"/>
  <c r="I712" i="1"/>
  <c r="H712" i="1"/>
  <c r="G712" i="1"/>
  <c r="F712" i="1"/>
  <c r="D712" i="1"/>
  <c r="B712" i="1"/>
  <c r="A712" i="1"/>
  <c r="J711" i="1"/>
  <c r="I711" i="1"/>
  <c r="H711" i="1"/>
  <c r="G711" i="1"/>
  <c r="F711" i="1"/>
  <c r="D711" i="1"/>
  <c r="B711" i="1"/>
  <c r="A711" i="1"/>
  <c r="J710" i="1"/>
  <c r="I710" i="1"/>
  <c r="H710" i="1"/>
  <c r="G710" i="1"/>
  <c r="F710" i="1"/>
  <c r="D710" i="1"/>
  <c r="B710" i="1"/>
  <c r="A710" i="1"/>
  <c r="J709" i="1"/>
  <c r="I709" i="1"/>
  <c r="H709" i="1"/>
  <c r="G709" i="1"/>
  <c r="F709" i="1"/>
  <c r="D709" i="1"/>
  <c r="B709" i="1"/>
  <c r="A709" i="1"/>
  <c r="J708" i="1"/>
  <c r="I708" i="1"/>
  <c r="H708" i="1"/>
  <c r="G708" i="1"/>
  <c r="F708" i="1"/>
  <c r="D708" i="1"/>
  <c r="B708" i="1"/>
  <c r="A708" i="1"/>
  <c r="J707" i="1"/>
  <c r="I707" i="1"/>
  <c r="H707" i="1"/>
  <c r="G707" i="1"/>
  <c r="F707" i="1"/>
  <c r="D707" i="1"/>
  <c r="B707" i="1"/>
  <c r="A707" i="1"/>
  <c r="J706" i="1"/>
  <c r="I706" i="1"/>
  <c r="H706" i="1"/>
  <c r="G706" i="1"/>
  <c r="F706" i="1"/>
  <c r="D706" i="1"/>
  <c r="B706" i="1"/>
  <c r="A706" i="1"/>
  <c r="J705" i="1"/>
  <c r="I705" i="1"/>
  <c r="H705" i="1"/>
  <c r="G705" i="1"/>
  <c r="F705" i="1"/>
  <c r="D705" i="1"/>
  <c r="B705" i="1"/>
  <c r="A705" i="1"/>
  <c r="J704" i="1"/>
  <c r="I704" i="1"/>
  <c r="H704" i="1"/>
  <c r="G704" i="1"/>
  <c r="F704" i="1"/>
  <c r="D704" i="1"/>
  <c r="B704" i="1"/>
  <c r="A704" i="1"/>
  <c r="J703" i="1"/>
  <c r="I703" i="1"/>
  <c r="H703" i="1"/>
  <c r="G703" i="1"/>
  <c r="F703" i="1"/>
  <c r="D703" i="1"/>
  <c r="B703" i="1"/>
  <c r="A703" i="1"/>
  <c r="J702" i="1"/>
  <c r="I702" i="1"/>
  <c r="H702" i="1"/>
  <c r="G702" i="1"/>
  <c r="F702" i="1"/>
  <c r="D702" i="1"/>
  <c r="B702" i="1"/>
  <c r="A702" i="1"/>
  <c r="J701" i="1"/>
  <c r="I701" i="1"/>
  <c r="H701" i="1"/>
  <c r="G701" i="1"/>
  <c r="F701" i="1"/>
  <c r="D701" i="1"/>
  <c r="B701" i="1"/>
  <c r="A701" i="1"/>
  <c r="J700" i="1"/>
  <c r="I700" i="1"/>
  <c r="H700" i="1"/>
  <c r="G700" i="1"/>
  <c r="F700" i="1"/>
  <c r="D700" i="1"/>
  <c r="B700" i="1"/>
  <c r="A700" i="1"/>
  <c r="J699" i="1"/>
  <c r="I699" i="1"/>
  <c r="H699" i="1"/>
  <c r="G699" i="1"/>
  <c r="F699" i="1"/>
  <c r="D699" i="1"/>
  <c r="B699" i="1"/>
  <c r="A699" i="1"/>
  <c r="J698" i="1"/>
  <c r="I698" i="1"/>
  <c r="H698" i="1"/>
  <c r="G698" i="1"/>
  <c r="F698" i="1"/>
  <c r="D698" i="1"/>
  <c r="B698" i="1"/>
  <c r="A698" i="1"/>
  <c r="J697" i="1"/>
  <c r="I697" i="1"/>
  <c r="H697" i="1"/>
  <c r="G697" i="1"/>
  <c r="F697" i="1"/>
  <c r="D697" i="1"/>
  <c r="B697" i="1"/>
  <c r="A697" i="1"/>
  <c r="J696" i="1"/>
  <c r="I696" i="1"/>
  <c r="H696" i="1"/>
  <c r="G696" i="1"/>
  <c r="F696" i="1"/>
  <c r="D696" i="1"/>
  <c r="B696" i="1"/>
  <c r="A696" i="1"/>
  <c r="J695" i="1"/>
  <c r="I695" i="1"/>
  <c r="H695" i="1"/>
  <c r="G695" i="1"/>
  <c r="F695" i="1"/>
  <c r="D695" i="1"/>
  <c r="B695" i="1"/>
  <c r="A695" i="1"/>
  <c r="J694" i="1"/>
  <c r="I694" i="1"/>
  <c r="H694" i="1"/>
  <c r="G694" i="1"/>
  <c r="F694" i="1"/>
  <c r="D694" i="1"/>
  <c r="B694" i="1"/>
  <c r="A694" i="1"/>
  <c r="J693" i="1"/>
  <c r="I693" i="1"/>
  <c r="H693" i="1"/>
  <c r="G693" i="1"/>
  <c r="F693" i="1"/>
  <c r="D693" i="1"/>
  <c r="B693" i="1"/>
  <c r="A693" i="1"/>
  <c r="J692" i="1"/>
  <c r="I692" i="1"/>
  <c r="H692" i="1"/>
  <c r="G692" i="1"/>
  <c r="F692" i="1"/>
  <c r="D692" i="1"/>
  <c r="B692" i="1"/>
  <c r="A692" i="1"/>
  <c r="J691" i="1"/>
  <c r="I691" i="1"/>
  <c r="H691" i="1"/>
  <c r="G691" i="1"/>
  <c r="F691" i="1"/>
  <c r="D691" i="1"/>
  <c r="B691" i="1"/>
  <c r="A691" i="1"/>
  <c r="J690" i="1"/>
  <c r="I690" i="1"/>
  <c r="H690" i="1"/>
  <c r="G690" i="1"/>
  <c r="F690" i="1"/>
  <c r="D690" i="1"/>
  <c r="B690" i="1"/>
  <c r="A690" i="1"/>
  <c r="J689" i="1"/>
  <c r="I689" i="1"/>
  <c r="H689" i="1"/>
  <c r="G689" i="1"/>
  <c r="F689" i="1"/>
  <c r="D689" i="1"/>
  <c r="B689" i="1"/>
  <c r="A689" i="1"/>
  <c r="J688" i="1"/>
  <c r="I688" i="1"/>
  <c r="H688" i="1"/>
  <c r="G688" i="1"/>
  <c r="F688" i="1"/>
  <c r="D688" i="1"/>
  <c r="B688" i="1"/>
  <c r="A688" i="1"/>
  <c r="J687" i="1"/>
  <c r="I687" i="1"/>
  <c r="H687" i="1"/>
  <c r="G687" i="1"/>
  <c r="F687" i="1"/>
  <c r="D687" i="1"/>
  <c r="B687" i="1"/>
  <c r="A687" i="1"/>
  <c r="J686" i="1"/>
  <c r="I686" i="1"/>
  <c r="H686" i="1"/>
  <c r="G686" i="1"/>
  <c r="F686" i="1"/>
  <c r="D686" i="1"/>
  <c r="B686" i="1"/>
  <c r="A686" i="1"/>
  <c r="J685" i="1"/>
  <c r="I685" i="1"/>
  <c r="H685" i="1"/>
  <c r="G685" i="1"/>
  <c r="F685" i="1"/>
  <c r="D685" i="1"/>
  <c r="B685" i="1"/>
  <c r="A685" i="1"/>
  <c r="J684" i="1"/>
  <c r="I684" i="1"/>
  <c r="H684" i="1"/>
  <c r="G684" i="1"/>
  <c r="F684" i="1"/>
  <c r="D684" i="1"/>
  <c r="B684" i="1"/>
  <c r="A684" i="1"/>
  <c r="J683" i="1"/>
  <c r="I683" i="1"/>
  <c r="H683" i="1"/>
  <c r="G683" i="1"/>
  <c r="F683" i="1"/>
  <c r="D683" i="1"/>
  <c r="B683" i="1"/>
  <c r="A683" i="1"/>
  <c r="J682" i="1"/>
  <c r="I682" i="1"/>
  <c r="H682" i="1"/>
  <c r="G682" i="1"/>
  <c r="F682" i="1"/>
  <c r="D682" i="1"/>
  <c r="B682" i="1"/>
  <c r="A682" i="1"/>
  <c r="J681" i="1"/>
  <c r="I681" i="1"/>
  <c r="H681" i="1"/>
  <c r="G681" i="1"/>
  <c r="F681" i="1"/>
  <c r="D681" i="1"/>
  <c r="B681" i="1"/>
  <c r="A681" i="1"/>
  <c r="J680" i="1"/>
  <c r="I680" i="1"/>
  <c r="H680" i="1"/>
  <c r="G680" i="1"/>
  <c r="F680" i="1"/>
  <c r="D680" i="1"/>
  <c r="B680" i="1"/>
  <c r="A680" i="1"/>
  <c r="J679" i="1"/>
  <c r="I679" i="1"/>
  <c r="H679" i="1"/>
  <c r="G679" i="1"/>
  <c r="F679" i="1"/>
  <c r="D679" i="1"/>
  <c r="B679" i="1"/>
  <c r="A679" i="1"/>
  <c r="J678" i="1"/>
  <c r="I678" i="1"/>
  <c r="H678" i="1"/>
  <c r="G678" i="1"/>
  <c r="F678" i="1"/>
  <c r="D678" i="1"/>
  <c r="B678" i="1"/>
  <c r="A678" i="1"/>
  <c r="J677" i="1"/>
  <c r="I677" i="1"/>
  <c r="H677" i="1"/>
  <c r="G677" i="1"/>
  <c r="F677" i="1"/>
  <c r="D677" i="1"/>
  <c r="B677" i="1"/>
  <c r="A677" i="1"/>
  <c r="J676" i="1"/>
  <c r="I676" i="1"/>
  <c r="H676" i="1"/>
  <c r="G676" i="1"/>
  <c r="F676" i="1"/>
  <c r="D676" i="1"/>
  <c r="B676" i="1"/>
  <c r="A676" i="1"/>
  <c r="J675" i="1"/>
  <c r="I675" i="1"/>
  <c r="H675" i="1"/>
  <c r="G675" i="1"/>
  <c r="F675" i="1"/>
  <c r="D675" i="1"/>
  <c r="B675" i="1"/>
  <c r="A675" i="1"/>
  <c r="J674" i="1"/>
  <c r="I674" i="1"/>
  <c r="H674" i="1"/>
  <c r="G674" i="1"/>
  <c r="F674" i="1"/>
  <c r="D674" i="1"/>
  <c r="B674" i="1"/>
  <c r="A674" i="1"/>
  <c r="J673" i="1"/>
  <c r="I673" i="1"/>
  <c r="H673" i="1"/>
  <c r="G673" i="1"/>
  <c r="F673" i="1"/>
  <c r="D673" i="1"/>
  <c r="B673" i="1"/>
  <c r="A673" i="1"/>
  <c r="J672" i="1"/>
  <c r="I672" i="1"/>
  <c r="H672" i="1"/>
  <c r="G672" i="1"/>
  <c r="F672" i="1"/>
  <c r="D672" i="1"/>
  <c r="B672" i="1"/>
  <c r="A672" i="1"/>
  <c r="J671" i="1"/>
  <c r="I671" i="1"/>
  <c r="H671" i="1"/>
  <c r="G671" i="1"/>
  <c r="F671" i="1"/>
  <c r="D671" i="1"/>
  <c r="B671" i="1"/>
  <c r="A671" i="1"/>
  <c r="J670" i="1"/>
  <c r="I670" i="1"/>
  <c r="H670" i="1"/>
  <c r="G670" i="1"/>
  <c r="F670" i="1"/>
  <c r="D670" i="1"/>
  <c r="B670" i="1"/>
  <c r="A670" i="1"/>
  <c r="J669" i="1"/>
  <c r="I669" i="1"/>
  <c r="H669" i="1"/>
  <c r="G669" i="1"/>
  <c r="F669" i="1"/>
  <c r="D669" i="1"/>
  <c r="B669" i="1"/>
  <c r="A669" i="1"/>
  <c r="J668" i="1"/>
  <c r="I668" i="1"/>
  <c r="H668" i="1"/>
  <c r="G668" i="1"/>
  <c r="F668" i="1"/>
  <c r="D668" i="1"/>
  <c r="B668" i="1"/>
  <c r="A668" i="1"/>
  <c r="J667" i="1"/>
  <c r="I667" i="1"/>
  <c r="H667" i="1"/>
  <c r="G667" i="1"/>
  <c r="F667" i="1"/>
  <c r="D667" i="1"/>
  <c r="B667" i="1"/>
  <c r="A667" i="1"/>
  <c r="J666" i="1"/>
  <c r="I666" i="1"/>
  <c r="H666" i="1"/>
  <c r="G666" i="1"/>
  <c r="F666" i="1"/>
  <c r="D666" i="1"/>
  <c r="B666" i="1"/>
  <c r="A666" i="1"/>
  <c r="J665" i="1"/>
  <c r="I665" i="1"/>
  <c r="H665" i="1"/>
  <c r="G665" i="1"/>
  <c r="F665" i="1"/>
  <c r="D665" i="1"/>
  <c r="B665" i="1"/>
  <c r="A665" i="1"/>
  <c r="J664" i="1"/>
  <c r="I664" i="1"/>
  <c r="H664" i="1"/>
  <c r="G664" i="1"/>
  <c r="F664" i="1"/>
  <c r="D664" i="1"/>
  <c r="B664" i="1"/>
  <c r="A664" i="1"/>
  <c r="J663" i="1"/>
  <c r="I663" i="1"/>
  <c r="H663" i="1"/>
  <c r="G663" i="1"/>
  <c r="F663" i="1"/>
  <c r="D663" i="1"/>
  <c r="B663" i="1"/>
  <c r="A663" i="1"/>
  <c r="J662" i="1"/>
  <c r="I662" i="1"/>
  <c r="H662" i="1"/>
  <c r="G662" i="1"/>
  <c r="F662" i="1"/>
  <c r="D662" i="1"/>
  <c r="B662" i="1"/>
  <c r="A662" i="1"/>
  <c r="J661" i="1"/>
  <c r="I661" i="1"/>
  <c r="H661" i="1"/>
  <c r="G661" i="1"/>
  <c r="F661" i="1"/>
  <c r="D661" i="1"/>
  <c r="B661" i="1"/>
  <c r="A661" i="1"/>
  <c r="J660" i="1"/>
  <c r="I660" i="1"/>
  <c r="H660" i="1"/>
  <c r="G660" i="1"/>
  <c r="F660" i="1"/>
  <c r="D660" i="1"/>
  <c r="B660" i="1"/>
  <c r="A660" i="1"/>
  <c r="J659" i="1"/>
  <c r="I659" i="1"/>
  <c r="H659" i="1"/>
  <c r="G659" i="1"/>
  <c r="F659" i="1"/>
  <c r="D659" i="1"/>
  <c r="B659" i="1"/>
  <c r="A659" i="1"/>
  <c r="J658" i="1"/>
  <c r="I658" i="1"/>
  <c r="H658" i="1"/>
  <c r="G658" i="1"/>
  <c r="F658" i="1"/>
  <c r="D658" i="1"/>
  <c r="B658" i="1"/>
  <c r="A658" i="1"/>
  <c r="J657" i="1"/>
  <c r="I657" i="1"/>
  <c r="H657" i="1"/>
  <c r="G657" i="1"/>
  <c r="F657" i="1"/>
  <c r="D657" i="1"/>
  <c r="B657" i="1"/>
  <c r="A657" i="1"/>
  <c r="J656" i="1"/>
  <c r="I656" i="1"/>
  <c r="H656" i="1"/>
  <c r="G656" i="1"/>
  <c r="F656" i="1"/>
  <c r="D656" i="1"/>
  <c r="B656" i="1"/>
  <c r="A656" i="1"/>
  <c r="J655" i="1"/>
  <c r="I655" i="1"/>
  <c r="H655" i="1"/>
  <c r="G655" i="1"/>
  <c r="F655" i="1"/>
  <c r="D655" i="1"/>
  <c r="B655" i="1"/>
  <c r="A655" i="1"/>
  <c r="J654" i="1"/>
  <c r="I654" i="1"/>
  <c r="H654" i="1"/>
  <c r="G654" i="1"/>
  <c r="F654" i="1"/>
  <c r="D654" i="1"/>
  <c r="B654" i="1"/>
  <c r="A654" i="1"/>
  <c r="J653" i="1"/>
  <c r="I653" i="1"/>
  <c r="H653" i="1"/>
  <c r="G653" i="1"/>
  <c r="F653" i="1"/>
  <c r="D653" i="1"/>
  <c r="B653" i="1"/>
  <c r="A653" i="1"/>
  <c r="J652" i="1"/>
  <c r="I652" i="1"/>
  <c r="H652" i="1"/>
  <c r="G652" i="1"/>
  <c r="F652" i="1"/>
  <c r="D652" i="1"/>
  <c r="B652" i="1"/>
  <c r="A652" i="1"/>
  <c r="J651" i="1"/>
  <c r="I651" i="1"/>
  <c r="H651" i="1"/>
  <c r="G651" i="1"/>
  <c r="F651" i="1"/>
  <c r="D651" i="1"/>
  <c r="B651" i="1"/>
  <c r="A651" i="1"/>
  <c r="J650" i="1"/>
  <c r="I650" i="1"/>
  <c r="H650" i="1"/>
  <c r="G650" i="1"/>
  <c r="F650" i="1"/>
  <c r="D650" i="1"/>
  <c r="B650" i="1"/>
  <c r="A650" i="1"/>
  <c r="J649" i="1"/>
  <c r="I649" i="1"/>
  <c r="H649" i="1"/>
  <c r="G649" i="1"/>
  <c r="F649" i="1"/>
  <c r="D649" i="1"/>
  <c r="B649" i="1"/>
  <c r="A649" i="1"/>
  <c r="J648" i="1"/>
  <c r="I648" i="1"/>
  <c r="H648" i="1"/>
  <c r="G648" i="1"/>
  <c r="F648" i="1"/>
  <c r="D648" i="1"/>
  <c r="B648" i="1"/>
  <c r="A648" i="1"/>
  <c r="J647" i="1"/>
  <c r="I647" i="1"/>
  <c r="H647" i="1"/>
  <c r="G647" i="1"/>
  <c r="F647" i="1"/>
  <c r="D647" i="1"/>
  <c r="B647" i="1"/>
  <c r="A647" i="1"/>
  <c r="J646" i="1"/>
  <c r="I646" i="1"/>
  <c r="H646" i="1"/>
  <c r="G646" i="1"/>
  <c r="F646" i="1"/>
  <c r="D646" i="1"/>
  <c r="B646" i="1"/>
  <c r="A646" i="1"/>
  <c r="J645" i="1"/>
  <c r="I645" i="1"/>
  <c r="H645" i="1"/>
  <c r="G645" i="1"/>
  <c r="F645" i="1"/>
  <c r="D645" i="1"/>
  <c r="B645" i="1"/>
  <c r="A645" i="1"/>
  <c r="J644" i="1"/>
  <c r="I644" i="1"/>
  <c r="H644" i="1"/>
  <c r="G644" i="1"/>
  <c r="F644" i="1"/>
  <c r="D644" i="1"/>
  <c r="B644" i="1"/>
  <c r="A644" i="1"/>
  <c r="J643" i="1"/>
  <c r="I643" i="1"/>
  <c r="H643" i="1"/>
  <c r="G643" i="1"/>
  <c r="F643" i="1"/>
  <c r="D643" i="1"/>
  <c r="B643" i="1"/>
  <c r="A643" i="1"/>
  <c r="J642" i="1"/>
  <c r="I642" i="1"/>
  <c r="H642" i="1"/>
  <c r="G642" i="1"/>
  <c r="F642" i="1"/>
  <c r="D642" i="1"/>
  <c r="B642" i="1"/>
  <c r="A642" i="1"/>
  <c r="J641" i="1"/>
  <c r="I641" i="1"/>
  <c r="H641" i="1"/>
  <c r="G641" i="1"/>
  <c r="F641" i="1"/>
  <c r="D641" i="1"/>
  <c r="B641" i="1"/>
  <c r="A641" i="1"/>
  <c r="J640" i="1"/>
  <c r="I640" i="1"/>
  <c r="H640" i="1"/>
  <c r="G640" i="1"/>
  <c r="F640" i="1"/>
  <c r="D640" i="1"/>
  <c r="B640" i="1"/>
  <c r="A640" i="1"/>
  <c r="J639" i="1"/>
  <c r="I639" i="1"/>
  <c r="H639" i="1"/>
  <c r="G639" i="1"/>
  <c r="F639" i="1"/>
  <c r="D639" i="1"/>
  <c r="B639" i="1"/>
  <c r="A639" i="1"/>
  <c r="J638" i="1"/>
  <c r="I638" i="1"/>
  <c r="H638" i="1"/>
  <c r="G638" i="1"/>
  <c r="F638" i="1"/>
  <c r="D638" i="1"/>
  <c r="B638" i="1"/>
  <c r="A638" i="1"/>
  <c r="J637" i="1"/>
  <c r="I637" i="1"/>
  <c r="H637" i="1"/>
  <c r="G637" i="1"/>
  <c r="F637" i="1"/>
  <c r="D637" i="1"/>
  <c r="B637" i="1"/>
  <c r="A637" i="1"/>
  <c r="J636" i="1"/>
  <c r="I636" i="1"/>
  <c r="H636" i="1"/>
  <c r="G636" i="1"/>
  <c r="F636" i="1"/>
  <c r="D636" i="1"/>
  <c r="B636" i="1"/>
  <c r="A636" i="1"/>
  <c r="J635" i="1"/>
  <c r="I635" i="1"/>
  <c r="H635" i="1"/>
  <c r="G635" i="1"/>
  <c r="F635" i="1"/>
  <c r="D635" i="1"/>
  <c r="B635" i="1"/>
  <c r="A635" i="1"/>
  <c r="J634" i="1"/>
  <c r="I634" i="1"/>
  <c r="H634" i="1"/>
  <c r="G634" i="1"/>
  <c r="F634" i="1"/>
  <c r="D634" i="1"/>
  <c r="B634" i="1"/>
  <c r="A634" i="1"/>
  <c r="J633" i="1"/>
  <c r="I633" i="1"/>
  <c r="H633" i="1"/>
  <c r="G633" i="1"/>
  <c r="F633" i="1"/>
  <c r="D633" i="1"/>
  <c r="B633" i="1"/>
  <c r="A633" i="1"/>
  <c r="J632" i="1"/>
  <c r="I632" i="1"/>
  <c r="H632" i="1"/>
  <c r="G632" i="1"/>
  <c r="F632" i="1"/>
  <c r="D632" i="1"/>
  <c r="B632" i="1"/>
  <c r="A632" i="1"/>
  <c r="J631" i="1"/>
  <c r="I631" i="1"/>
  <c r="H631" i="1"/>
  <c r="G631" i="1"/>
  <c r="F631" i="1"/>
  <c r="D631" i="1"/>
  <c r="B631" i="1"/>
  <c r="A631" i="1"/>
  <c r="J630" i="1"/>
  <c r="I630" i="1"/>
  <c r="H630" i="1"/>
  <c r="G630" i="1"/>
  <c r="F630" i="1"/>
  <c r="D630" i="1"/>
  <c r="B630" i="1"/>
  <c r="A630" i="1"/>
  <c r="J629" i="1"/>
  <c r="I629" i="1"/>
  <c r="H629" i="1"/>
  <c r="G629" i="1"/>
  <c r="F629" i="1"/>
  <c r="D629" i="1"/>
  <c r="B629" i="1"/>
  <c r="A629" i="1"/>
  <c r="J628" i="1"/>
  <c r="I628" i="1"/>
  <c r="H628" i="1"/>
  <c r="G628" i="1"/>
  <c r="F628" i="1"/>
  <c r="D628" i="1"/>
  <c r="B628" i="1"/>
  <c r="A628" i="1"/>
  <c r="J627" i="1"/>
  <c r="I627" i="1"/>
  <c r="H627" i="1"/>
  <c r="G627" i="1"/>
  <c r="F627" i="1"/>
  <c r="D627" i="1"/>
  <c r="B627" i="1"/>
  <c r="A627" i="1"/>
  <c r="J626" i="1"/>
  <c r="I626" i="1"/>
  <c r="H626" i="1"/>
  <c r="G626" i="1"/>
  <c r="F626" i="1"/>
  <c r="D626" i="1"/>
  <c r="B626" i="1"/>
  <c r="A626" i="1"/>
  <c r="J625" i="1"/>
  <c r="I625" i="1"/>
  <c r="H625" i="1"/>
  <c r="G625" i="1"/>
  <c r="F625" i="1"/>
  <c r="D625" i="1"/>
  <c r="B625" i="1"/>
  <c r="A625" i="1"/>
  <c r="J624" i="1"/>
  <c r="I624" i="1"/>
  <c r="H624" i="1"/>
  <c r="G624" i="1"/>
  <c r="F624" i="1"/>
  <c r="D624" i="1"/>
  <c r="B624" i="1"/>
  <c r="A624" i="1"/>
  <c r="J623" i="1"/>
  <c r="I623" i="1"/>
  <c r="H623" i="1"/>
  <c r="G623" i="1"/>
  <c r="F623" i="1"/>
  <c r="D623" i="1"/>
  <c r="B623" i="1"/>
  <c r="A623" i="1"/>
  <c r="J622" i="1"/>
  <c r="I622" i="1"/>
  <c r="H622" i="1"/>
  <c r="G622" i="1"/>
  <c r="F622" i="1"/>
  <c r="D622" i="1"/>
  <c r="B622" i="1"/>
  <c r="A622" i="1"/>
  <c r="J621" i="1"/>
  <c r="I621" i="1"/>
  <c r="H621" i="1"/>
  <c r="G621" i="1"/>
  <c r="F621" i="1"/>
  <c r="D621" i="1"/>
  <c r="B621" i="1"/>
  <c r="A621" i="1"/>
  <c r="J620" i="1"/>
  <c r="I620" i="1"/>
  <c r="H620" i="1"/>
  <c r="G620" i="1"/>
  <c r="F620" i="1"/>
  <c r="D620" i="1"/>
  <c r="B620" i="1"/>
  <c r="A620" i="1"/>
  <c r="J619" i="1"/>
  <c r="I619" i="1"/>
  <c r="H619" i="1"/>
  <c r="G619" i="1"/>
  <c r="F619" i="1"/>
  <c r="D619" i="1"/>
  <c r="B619" i="1"/>
  <c r="A619" i="1"/>
  <c r="J618" i="1"/>
  <c r="I618" i="1"/>
  <c r="H618" i="1"/>
  <c r="G618" i="1"/>
  <c r="F618" i="1"/>
  <c r="D618" i="1"/>
  <c r="B618" i="1"/>
  <c r="A618" i="1"/>
  <c r="J617" i="1"/>
  <c r="I617" i="1"/>
  <c r="H617" i="1"/>
  <c r="G617" i="1"/>
  <c r="F617" i="1"/>
  <c r="D617" i="1"/>
  <c r="B617" i="1"/>
  <c r="A617" i="1"/>
  <c r="J616" i="1"/>
  <c r="I616" i="1"/>
  <c r="H616" i="1"/>
  <c r="G616" i="1"/>
  <c r="F616" i="1"/>
  <c r="D616" i="1"/>
  <c r="B616" i="1"/>
  <c r="A616" i="1"/>
  <c r="J615" i="1"/>
  <c r="I615" i="1"/>
  <c r="H615" i="1"/>
  <c r="G615" i="1"/>
  <c r="F615" i="1"/>
  <c r="D615" i="1"/>
  <c r="B615" i="1"/>
  <c r="A615" i="1"/>
  <c r="J614" i="1"/>
  <c r="I614" i="1"/>
  <c r="H614" i="1"/>
  <c r="G614" i="1"/>
  <c r="F614" i="1"/>
  <c r="D614" i="1"/>
  <c r="B614" i="1"/>
  <c r="A614" i="1"/>
  <c r="J613" i="1"/>
  <c r="I613" i="1"/>
  <c r="H613" i="1"/>
  <c r="G613" i="1"/>
  <c r="F613" i="1"/>
  <c r="D613" i="1"/>
  <c r="B613" i="1"/>
  <c r="A613" i="1"/>
  <c r="J612" i="1"/>
  <c r="I612" i="1"/>
  <c r="H612" i="1"/>
  <c r="G612" i="1"/>
  <c r="F612" i="1"/>
  <c r="D612" i="1"/>
  <c r="B612" i="1"/>
  <c r="A612" i="1"/>
  <c r="J611" i="1"/>
  <c r="I611" i="1"/>
  <c r="H611" i="1"/>
  <c r="G611" i="1"/>
  <c r="F611" i="1"/>
  <c r="D611" i="1"/>
  <c r="B611" i="1"/>
  <c r="A611" i="1"/>
  <c r="J610" i="1"/>
  <c r="I610" i="1"/>
  <c r="H610" i="1"/>
  <c r="G610" i="1"/>
  <c r="F610" i="1"/>
  <c r="D610" i="1"/>
  <c r="B610" i="1"/>
  <c r="A610" i="1"/>
  <c r="J609" i="1"/>
  <c r="I609" i="1"/>
  <c r="H609" i="1"/>
  <c r="G609" i="1"/>
  <c r="F609" i="1"/>
  <c r="D609" i="1"/>
  <c r="B609" i="1"/>
  <c r="A609" i="1"/>
  <c r="J608" i="1"/>
  <c r="I608" i="1"/>
  <c r="H608" i="1"/>
  <c r="G608" i="1"/>
  <c r="F608" i="1"/>
  <c r="D608" i="1"/>
  <c r="B608" i="1"/>
  <c r="A608" i="1"/>
  <c r="J607" i="1"/>
  <c r="I607" i="1"/>
  <c r="H607" i="1"/>
  <c r="G607" i="1"/>
  <c r="F607" i="1"/>
  <c r="D607" i="1"/>
  <c r="B607" i="1"/>
  <c r="A607" i="1"/>
  <c r="J606" i="1"/>
  <c r="I606" i="1"/>
  <c r="H606" i="1"/>
  <c r="G606" i="1"/>
  <c r="F606" i="1"/>
  <c r="D606" i="1"/>
  <c r="B606" i="1"/>
  <c r="A606" i="1"/>
  <c r="J605" i="1"/>
  <c r="I605" i="1"/>
  <c r="H605" i="1"/>
  <c r="G605" i="1"/>
  <c r="F605" i="1"/>
  <c r="D605" i="1"/>
  <c r="B605" i="1"/>
  <c r="A605" i="1"/>
  <c r="J604" i="1"/>
  <c r="I604" i="1"/>
  <c r="H604" i="1"/>
  <c r="G604" i="1"/>
  <c r="F604" i="1"/>
  <c r="D604" i="1"/>
  <c r="B604" i="1"/>
  <c r="A604" i="1"/>
  <c r="J603" i="1"/>
  <c r="I603" i="1"/>
  <c r="H603" i="1"/>
  <c r="G603" i="1"/>
  <c r="F603" i="1"/>
  <c r="D603" i="1"/>
  <c r="B603" i="1"/>
  <c r="A603" i="1"/>
  <c r="J602" i="1"/>
  <c r="I602" i="1"/>
  <c r="H602" i="1"/>
  <c r="G602" i="1"/>
  <c r="F602" i="1"/>
  <c r="D602" i="1"/>
  <c r="B602" i="1"/>
  <c r="A602" i="1"/>
  <c r="J601" i="1"/>
  <c r="I601" i="1"/>
  <c r="H601" i="1"/>
  <c r="G601" i="1"/>
  <c r="F601" i="1"/>
  <c r="D601" i="1"/>
  <c r="B601" i="1"/>
  <c r="A601" i="1"/>
  <c r="J600" i="1"/>
  <c r="I600" i="1"/>
  <c r="H600" i="1"/>
  <c r="G600" i="1"/>
  <c r="F600" i="1"/>
  <c r="D600" i="1"/>
  <c r="B600" i="1"/>
  <c r="A600" i="1"/>
  <c r="J599" i="1"/>
  <c r="I599" i="1"/>
  <c r="H599" i="1"/>
  <c r="G599" i="1"/>
  <c r="F599" i="1"/>
  <c r="D599" i="1"/>
  <c r="B599" i="1"/>
  <c r="A599" i="1"/>
  <c r="J598" i="1"/>
  <c r="I598" i="1"/>
  <c r="H598" i="1"/>
  <c r="G598" i="1"/>
  <c r="F598" i="1"/>
  <c r="D598" i="1"/>
  <c r="B598" i="1"/>
  <c r="A598" i="1"/>
  <c r="J597" i="1"/>
  <c r="I597" i="1"/>
  <c r="H597" i="1"/>
  <c r="G597" i="1"/>
  <c r="F597" i="1"/>
  <c r="D597" i="1"/>
  <c r="B597" i="1"/>
  <c r="A597" i="1"/>
  <c r="J596" i="1"/>
  <c r="I596" i="1"/>
  <c r="H596" i="1"/>
  <c r="G596" i="1"/>
  <c r="F596" i="1"/>
  <c r="D596" i="1"/>
  <c r="B596" i="1"/>
  <c r="A596" i="1"/>
  <c r="J595" i="1"/>
  <c r="I595" i="1"/>
  <c r="H595" i="1"/>
  <c r="G595" i="1"/>
  <c r="F595" i="1"/>
  <c r="D595" i="1"/>
  <c r="B595" i="1"/>
  <c r="A595" i="1"/>
  <c r="J594" i="1"/>
  <c r="I594" i="1"/>
  <c r="H594" i="1"/>
  <c r="G594" i="1"/>
  <c r="F594" i="1"/>
  <c r="D594" i="1"/>
  <c r="B594" i="1"/>
  <c r="A594" i="1"/>
  <c r="J593" i="1"/>
  <c r="I593" i="1"/>
  <c r="H593" i="1"/>
  <c r="G593" i="1"/>
  <c r="F593" i="1"/>
  <c r="D593" i="1"/>
  <c r="B593" i="1"/>
  <c r="A593" i="1"/>
  <c r="J592" i="1"/>
  <c r="I592" i="1"/>
  <c r="H592" i="1"/>
  <c r="G592" i="1"/>
  <c r="F592" i="1"/>
  <c r="D592" i="1"/>
  <c r="B592" i="1"/>
  <c r="A592" i="1"/>
  <c r="J591" i="1"/>
  <c r="I591" i="1"/>
  <c r="H591" i="1"/>
  <c r="G591" i="1"/>
  <c r="F591" i="1"/>
  <c r="D591" i="1"/>
  <c r="B591" i="1"/>
  <c r="A591" i="1"/>
  <c r="J590" i="1"/>
  <c r="I590" i="1"/>
  <c r="H590" i="1"/>
  <c r="G590" i="1"/>
  <c r="F590" i="1"/>
  <c r="D590" i="1"/>
  <c r="B590" i="1"/>
  <c r="A590" i="1"/>
  <c r="J589" i="1"/>
  <c r="I589" i="1"/>
  <c r="H589" i="1"/>
  <c r="G589" i="1"/>
  <c r="F589" i="1"/>
  <c r="D589" i="1"/>
  <c r="B589" i="1"/>
  <c r="A589" i="1"/>
  <c r="J588" i="1"/>
  <c r="I588" i="1"/>
  <c r="H588" i="1"/>
  <c r="G588" i="1"/>
  <c r="F588" i="1"/>
  <c r="D588" i="1"/>
  <c r="B588" i="1"/>
  <c r="A588" i="1"/>
  <c r="J587" i="1"/>
  <c r="I587" i="1"/>
  <c r="H587" i="1"/>
  <c r="G587" i="1"/>
  <c r="F587" i="1"/>
  <c r="D587" i="1"/>
  <c r="B587" i="1"/>
  <c r="A587" i="1"/>
  <c r="J586" i="1"/>
  <c r="I586" i="1"/>
  <c r="H586" i="1"/>
  <c r="G586" i="1"/>
  <c r="F586" i="1"/>
  <c r="D586" i="1"/>
  <c r="B586" i="1"/>
  <c r="A586" i="1"/>
  <c r="J585" i="1"/>
  <c r="I585" i="1"/>
  <c r="H585" i="1"/>
  <c r="G585" i="1"/>
  <c r="F585" i="1"/>
  <c r="D585" i="1"/>
  <c r="B585" i="1"/>
  <c r="A585" i="1"/>
  <c r="J584" i="1"/>
  <c r="I584" i="1"/>
  <c r="H584" i="1"/>
  <c r="G584" i="1"/>
  <c r="F584" i="1"/>
  <c r="D584" i="1"/>
  <c r="B584" i="1"/>
  <c r="A584" i="1"/>
  <c r="J583" i="1"/>
  <c r="I583" i="1"/>
  <c r="H583" i="1"/>
  <c r="G583" i="1"/>
  <c r="F583" i="1"/>
  <c r="D583" i="1"/>
  <c r="B583" i="1"/>
  <c r="A583" i="1"/>
  <c r="J582" i="1"/>
  <c r="I582" i="1"/>
  <c r="H582" i="1"/>
  <c r="G582" i="1"/>
  <c r="F582" i="1"/>
  <c r="D582" i="1"/>
  <c r="B582" i="1"/>
  <c r="A582" i="1"/>
  <c r="J581" i="1"/>
  <c r="I581" i="1"/>
  <c r="H581" i="1"/>
  <c r="G581" i="1"/>
  <c r="F581" i="1"/>
  <c r="D581" i="1"/>
  <c r="B581" i="1"/>
  <c r="A581" i="1"/>
  <c r="J580" i="1"/>
  <c r="I580" i="1"/>
  <c r="H580" i="1"/>
  <c r="G580" i="1"/>
  <c r="F580" i="1"/>
  <c r="D580" i="1"/>
  <c r="B580" i="1"/>
  <c r="A580" i="1"/>
  <c r="J579" i="1"/>
  <c r="I579" i="1"/>
  <c r="H579" i="1"/>
  <c r="G579" i="1"/>
  <c r="F579" i="1"/>
  <c r="D579" i="1"/>
  <c r="B579" i="1"/>
  <c r="A579" i="1"/>
  <c r="J578" i="1"/>
  <c r="I578" i="1"/>
  <c r="H578" i="1"/>
  <c r="G578" i="1"/>
  <c r="F578" i="1"/>
  <c r="D578" i="1"/>
  <c r="B578" i="1"/>
  <c r="A578" i="1"/>
  <c r="J577" i="1"/>
  <c r="I577" i="1"/>
  <c r="H577" i="1"/>
  <c r="G577" i="1"/>
  <c r="F577" i="1"/>
  <c r="D577" i="1"/>
  <c r="B577" i="1"/>
  <c r="A577" i="1"/>
  <c r="J576" i="1"/>
  <c r="I576" i="1"/>
  <c r="H576" i="1"/>
  <c r="G576" i="1"/>
  <c r="F576" i="1"/>
  <c r="D576" i="1"/>
  <c r="B576" i="1"/>
  <c r="A576" i="1"/>
  <c r="J575" i="1"/>
  <c r="I575" i="1"/>
  <c r="H575" i="1"/>
  <c r="G575" i="1"/>
  <c r="F575" i="1"/>
  <c r="D575" i="1"/>
  <c r="B575" i="1"/>
  <c r="A575" i="1"/>
  <c r="J574" i="1"/>
  <c r="I574" i="1"/>
  <c r="H574" i="1"/>
  <c r="G574" i="1"/>
  <c r="F574" i="1"/>
  <c r="D574" i="1"/>
  <c r="B574" i="1"/>
  <c r="A574" i="1"/>
  <c r="J573" i="1"/>
  <c r="I573" i="1"/>
  <c r="H573" i="1"/>
  <c r="G573" i="1"/>
  <c r="F573" i="1"/>
  <c r="D573" i="1"/>
  <c r="B573" i="1"/>
  <c r="A573" i="1"/>
  <c r="J572" i="1"/>
  <c r="I572" i="1"/>
  <c r="H572" i="1"/>
  <c r="G572" i="1"/>
  <c r="F572" i="1"/>
  <c r="D572" i="1"/>
  <c r="B572" i="1"/>
  <c r="A572" i="1"/>
  <c r="J571" i="1"/>
  <c r="I571" i="1"/>
  <c r="H571" i="1"/>
  <c r="G571" i="1"/>
  <c r="F571" i="1"/>
  <c r="D571" i="1"/>
  <c r="B571" i="1"/>
  <c r="A571" i="1"/>
  <c r="J570" i="1"/>
  <c r="I570" i="1"/>
  <c r="H570" i="1"/>
  <c r="G570" i="1"/>
  <c r="F570" i="1"/>
  <c r="D570" i="1"/>
  <c r="B570" i="1"/>
  <c r="A570" i="1"/>
  <c r="J569" i="1"/>
  <c r="I569" i="1"/>
  <c r="H569" i="1"/>
  <c r="G569" i="1"/>
  <c r="F569" i="1"/>
  <c r="D569" i="1"/>
  <c r="B569" i="1"/>
  <c r="A569" i="1"/>
  <c r="J568" i="1"/>
  <c r="I568" i="1"/>
  <c r="H568" i="1"/>
  <c r="G568" i="1"/>
  <c r="F568" i="1"/>
  <c r="D568" i="1"/>
  <c r="B568" i="1"/>
  <c r="A568" i="1"/>
  <c r="J567" i="1"/>
  <c r="I567" i="1"/>
  <c r="H567" i="1"/>
  <c r="G567" i="1"/>
  <c r="F567" i="1"/>
  <c r="D567" i="1"/>
  <c r="B567" i="1"/>
  <c r="A567" i="1"/>
  <c r="J566" i="1"/>
  <c r="I566" i="1"/>
  <c r="H566" i="1"/>
  <c r="G566" i="1"/>
  <c r="F566" i="1"/>
  <c r="D566" i="1"/>
  <c r="B566" i="1"/>
  <c r="A566" i="1"/>
  <c r="J565" i="1"/>
  <c r="I565" i="1"/>
  <c r="H565" i="1"/>
  <c r="G565" i="1"/>
  <c r="F565" i="1"/>
  <c r="D565" i="1"/>
  <c r="B565" i="1"/>
  <c r="A565" i="1"/>
  <c r="J564" i="1"/>
  <c r="I564" i="1"/>
  <c r="H564" i="1"/>
  <c r="G564" i="1"/>
  <c r="F564" i="1"/>
  <c r="D564" i="1"/>
  <c r="B564" i="1"/>
  <c r="A564" i="1"/>
  <c r="J563" i="1"/>
  <c r="I563" i="1"/>
  <c r="H563" i="1"/>
  <c r="G563" i="1"/>
  <c r="F563" i="1"/>
  <c r="D563" i="1"/>
  <c r="B563" i="1"/>
  <c r="A563" i="1"/>
  <c r="J562" i="1"/>
  <c r="I562" i="1"/>
  <c r="H562" i="1"/>
  <c r="G562" i="1"/>
  <c r="F562" i="1"/>
  <c r="D562" i="1"/>
  <c r="B562" i="1"/>
  <c r="A562" i="1"/>
  <c r="J561" i="1"/>
  <c r="I561" i="1"/>
  <c r="H561" i="1"/>
  <c r="G561" i="1"/>
  <c r="F561" i="1"/>
  <c r="D561" i="1"/>
  <c r="B561" i="1"/>
  <c r="A561" i="1"/>
  <c r="J560" i="1"/>
  <c r="I560" i="1"/>
  <c r="H560" i="1"/>
  <c r="G560" i="1"/>
  <c r="F560" i="1"/>
  <c r="D560" i="1"/>
  <c r="B560" i="1"/>
  <c r="A560" i="1"/>
  <c r="J559" i="1"/>
  <c r="I559" i="1"/>
  <c r="H559" i="1"/>
  <c r="G559" i="1"/>
  <c r="F559" i="1"/>
  <c r="D559" i="1"/>
  <c r="B559" i="1"/>
  <c r="A559" i="1"/>
  <c r="J558" i="1"/>
  <c r="I558" i="1"/>
  <c r="H558" i="1"/>
  <c r="G558" i="1"/>
  <c r="F558" i="1"/>
  <c r="D558" i="1"/>
  <c r="B558" i="1"/>
  <c r="A558" i="1"/>
  <c r="J557" i="1"/>
  <c r="I557" i="1"/>
  <c r="H557" i="1"/>
  <c r="G557" i="1"/>
  <c r="F557" i="1"/>
  <c r="D557" i="1"/>
  <c r="B557" i="1"/>
  <c r="A557" i="1"/>
  <c r="J556" i="1"/>
  <c r="I556" i="1"/>
  <c r="H556" i="1"/>
  <c r="G556" i="1"/>
  <c r="F556" i="1"/>
  <c r="D556" i="1"/>
  <c r="B556" i="1"/>
  <c r="A556" i="1"/>
  <c r="J555" i="1"/>
  <c r="I555" i="1"/>
  <c r="H555" i="1"/>
  <c r="G555" i="1"/>
  <c r="F555" i="1"/>
  <c r="D555" i="1"/>
  <c r="B555" i="1"/>
  <c r="A555" i="1"/>
  <c r="J554" i="1"/>
  <c r="I554" i="1"/>
  <c r="H554" i="1"/>
  <c r="G554" i="1"/>
  <c r="F554" i="1"/>
  <c r="D554" i="1"/>
  <c r="B554" i="1"/>
  <c r="A554" i="1"/>
  <c r="J553" i="1"/>
  <c r="I553" i="1"/>
  <c r="H553" i="1"/>
  <c r="G553" i="1"/>
  <c r="F553" i="1"/>
  <c r="D553" i="1"/>
  <c r="B553" i="1"/>
  <c r="A553" i="1"/>
  <c r="J552" i="1"/>
  <c r="I552" i="1"/>
  <c r="H552" i="1"/>
  <c r="G552" i="1"/>
  <c r="F552" i="1"/>
  <c r="D552" i="1"/>
  <c r="B552" i="1"/>
  <c r="A552" i="1"/>
  <c r="J551" i="1"/>
  <c r="I551" i="1"/>
  <c r="H551" i="1"/>
  <c r="G551" i="1"/>
  <c r="F551" i="1"/>
  <c r="D551" i="1"/>
  <c r="B551" i="1"/>
  <c r="A551" i="1"/>
  <c r="J550" i="1"/>
  <c r="I550" i="1"/>
  <c r="H550" i="1"/>
  <c r="G550" i="1"/>
  <c r="F550" i="1"/>
  <c r="D550" i="1"/>
  <c r="B550" i="1"/>
  <c r="A550" i="1"/>
  <c r="J549" i="1"/>
  <c r="I549" i="1"/>
  <c r="H549" i="1"/>
  <c r="G549" i="1"/>
  <c r="F549" i="1"/>
  <c r="D549" i="1"/>
  <c r="B549" i="1"/>
  <c r="A549" i="1"/>
  <c r="J548" i="1"/>
  <c r="I548" i="1"/>
  <c r="H548" i="1"/>
  <c r="G548" i="1"/>
  <c r="F548" i="1"/>
  <c r="D548" i="1"/>
  <c r="B548" i="1"/>
  <c r="A548" i="1"/>
  <c r="J547" i="1"/>
  <c r="I547" i="1"/>
  <c r="H547" i="1"/>
  <c r="G547" i="1"/>
  <c r="F547" i="1"/>
  <c r="D547" i="1"/>
  <c r="B547" i="1"/>
  <c r="A547" i="1"/>
  <c r="J546" i="1"/>
  <c r="I546" i="1"/>
  <c r="H546" i="1"/>
  <c r="G546" i="1"/>
  <c r="F546" i="1"/>
  <c r="D546" i="1"/>
  <c r="B546" i="1"/>
  <c r="A546" i="1"/>
  <c r="J545" i="1"/>
  <c r="I545" i="1"/>
  <c r="H545" i="1"/>
  <c r="G545" i="1"/>
  <c r="F545" i="1"/>
  <c r="D545" i="1"/>
  <c r="B545" i="1"/>
  <c r="A545" i="1"/>
  <c r="J544" i="1"/>
  <c r="I544" i="1"/>
  <c r="H544" i="1"/>
  <c r="G544" i="1"/>
  <c r="F544" i="1"/>
  <c r="D544" i="1"/>
  <c r="B544" i="1"/>
  <c r="A544" i="1"/>
  <c r="J543" i="1"/>
  <c r="I543" i="1"/>
  <c r="H543" i="1"/>
  <c r="G543" i="1"/>
  <c r="F543" i="1"/>
  <c r="D543" i="1"/>
  <c r="B543" i="1"/>
  <c r="A543" i="1"/>
  <c r="J542" i="1"/>
  <c r="I542" i="1"/>
  <c r="H542" i="1"/>
  <c r="G542" i="1"/>
  <c r="F542" i="1"/>
  <c r="D542" i="1"/>
  <c r="B542" i="1"/>
  <c r="A542" i="1"/>
  <c r="J541" i="1"/>
  <c r="I541" i="1"/>
  <c r="H541" i="1"/>
  <c r="G541" i="1"/>
  <c r="F541" i="1"/>
  <c r="D541" i="1"/>
  <c r="B541" i="1"/>
  <c r="A541" i="1"/>
  <c r="J540" i="1"/>
  <c r="I540" i="1"/>
  <c r="H540" i="1"/>
  <c r="G540" i="1"/>
  <c r="F540" i="1"/>
  <c r="D540" i="1"/>
  <c r="B540" i="1"/>
  <c r="A540" i="1"/>
  <c r="J539" i="1"/>
  <c r="I539" i="1"/>
  <c r="H539" i="1"/>
  <c r="G539" i="1"/>
  <c r="F539" i="1"/>
  <c r="D539" i="1"/>
  <c r="B539" i="1"/>
  <c r="A539" i="1"/>
  <c r="J538" i="1"/>
  <c r="I538" i="1"/>
  <c r="H538" i="1"/>
  <c r="G538" i="1"/>
  <c r="F538" i="1"/>
  <c r="D538" i="1"/>
  <c r="B538" i="1"/>
  <c r="A538" i="1"/>
  <c r="J537" i="1"/>
  <c r="I537" i="1"/>
  <c r="H537" i="1"/>
  <c r="G537" i="1"/>
  <c r="F537" i="1"/>
  <c r="D537" i="1"/>
  <c r="B537" i="1"/>
  <c r="A537" i="1"/>
  <c r="J536" i="1"/>
  <c r="I536" i="1"/>
  <c r="H536" i="1"/>
  <c r="G536" i="1"/>
  <c r="F536" i="1"/>
  <c r="D536" i="1"/>
  <c r="B536" i="1"/>
  <c r="A536" i="1"/>
  <c r="J535" i="1"/>
  <c r="I535" i="1"/>
  <c r="H535" i="1"/>
  <c r="G535" i="1"/>
  <c r="F535" i="1"/>
  <c r="D535" i="1"/>
  <c r="B535" i="1"/>
  <c r="A535" i="1"/>
  <c r="J534" i="1"/>
  <c r="I534" i="1"/>
  <c r="H534" i="1"/>
  <c r="G534" i="1"/>
  <c r="F534" i="1"/>
  <c r="D534" i="1"/>
  <c r="B534" i="1"/>
  <c r="A534" i="1"/>
  <c r="J533" i="1"/>
  <c r="I533" i="1"/>
  <c r="H533" i="1"/>
  <c r="G533" i="1"/>
  <c r="F533" i="1"/>
  <c r="D533" i="1"/>
  <c r="B533" i="1"/>
  <c r="A533" i="1"/>
  <c r="J532" i="1"/>
  <c r="I532" i="1"/>
  <c r="H532" i="1"/>
  <c r="G532" i="1"/>
  <c r="F532" i="1"/>
  <c r="D532" i="1"/>
  <c r="B532" i="1"/>
  <c r="A532" i="1"/>
  <c r="J531" i="1"/>
  <c r="I531" i="1"/>
  <c r="H531" i="1"/>
  <c r="G531" i="1"/>
  <c r="F531" i="1"/>
  <c r="D531" i="1"/>
  <c r="B531" i="1"/>
  <c r="A531" i="1"/>
  <c r="J530" i="1"/>
  <c r="I530" i="1"/>
  <c r="H530" i="1"/>
  <c r="G530" i="1"/>
  <c r="F530" i="1"/>
  <c r="D530" i="1"/>
  <c r="B530" i="1"/>
  <c r="A530" i="1"/>
  <c r="J529" i="1"/>
  <c r="I529" i="1"/>
  <c r="H529" i="1"/>
  <c r="G529" i="1"/>
  <c r="F529" i="1"/>
  <c r="D529" i="1"/>
  <c r="B529" i="1"/>
  <c r="A529" i="1"/>
  <c r="J528" i="1"/>
  <c r="I528" i="1"/>
  <c r="H528" i="1"/>
  <c r="G528" i="1"/>
  <c r="F528" i="1"/>
  <c r="D528" i="1"/>
  <c r="B528" i="1"/>
  <c r="A528" i="1"/>
  <c r="J527" i="1"/>
  <c r="I527" i="1"/>
  <c r="H527" i="1"/>
  <c r="G527" i="1"/>
  <c r="F527" i="1"/>
  <c r="D527" i="1"/>
  <c r="B527" i="1"/>
  <c r="A527" i="1"/>
  <c r="J526" i="1"/>
  <c r="I526" i="1"/>
  <c r="H526" i="1"/>
  <c r="G526" i="1"/>
  <c r="F526" i="1"/>
  <c r="D526" i="1"/>
  <c r="B526" i="1"/>
  <c r="A526" i="1"/>
  <c r="J525" i="1"/>
  <c r="I525" i="1"/>
  <c r="H525" i="1"/>
  <c r="G525" i="1"/>
  <c r="F525" i="1"/>
  <c r="D525" i="1"/>
  <c r="B525" i="1"/>
  <c r="A525" i="1"/>
  <c r="J524" i="1"/>
  <c r="I524" i="1"/>
  <c r="H524" i="1"/>
  <c r="G524" i="1"/>
  <c r="F524" i="1"/>
  <c r="D524" i="1"/>
  <c r="B524" i="1"/>
  <c r="A524" i="1"/>
  <c r="J523" i="1"/>
  <c r="I523" i="1"/>
  <c r="H523" i="1"/>
  <c r="G523" i="1"/>
  <c r="F523" i="1"/>
  <c r="D523" i="1"/>
  <c r="B523" i="1"/>
  <c r="A523" i="1"/>
  <c r="J522" i="1"/>
  <c r="I522" i="1"/>
  <c r="H522" i="1"/>
  <c r="G522" i="1"/>
  <c r="F522" i="1"/>
  <c r="D522" i="1"/>
  <c r="B522" i="1"/>
  <c r="A522" i="1"/>
  <c r="J521" i="1"/>
  <c r="I521" i="1"/>
  <c r="H521" i="1"/>
  <c r="G521" i="1"/>
  <c r="F521" i="1"/>
  <c r="D521" i="1"/>
  <c r="B521" i="1"/>
  <c r="A521" i="1"/>
  <c r="J520" i="1"/>
  <c r="I520" i="1"/>
  <c r="H520" i="1"/>
  <c r="G520" i="1"/>
  <c r="F520" i="1"/>
  <c r="D520" i="1"/>
  <c r="B520" i="1"/>
  <c r="A520" i="1"/>
  <c r="J519" i="1"/>
  <c r="I519" i="1"/>
  <c r="H519" i="1"/>
  <c r="G519" i="1"/>
  <c r="F519" i="1"/>
  <c r="D519" i="1"/>
  <c r="B519" i="1"/>
  <c r="A519" i="1"/>
  <c r="J518" i="1"/>
  <c r="I518" i="1"/>
  <c r="H518" i="1"/>
  <c r="G518" i="1"/>
  <c r="F518" i="1"/>
  <c r="D518" i="1"/>
  <c r="B518" i="1"/>
  <c r="A518" i="1"/>
  <c r="J517" i="1"/>
  <c r="I517" i="1"/>
  <c r="H517" i="1"/>
  <c r="G517" i="1"/>
  <c r="F517" i="1"/>
  <c r="D517" i="1"/>
  <c r="B517" i="1"/>
  <c r="A517" i="1"/>
  <c r="J516" i="1"/>
  <c r="I516" i="1"/>
  <c r="H516" i="1"/>
  <c r="G516" i="1"/>
  <c r="F516" i="1"/>
  <c r="D516" i="1"/>
  <c r="B516" i="1"/>
  <c r="A516" i="1"/>
  <c r="J515" i="1"/>
  <c r="I515" i="1"/>
  <c r="H515" i="1"/>
  <c r="G515" i="1"/>
  <c r="F515" i="1"/>
  <c r="D515" i="1"/>
  <c r="B515" i="1"/>
  <c r="A515" i="1"/>
  <c r="J514" i="1"/>
  <c r="I514" i="1"/>
  <c r="H514" i="1"/>
  <c r="G514" i="1"/>
  <c r="F514" i="1"/>
  <c r="D514" i="1"/>
  <c r="B514" i="1"/>
  <c r="A514" i="1"/>
  <c r="J513" i="1"/>
  <c r="I513" i="1"/>
  <c r="H513" i="1"/>
  <c r="G513" i="1"/>
  <c r="F513" i="1"/>
  <c r="D513" i="1"/>
  <c r="B513" i="1"/>
  <c r="A513" i="1"/>
  <c r="J512" i="1"/>
  <c r="I512" i="1"/>
  <c r="H512" i="1"/>
  <c r="G512" i="1"/>
  <c r="F512" i="1"/>
  <c r="D512" i="1"/>
  <c r="B512" i="1"/>
  <c r="A512" i="1"/>
  <c r="J511" i="1"/>
  <c r="I511" i="1"/>
  <c r="H511" i="1"/>
  <c r="G511" i="1"/>
  <c r="F511" i="1"/>
  <c r="D511" i="1"/>
  <c r="B511" i="1"/>
  <c r="A511" i="1"/>
  <c r="J510" i="1"/>
  <c r="I510" i="1"/>
  <c r="H510" i="1"/>
  <c r="G510" i="1"/>
  <c r="F510" i="1"/>
  <c r="D510" i="1"/>
  <c r="B510" i="1"/>
  <c r="A510" i="1"/>
  <c r="J509" i="1"/>
  <c r="I509" i="1"/>
  <c r="H509" i="1"/>
  <c r="G509" i="1"/>
  <c r="F509" i="1"/>
  <c r="D509" i="1"/>
  <c r="B509" i="1"/>
  <c r="A509" i="1"/>
  <c r="J508" i="1"/>
  <c r="I508" i="1"/>
  <c r="H508" i="1"/>
  <c r="G508" i="1"/>
  <c r="F508" i="1"/>
  <c r="D508" i="1"/>
  <c r="B508" i="1"/>
  <c r="A508" i="1"/>
  <c r="J507" i="1"/>
  <c r="I507" i="1"/>
  <c r="H507" i="1"/>
  <c r="G507" i="1"/>
  <c r="F507" i="1"/>
  <c r="D507" i="1"/>
  <c r="B507" i="1"/>
  <c r="A507" i="1"/>
  <c r="J506" i="1"/>
  <c r="I506" i="1"/>
  <c r="H506" i="1"/>
  <c r="G506" i="1"/>
  <c r="F506" i="1"/>
  <c r="D506" i="1"/>
  <c r="B506" i="1"/>
  <c r="A506" i="1"/>
  <c r="J505" i="1"/>
  <c r="I505" i="1"/>
  <c r="H505" i="1"/>
  <c r="G505" i="1"/>
  <c r="F505" i="1"/>
  <c r="D505" i="1"/>
  <c r="B505" i="1"/>
  <c r="A505" i="1"/>
  <c r="J504" i="1"/>
  <c r="I504" i="1"/>
  <c r="H504" i="1"/>
  <c r="G504" i="1"/>
  <c r="F504" i="1"/>
  <c r="D504" i="1"/>
  <c r="B504" i="1"/>
  <c r="A504" i="1"/>
  <c r="J503" i="1"/>
  <c r="I503" i="1"/>
  <c r="H503" i="1"/>
  <c r="G503" i="1"/>
  <c r="F503" i="1"/>
  <c r="D503" i="1"/>
  <c r="B503" i="1"/>
  <c r="A503" i="1"/>
  <c r="J502" i="1"/>
  <c r="I502" i="1"/>
  <c r="H502" i="1"/>
  <c r="G502" i="1"/>
  <c r="F502" i="1"/>
  <c r="D502" i="1"/>
  <c r="B502" i="1"/>
  <c r="A502" i="1"/>
  <c r="J501" i="1"/>
  <c r="I501" i="1"/>
  <c r="H501" i="1"/>
  <c r="G501" i="1"/>
  <c r="F501" i="1"/>
  <c r="D501" i="1"/>
  <c r="B501" i="1"/>
  <c r="A501" i="1"/>
  <c r="J500" i="1"/>
  <c r="I500" i="1"/>
  <c r="H500" i="1"/>
  <c r="G500" i="1"/>
  <c r="F500" i="1"/>
  <c r="D500" i="1"/>
  <c r="B500" i="1"/>
  <c r="A500" i="1"/>
  <c r="J499" i="1"/>
  <c r="I499" i="1"/>
  <c r="H499" i="1"/>
  <c r="G499" i="1"/>
  <c r="F499" i="1"/>
  <c r="D499" i="1"/>
  <c r="B499" i="1"/>
  <c r="A499" i="1"/>
  <c r="J498" i="1"/>
  <c r="I498" i="1"/>
  <c r="H498" i="1"/>
  <c r="G498" i="1"/>
  <c r="F498" i="1"/>
  <c r="D498" i="1"/>
  <c r="B498" i="1"/>
  <c r="A498" i="1"/>
  <c r="J497" i="1"/>
  <c r="I497" i="1"/>
  <c r="H497" i="1"/>
  <c r="G497" i="1"/>
  <c r="F497" i="1"/>
  <c r="D497" i="1"/>
  <c r="B497" i="1"/>
  <c r="A497" i="1"/>
  <c r="J496" i="1"/>
  <c r="I496" i="1"/>
  <c r="H496" i="1"/>
  <c r="G496" i="1"/>
  <c r="F496" i="1"/>
  <c r="D496" i="1"/>
  <c r="B496" i="1"/>
  <c r="A496" i="1"/>
  <c r="J495" i="1"/>
  <c r="I495" i="1"/>
  <c r="H495" i="1"/>
  <c r="G495" i="1"/>
  <c r="F495" i="1"/>
  <c r="D495" i="1"/>
  <c r="B495" i="1"/>
  <c r="A495" i="1"/>
  <c r="J494" i="1"/>
  <c r="I494" i="1"/>
  <c r="H494" i="1"/>
  <c r="G494" i="1"/>
  <c r="F494" i="1"/>
  <c r="D494" i="1"/>
  <c r="B494" i="1"/>
  <c r="A494" i="1"/>
  <c r="J493" i="1"/>
  <c r="I493" i="1"/>
  <c r="H493" i="1"/>
  <c r="G493" i="1"/>
  <c r="F493" i="1"/>
  <c r="D493" i="1"/>
  <c r="B493" i="1"/>
  <c r="A493" i="1"/>
  <c r="J492" i="1"/>
  <c r="I492" i="1"/>
  <c r="H492" i="1"/>
  <c r="G492" i="1"/>
  <c r="F492" i="1"/>
  <c r="D492" i="1"/>
  <c r="B492" i="1"/>
  <c r="A492" i="1"/>
  <c r="J491" i="1"/>
  <c r="I491" i="1"/>
  <c r="H491" i="1"/>
  <c r="G491" i="1"/>
  <c r="F491" i="1"/>
  <c r="D491" i="1"/>
  <c r="B491" i="1"/>
  <c r="A491" i="1"/>
  <c r="J490" i="1"/>
  <c r="I490" i="1"/>
  <c r="H490" i="1"/>
  <c r="G490" i="1"/>
  <c r="F490" i="1"/>
  <c r="D490" i="1"/>
  <c r="B490" i="1"/>
  <c r="A490" i="1"/>
  <c r="J489" i="1"/>
  <c r="I489" i="1"/>
  <c r="H489" i="1"/>
  <c r="G489" i="1"/>
  <c r="F489" i="1"/>
  <c r="D489" i="1"/>
  <c r="B489" i="1"/>
  <c r="A489" i="1"/>
  <c r="J488" i="1"/>
  <c r="I488" i="1"/>
  <c r="H488" i="1"/>
  <c r="G488" i="1"/>
  <c r="F488" i="1"/>
  <c r="D488" i="1"/>
  <c r="B488" i="1"/>
  <c r="A488" i="1"/>
  <c r="J487" i="1"/>
  <c r="I487" i="1"/>
  <c r="H487" i="1"/>
  <c r="G487" i="1"/>
  <c r="F487" i="1"/>
  <c r="D487" i="1"/>
  <c r="B487" i="1"/>
  <c r="A487" i="1"/>
  <c r="J486" i="1"/>
  <c r="I486" i="1"/>
  <c r="H486" i="1"/>
  <c r="G486" i="1"/>
  <c r="F486" i="1"/>
  <c r="D486" i="1"/>
  <c r="B486" i="1"/>
  <c r="A486" i="1"/>
  <c r="J485" i="1"/>
  <c r="I485" i="1"/>
  <c r="H485" i="1"/>
  <c r="G485" i="1"/>
  <c r="F485" i="1"/>
  <c r="D485" i="1"/>
  <c r="B485" i="1"/>
  <c r="A485" i="1"/>
  <c r="J484" i="1"/>
  <c r="I484" i="1"/>
  <c r="H484" i="1"/>
  <c r="G484" i="1"/>
  <c r="F484" i="1"/>
  <c r="D484" i="1"/>
  <c r="B484" i="1"/>
  <c r="A484" i="1"/>
  <c r="J483" i="1"/>
  <c r="I483" i="1"/>
  <c r="H483" i="1"/>
  <c r="G483" i="1"/>
  <c r="F483" i="1"/>
  <c r="D483" i="1"/>
  <c r="B483" i="1"/>
  <c r="A483" i="1"/>
  <c r="J482" i="1"/>
  <c r="I482" i="1"/>
  <c r="H482" i="1"/>
  <c r="G482" i="1"/>
  <c r="F482" i="1"/>
  <c r="D482" i="1"/>
  <c r="B482" i="1"/>
  <c r="A482" i="1"/>
  <c r="J481" i="1"/>
  <c r="I481" i="1"/>
  <c r="H481" i="1"/>
  <c r="G481" i="1"/>
  <c r="F481" i="1"/>
  <c r="D481" i="1"/>
  <c r="B481" i="1"/>
  <c r="A481" i="1"/>
  <c r="J480" i="1"/>
  <c r="I480" i="1"/>
  <c r="H480" i="1"/>
  <c r="G480" i="1"/>
  <c r="F480" i="1"/>
  <c r="D480" i="1"/>
  <c r="B480" i="1"/>
  <c r="A480" i="1"/>
  <c r="J479" i="1"/>
  <c r="I479" i="1"/>
  <c r="H479" i="1"/>
  <c r="G479" i="1"/>
  <c r="F479" i="1"/>
  <c r="D479" i="1"/>
  <c r="B479" i="1"/>
  <c r="A479" i="1"/>
  <c r="J478" i="1"/>
  <c r="I478" i="1"/>
  <c r="H478" i="1"/>
  <c r="G478" i="1"/>
  <c r="F478" i="1"/>
  <c r="D478" i="1"/>
  <c r="B478" i="1"/>
  <c r="A478" i="1"/>
  <c r="J477" i="1"/>
  <c r="I477" i="1"/>
  <c r="H477" i="1"/>
  <c r="G477" i="1"/>
  <c r="F477" i="1"/>
  <c r="D477" i="1"/>
  <c r="B477" i="1"/>
  <c r="A477" i="1"/>
  <c r="J476" i="1"/>
  <c r="I476" i="1"/>
  <c r="H476" i="1"/>
  <c r="G476" i="1"/>
  <c r="F476" i="1"/>
  <c r="D476" i="1"/>
  <c r="B476" i="1"/>
  <c r="A476" i="1"/>
  <c r="J475" i="1"/>
  <c r="I475" i="1"/>
  <c r="H475" i="1"/>
  <c r="G475" i="1"/>
  <c r="F475" i="1"/>
  <c r="D475" i="1"/>
  <c r="B475" i="1"/>
  <c r="A475" i="1"/>
  <c r="J474" i="1"/>
  <c r="I474" i="1"/>
  <c r="H474" i="1"/>
  <c r="G474" i="1"/>
  <c r="F474" i="1"/>
  <c r="D474" i="1"/>
  <c r="B474" i="1"/>
  <c r="A474" i="1"/>
  <c r="J473" i="1"/>
  <c r="I473" i="1"/>
  <c r="H473" i="1"/>
  <c r="G473" i="1"/>
  <c r="F473" i="1"/>
  <c r="D473" i="1"/>
  <c r="B473" i="1"/>
  <c r="A473" i="1"/>
  <c r="J472" i="1"/>
  <c r="I472" i="1"/>
  <c r="H472" i="1"/>
  <c r="G472" i="1"/>
  <c r="F472" i="1"/>
  <c r="D472" i="1"/>
  <c r="B472" i="1"/>
  <c r="A472" i="1"/>
  <c r="J471" i="1"/>
  <c r="I471" i="1"/>
  <c r="H471" i="1"/>
  <c r="G471" i="1"/>
  <c r="F471" i="1"/>
  <c r="D471" i="1"/>
  <c r="B471" i="1"/>
  <c r="A471" i="1"/>
  <c r="J470" i="1"/>
  <c r="I470" i="1"/>
  <c r="H470" i="1"/>
  <c r="G470" i="1"/>
  <c r="F470" i="1"/>
  <c r="D470" i="1"/>
  <c r="B470" i="1"/>
  <c r="A470" i="1"/>
  <c r="J469" i="1"/>
  <c r="I469" i="1"/>
  <c r="H469" i="1"/>
  <c r="G469" i="1"/>
  <c r="F469" i="1"/>
  <c r="D469" i="1"/>
  <c r="B469" i="1"/>
  <c r="A469" i="1"/>
  <c r="J468" i="1"/>
  <c r="I468" i="1"/>
  <c r="H468" i="1"/>
  <c r="G468" i="1"/>
  <c r="F468" i="1"/>
  <c r="D468" i="1"/>
  <c r="B468" i="1"/>
  <c r="A468" i="1"/>
  <c r="J467" i="1"/>
  <c r="I467" i="1"/>
  <c r="H467" i="1"/>
  <c r="G467" i="1"/>
  <c r="F467" i="1"/>
  <c r="D467" i="1"/>
  <c r="B467" i="1"/>
  <c r="A467" i="1"/>
  <c r="J466" i="1"/>
  <c r="I466" i="1"/>
  <c r="H466" i="1"/>
  <c r="G466" i="1"/>
  <c r="F466" i="1"/>
  <c r="D466" i="1"/>
  <c r="B466" i="1"/>
  <c r="A466" i="1"/>
  <c r="J465" i="1"/>
  <c r="I465" i="1"/>
  <c r="H465" i="1"/>
  <c r="G465" i="1"/>
  <c r="F465" i="1"/>
  <c r="D465" i="1"/>
  <c r="B465" i="1"/>
  <c r="A465" i="1"/>
  <c r="J464" i="1"/>
  <c r="I464" i="1"/>
  <c r="H464" i="1"/>
  <c r="G464" i="1"/>
  <c r="F464" i="1"/>
  <c r="D464" i="1"/>
  <c r="B464" i="1"/>
  <c r="A464" i="1"/>
  <c r="J463" i="1"/>
  <c r="I463" i="1"/>
  <c r="H463" i="1"/>
  <c r="G463" i="1"/>
  <c r="F463" i="1"/>
  <c r="D463" i="1"/>
  <c r="B463" i="1"/>
  <c r="A463" i="1"/>
  <c r="J462" i="1"/>
  <c r="I462" i="1"/>
  <c r="H462" i="1"/>
  <c r="G462" i="1"/>
  <c r="F462" i="1"/>
  <c r="D462" i="1"/>
  <c r="B462" i="1"/>
  <c r="A462" i="1"/>
  <c r="J461" i="1"/>
  <c r="I461" i="1"/>
  <c r="H461" i="1"/>
  <c r="G461" i="1"/>
  <c r="F461" i="1"/>
  <c r="D461" i="1"/>
  <c r="B461" i="1"/>
  <c r="A461" i="1"/>
  <c r="J460" i="1"/>
  <c r="I460" i="1"/>
  <c r="H460" i="1"/>
  <c r="G460" i="1"/>
  <c r="F460" i="1"/>
  <c r="D460" i="1"/>
  <c r="B460" i="1"/>
  <c r="A460" i="1"/>
  <c r="J459" i="1"/>
  <c r="I459" i="1"/>
  <c r="H459" i="1"/>
  <c r="G459" i="1"/>
  <c r="F459" i="1"/>
  <c r="D459" i="1"/>
  <c r="B459" i="1"/>
  <c r="A459" i="1"/>
  <c r="J458" i="1"/>
  <c r="I458" i="1"/>
  <c r="H458" i="1"/>
  <c r="G458" i="1"/>
  <c r="F458" i="1"/>
  <c r="D458" i="1"/>
  <c r="B458" i="1"/>
  <c r="A458" i="1"/>
  <c r="J457" i="1"/>
  <c r="I457" i="1"/>
  <c r="H457" i="1"/>
  <c r="G457" i="1"/>
  <c r="F457" i="1"/>
  <c r="D457" i="1"/>
  <c r="B457" i="1"/>
  <c r="A457" i="1"/>
  <c r="J456" i="1"/>
  <c r="I456" i="1"/>
  <c r="H456" i="1"/>
  <c r="G456" i="1"/>
  <c r="F456" i="1"/>
  <c r="D456" i="1"/>
  <c r="B456" i="1"/>
  <c r="A456" i="1"/>
  <c r="J455" i="1"/>
  <c r="I455" i="1"/>
  <c r="H455" i="1"/>
  <c r="G455" i="1"/>
  <c r="F455" i="1"/>
  <c r="D455" i="1"/>
  <c r="B455" i="1"/>
  <c r="A455" i="1"/>
  <c r="J454" i="1"/>
  <c r="I454" i="1"/>
  <c r="H454" i="1"/>
  <c r="G454" i="1"/>
  <c r="F454" i="1"/>
  <c r="D454" i="1"/>
  <c r="B454" i="1"/>
  <c r="A454" i="1"/>
  <c r="J453" i="1"/>
  <c r="I453" i="1"/>
  <c r="H453" i="1"/>
  <c r="G453" i="1"/>
  <c r="F453" i="1"/>
  <c r="D453" i="1"/>
  <c r="B453" i="1"/>
  <c r="A453" i="1"/>
  <c r="J452" i="1"/>
  <c r="I452" i="1"/>
  <c r="H452" i="1"/>
  <c r="G452" i="1"/>
  <c r="F452" i="1"/>
  <c r="D452" i="1"/>
  <c r="B452" i="1"/>
  <c r="A452" i="1"/>
  <c r="J451" i="1"/>
  <c r="I451" i="1"/>
  <c r="H451" i="1"/>
  <c r="G451" i="1"/>
  <c r="F451" i="1"/>
  <c r="D451" i="1"/>
  <c r="B451" i="1"/>
  <c r="A451" i="1"/>
  <c r="J450" i="1"/>
  <c r="I450" i="1"/>
  <c r="H450" i="1"/>
  <c r="G450" i="1"/>
  <c r="F450" i="1"/>
  <c r="D450" i="1"/>
  <c r="B450" i="1"/>
  <c r="A450" i="1"/>
  <c r="J449" i="1"/>
  <c r="I449" i="1"/>
  <c r="H449" i="1"/>
  <c r="G449" i="1"/>
  <c r="F449" i="1"/>
  <c r="D449" i="1"/>
  <c r="B449" i="1"/>
  <c r="A449" i="1"/>
  <c r="J448" i="1"/>
  <c r="I448" i="1"/>
  <c r="H448" i="1"/>
  <c r="G448" i="1"/>
  <c r="F448" i="1"/>
  <c r="D448" i="1"/>
  <c r="B448" i="1"/>
  <c r="A448" i="1"/>
  <c r="J447" i="1"/>
  <c r="I447" i="1"/>
  <c r="H447" i="1"/>
  <c r="G447" i="1"/>
  <c r="F447" i="1"/>
  <c r="D447" i="1"/>
  <c r="B447" i="1"/>
  <c r="A447" i="1"/>
  <c r="J446" i="1"/>
  <c r="I446" i="1"/>
  <c r="H446" i="1"/>
  <c r="G446" i="1"/>
  <c r="F446" i="1"/>
  <c r="D446" i="1"/>
  <c r="B446" i="1"/>
  <c r="A446" i="1"/>
  <c r="J445" i="1"/>
  <c r="I445" i="1"/>
  <c r="H445" i="1"/>
  <c r="G445" i="1"/>
  <c r="F445" i="1"/>
  <c r="D445" i="1"/>
  <c r="B445" i="1"/>
  <c r="A445" i="1"/>
  <c r="J444" i="1"/>
  <c r="I444" i="1"/>
  <c r="H444" i="1"/>
  <c r="G444" i="1"/>
  <c r="F444" i="1"/>
  <c r="D444" i="1"/>
  <c r="B444" i="1"/>
  <c r="A444" i="1"/>
  <c r="J443" i="1"/>
  <c r="I443" i="1"/>
  <c r="H443" i="1"/>
  <c r="G443" i="1"/>
  <c r="F443" i="1"/>
  <c r="D443" i="1"/>
  <c r="B443" i="1"/>
  <c r="A443" i="1"/>
  <c r="J442" i="1"/>
  <c r="I442" i="1"/>
  <c r="H442" i="1"/>
  <c r="G442" i="1"/>
  <c r="F442" i="1"/>
  <c r="D442" i="1"/>
  <c r="B442" i="1"/>
  <c r="A442" i="1"/>
  <c r="J441" i="1"/>
  <c r="I441" i="1"/>
  <c r="H441" i="1"/>
  <c r="G441" i="1"/>
  <c r="F441" i="1"/>
  <c r="D441" i="1"/>
  <c r="B441" i="1"/>
  <c r="A441" i="1"/>
  <c r="J440" i="1"/>
  <c r="I440" i="1"/>
  <c r="H440" i="1"/>
  <c r="G440" i="1"/>
  <c r="F440" i="1"/>
  <c r="D440" i="1"/>
  <c r="B440" i="1"/>
  <c r="A440" i="1"/>
  <c r="J439" i="1"/>
  <c r="I439" i="1"/>
  <c r="H439" i="1"/>
  <c r="G439" i="1"/>
  <c r="F439" i="1"/>
  <c r="D439" i="1"/>
  <c r="B439" i="1"/>
  <c r="A439" i="1"/>
  <c r="J438" i="1"/>
  <c r="I438" i="1"/>
  <c r="H438" i="1"/>
  <c r="G438" i="1"/>
  <c r="F438" i="1"/>
  <c r="D438" i="1"/>
  <c r="B438" i="1"/>
  <c r="A438" i="1"/>
  <c r="J437" i="1"/>
  <c r="I437" i="1"/>
  <c r="H437" i="1"/>
  <c r="G437" i="1"/>
  <c r="F437" i="1"/>
  <c r="D437" i="1"/>
  <c r="B437" i="1"/>
  <c r="A437" i="1"/>
  <c r="J436" i="1"/>
  <c r="I436" i="1"/>
  <c r="H436" i="1"/>
  <c r="G436" i="1"/>
  <c r="F436" i="1"/>
  <c r="D436" i="1"/>
  <c r="B436" i="1"/>
  <c r="A436" i="1"/>
  <c r="J435" i="1"/>
  <c r="I435" i="1"/>
  <c r="H435" i="1"/>
  <c r="G435" i="1"/>
  <c r="F435" i="1"/>
  <c r="D435" i="1"/>
  <c r="B435" i="1"/>
  <c r="A435" i="1"/>
  <c r="J434" i="1"/>
  <c r="I434" i="1"/>
  <c r="H434" i="1"/>
  <c r="G434" i="1"/>
  <c r="F434" i="1"/>
  <c r="D434" i="1"/>
  <c r="B434" i="1"/>
  <c r="A434" i="1"/>
  <c r="J433" i="1"/>
  <c r="I433" i="1"/>
  <c r="H433" i="1"/>
  <c r="G433" i="1"/>
  <c r="F433" i="1"/>
  <c r="D433" i="1"/>
  <c r="B433" i="1"/>
  <c r="A433" i="1"/>
  <c r="J432" i="1"/>
  <c r="I432" i="1"/>
  <c r="H432" i="1"/>
  <c r="G432" i="1"/>
  <c r="F432" i="1"/>
  <c r="D432" i="1"/>
  <c r="B432" i="1"/>
  <c r="A432" i="1"/>
  <c r="J431" i="1"/>
  <c r="I431" i="1"/>
  <c r="H431" i="1"/>
  <c r="G431" i="1"/>
  <c r="F431" i="1"/>
  <c r="D431" i="1"/>
  <c r="B431" i="1"/>
  <c r="A431" i="1"/>
  <c r="J430" i="1"/>
  <c r="I430" i="1"/>
  <c r="H430" i="1"/>
  <c r="G430" i="1"/>
  <c r="F430" i="1"/>
  <c r="D430" i="1"/>
  <c r="B430" i="1"/>
  <c r="A430" i="1"/>
  <c r="J429" i="1"/>
  <c r="I429" i="1"/>
  <c r="H429" i="1"/>
  <c r="G429" i="1"/>
  <c r="F429" i="1"/>
  <c r="D429" i="1"/>
  <c r="B429" i="1"/>
  <c r="A429" i="1"/>
  <c r="J428" i="1"/>
  <c r="I428" i="1"/>
  <c r="H428" i="1"/>
  <c r="G428" i="1"/>
  <c r="F428" i="1"/>
  <c r="D428" i="1"/>
  <c r="B428" i="1"/>
  <c r="A428" i="1"/>
  <c r="J427" i="1"/>
  <c r="I427" i="1"/>
  <c r="H427" i="1"/>
  <c r="G427" i="1"/>
  <c r="F427" i="1"/>
  <c r="D427" i="1"/>
  <c r="B427" i="1"/>
  <c r="A427" i="1"/>
  <c r="J426" i="1"/>
  <c r="I426" i="1"/>
  <c r="H426" i="1"/>
  <c r="G426" i="1"/>
  <c r="F426" i="1"/>
  <c r="D426" i="1"/>
  <c r="B426" i="1"/>
  <c r="A426" i="1"/>
  <c r="J425" i="1"/>
  <c r="I425" i="1"/>
  <c r="H425" i="1"/>
  <c r="G425" i="1"/>
  <c r="F425" i="1"/>
  <c r="D425" i="1"/>
  <c r="B425" i="1"/>
  <c r="A425" i="1"/>
  <c r="J424" i="1"/>
  <c r="I424" i="1"/>
  <c r="H424" i="1"/>
  <c r="G424" i="1"/>
  <c r="F424" i="1"/>
  <c r="D424" i="1"/>
  <c r="B424" i="1"/>
  <c r="A424" i="1"/>
  <c r="J423" i="1"/>
  <c r="I423" i="1"/>
  <c r="H423" i="1"/>
  <c r="G423" i="1"/>
  <c r="F423" i="1"/>
  <c r="D423" i="1"/>
  <c r="B423" i="1"/>
  <c r="A423" i="1"/>
  <c r="J422" i="1"/>
  <c r="I422" i="1"/>
  <c r="H422" i="1"/>
  <c r="G422" i="1"/>
  <c r="F422" i="1"/>
  <c r="D422" i="1"/>
  <c r="B422" i="1"/>
  <c r="A422" i="1"/>
  <c r="J421" i="1"/>
  <c r="I421" i="1"/>
  <c r="H421" i="1"/>
  <c r="G421" i="1"/>
  <c r="F421" i="1"/>
  <c r="D421" i="1"/>
  <c r="B421" i="1"/>
  <c r="A421" i="1"/>
  <c r="J420" i="1"/>
  <c r="I420" i="1"/>
  <c r="H420" i="1"/>
  <c r="G420" i="1"/>
  <c r="F420" i="1"/>
  <c r="D420" i="1"/>
  <c r="B420" i="1"/>
  <c r="A420" i="1"/>
  <c r="J419" i="1"/>
  <c r="I419" i="1"/>
  <c r="H419" i="1"/>
  <c r="G419" i="1"/>
  <c r="F419" i="1"/>
  <c r="D419" i="1"/>
  <c r="B419" i="1"/>
  <c r="A419" i="1"/>
  <c r="J418" i="1"/>
  <c r="I418" i="1"/>
  <c r="H418" i="1"/>
  <c r="G418" i="1"/>
  <c r="F418" i="1"/>
  <c r="D418" i="1"/>
  <c r="B418" i="1"/>
  <c r="A418" i="1"/>
  <c r="J417" i="1"/>
  <c r="I417" i="1"/>
  <c r="H417" i="1"/>
  <c r="G417" i="1"/>
  <c r="F417" i="1"/>
  <c r="D417" i="1"/>
  <c r="B417" i="1"/>
  <c r="A417" i="1"/>
  <c r="J416" i="1"/>
  <c r="I416" i="1"/>
  <c r="H416" i="1"/>
  <c r="G416" i="1"/>
  <c r="F416" i="1"/>
  <c r="D416" i="1"/>
  <c r="B416" i="1"/>
  <c r="A416" i="1"/>
  <c r="J415" i="1"/>
  <c r="I415" i="1"/>
  <c r="H415" i="1"/>
  <c r="G415" i="1"/>
  <c r="F415" i="1"/>
  <c r="D415" i="1"/>
  <c r="B415" i="1"/>
  <c r="A415" i="1"/>
  <c r="J414" i="1"/>
  <c r="I414" i="1"/>
  <c r="H414" i="1"/>
  <c r="G414" i="1"/>
  <c r="F414" i="1"/>
  <c r="D414" i="1"/>
  <c r="B414" i="1"/>
  <c r="A414" i="1"/>
  <c r="J413" i="1"/>
  <c r="I413" i="1"/>
  <c r="H413" i="1"/>
  <c r="G413" i="1"/>
  <c r="F413" i="1"/>
  <c r="D413" i="1"/>
  <c r="B413" i="1"/>
  <c r="A413" i="1"/>
  <c r="J412" i="1"/>
  <c r="I412" i="1"/>
  <c r="H412" i="1"/>
  <c r="G412" i="1"/>
  <c r="F412" i="1"/>
  <c r="D412" i="1"/>
  <c r="B412" i="1"/>
  <c r="A412" i="1"/>
  <c r="J411" i="1"/>
  <c r="I411" i="1"/>
  <c r="H411" i="1"/>
  <c r="G411" i="1"/>
  <c r="F411" i="1"/>
  <c r="D411" i="1"/>
  <c r="B411" i="1"/>
  <c r="A411" i="1"/>
  <c r="J410" i="1"/>
  <c r="I410" i="1"/>
  <c r="H410" i="1"/>
  <c r="G410" i="1"/>
  <c r="F410" i="1"/>
  <c r="D410" i="1"/>
  <c r="B410" i="1"/>
  <c r="A410" i="1"/>
  <c r="J409" i="1"/>
  <c r="I409" i="1"/>
  <c r="H409" i="1"/>
  <c r="G409" i="1"/>
  <c r="F409" i="1"/>
  <c r="D409" i="1"/>
  <c r="B409" i="1"/>
  <c r="A409" i="1"/>
  <c r="J408" i="1"/>
  <c r="I408" i="1"/>
  <c r="H408" i="1"/>
  <c r="G408" i="1"/>
  <c r="F408" i="1"/>
  <c r="D408" i="1"/>
  <c r="B408" i="1"/>
  <c r="A408" i="1"/>
  <c r="J407" i="1"/>
  <c r="I407" i="1"/>
  <c r="H407" i="1"/>
  <c r="G407" i="1"/>
  <c r="F407" i="1"/>
  <c r="D407" i="1"/>
  <c r="B407" i="1"/>
  <c r="A407" i="1"/>
  <c r="J406" i="1"/>
  <c r="I406" i="1"/>
  <c r="H406" i="1"/>
  <c r="G406" i="1"/>
  <c r="F406" i="1"/>
  <c r="D406" i="1"/>
  <c r="B406" i="1"/>
  <c r="A406" i="1"/>
  <c r="J405" i="1"/>
  <c r="I405" i="1"/>
  <c r="H405" i="1"/>
  <c r="G405" i="1"/>
  <c r="F405" i="1"/>
  <c r="D405" i="1"/>
  <c r="B405" i="1"/>
  <c r="A405" i="1"/>
  <c r="J404" i="1"/>
  <c r="I404" i="1"/>
  <c r="H404" i="1"/>
  <c r="G404" i="1"/>
  <c r="F404" i="1"/>
  <c r="D404" i="1"/>
  <c r="B404" i="1"/>
  <c r="A404" i="1"/>
  <c r="J403" i="1"/>
  <c r="I403" i="1"/>
  <c r="H403" i="1"/>
  <c r="G403" i="1"/>
  <c r="F403" i="1"/>
  <c r="D403" i="1"/>
  <c r="B403" i="1"/>
  <c r="A403" i="1"/>
  <c r="J402" i="1"/>
  <c r="I402" i="1"/>
  <c r="H402" i="1"/>
  <c r="G402" i="1"/>
  <c r="F402" i="1"/>
  <c r="D402" i="1"/>
  <c r="B402" i="1"/>
  <c r="A402" i="1"/>
  <c r="J401" i="1"/>
  <c r="I401" i="1"/>
  <c r="H401" i="1"/>
  <c r="G401" i="1"/>
  <c r="F401" i="1"/>
  <c r="D401" i="1"/>
  <c r="B401" i="1"/>
  <c r="A401" i="1"/>
  <c r="J400" i="1"/>
  <c r="I400" i="1"/>
  <c r="H400" i="1"/>
  <c r="G400" i="1"/>
  <c r="F400" i="1"/>
  <c r="D400" i="1"/>
  <c r="B400" i="1"/>
  <c r="A400" i="1"/>
  <c r="J399" i="1"/>
  <c r="I399" i="1"/>
  <c r="H399" i="1"/>
  <c r="G399" i="1"/>
  <c r="F399" i="1"/>
  <c r="D399" i="1"/>
  <c r="B399" i="1"/>
  <c r="A399" i="1"/>
  <c r="J398" i="1"/>
  <c r="I398" i="1"/>
  <c r="H398" i="1"/>
  <c r="G398" i="1"/>
  <c r="F398" i="1"/>
  <c r="D398" i="1"/>
  <c r="B398" i="1"/>
  <c r="A398" i="1"/>
  <c r="J397" i="1"/>
  <c r="I397" i="1"/>
  <c r="H397" i="1"/>
  <c r="G397" i="1"/>
  <c r="F397" i="1"/>
  <c r="D397" i="1"/>
  <c r="B397" i="1"/>
  <c r="A397" i="1"/>
  <c r="J396" i="1"/>
  <c r="I396" i="1"/>
  <c r="H396" i="1"/>
  <c r="G396" i="1"/>
  <c r="F396" i="1"/>
  <c r="D396" i="1"/>
  <c r="B396" i="1"/>
  <c r="A396" i="1"/>
  <c r="J395" i="1"/>
  <c r="I395" i="1"/>
  <c r="H395" i="1"/>
  <c r="G395" i="1"/>
  <c r="F395" i="1"/>
  <c r="D395" i="1"/>
  <c r="B395" i="1"/>
  <c r="A395" i="1"/>
  <c r="J394" i="1"/>
  <c r="I394" i="1"/>
  <c r="H394" i="1"/>
  <c r="G394" i="1"/>
  <c r="F394" i="1"/>
  <c r="D394" i="1"/>
  <c r="B394" i="1"/>
  <c r="A394" i="1"/>
  <c r="J393" i="1"/>
  <c r="I393" i="1"/>
  <c r="H393" i="1"/>
  <c r="G393" i="1"/>
  <c r="F393" i="1"/>
  <c r="D393" i="1"/>
  <c r="B393" i="1"/>
  <c r="A393" i="1"/>
  <c r="J392" i="1"/>
  <c r="I392" i="1"/>
  <c r="H392" i="1"/>
  <c r="G392" i="1"/>
  <c r="F392" i="1"/>
  <c r="D392" i="1"/>
  <c r="B392" i="1"/>
  <c r="A392" i="1"/>
  <c r="J391" i="1"/>
  <c r="I391" i="1"/>
  <c r="H391" i="1"/>
  <c r="G391" i="1"/>
  <c r="F391" i="1"/>
  <c r="D391" i="1"/>
  <c r="B391" i="1"/>
  <c r="A391" i="1"/>
  <c r="J390" i="1"/>
  <c r="I390" i="1"/>
  <c r="H390" i="1"/>
  <c r="G390" i="1"/>
  <c r="F390" i="1"/>
  <c r="D390" i="1"/>
  <c r="B390" i="1"/>
  <c r="A390" i="1"/>
  <c r="J389" i="1"/>
  <c r="I389" i="1"/>
  <c r="H389" i="1"/>
  <c r="G389" i="1"/>
  <c r="F389" i="1"/>
  <c r="D389" i="1"/>
  <c r="B389" i="1"/>
  <c r="A389" i="1"/>
  <c r="J388" i="1"/>
  <c r="I388" i="1"/>
  <c r="H388" i="1"/>
  <c r="G388" i="1"/>
  <c r="F388" i="1"/>
  <c r="D388" i="1"/>
  <c r="B388" i="1"/>
  <c r="A388" i="1"/>
  <c r="J387" i="1"/>
  <c r="I387" i="1"/>
  <c r="H387" i="1"/>
  <c r="G387" i="1"/>
  <c r="F387" i="1"/>
  <c r="D387" i="1"/>
  <c r="B387" i="1"/>
  <c r="A387" i="1"/>
  <c r="J386" i="1"/>
  <c r="I386" i="1"/>
  <c r="H386" i="1"/>
  <c r="G386" i="1"/>
  <c r="F386" i="1"/>
  <c r="D386" i="1"/>
  <c r="B386" i="1"/>
  <c r="A386" i="1"/>
  <c r="J385" i="1"/>
  <c r="I385" i="1"/>
  <c r="H385" i="1"/>
  <c r="G385" i="1"/>
  <c r="F385" i="1"/>
  <c r="D385" i="1"/>
  <c r="B385" i="1"/>
  <c r="A385" i="1"/>
  <c r="J384" i="1"/>
  <c r="I384" i="1"/>
  <c r="H384" i="1"/>
  <c r="G384" i="1"/>
  <c r="F384" i="1"/>
  <c r="D384" i="1"/>
  <c r="B384" i="1"/>
  <c r="A384" i="1"/>
  <c r="J383" i="1"/>
  <c r="I383" i="1"/>
  <c r="H383" i="1"/>
  <c r="G383" i="1"/>
  <c r="F383" i="1"/>
  <c r="D383" i="1"/>
  <c r="B383" i="1"/>
  <c r="A383" i="1"/>
  <c r="J382" i="1"/>
  <c r="I382" i="1"/>
  <c r="H382" i="1"/>
  <c r="G382" i="1"/>
  <c r="F382" i="1"/>
  <c r="D382" i="1"/>
  <c r="B382" i="1"/>
  <c r="A382" i="1"/>
  <c r="J381" i="1"/>
  <c r="I381" i="1"/>
  <c r="H381" i="1"/>
  <c r="G381" i="1"/>
  <c r="F381" i="1"/>
  <c r="D381" i="1"/>
  <c r="B381" i="1"/>
  <c r="A381" i="1"/>
  <c r="J380" i="1"/>
  <c r="I380" i="1"/>
  <c r="H380" i="1"/>
  <c r="G380" i="1"/>
  <c r="F380" i="1"/>
  <c r="D380" i="1"/>
  <c r="B380" i="1"/>
  <c r="A380" i="1"/>
  <c r="J379" i="1"/>
  <c r="I379" i="1"/>
  <c r="H379" i="1"/>
  <c r="G379" i="1"/>
  <c r="F379" i="1"/>
  <c r="D379" i="1"/>
  <c r="B379" i="1"/>
  <c r="A379" i="1"/>
  <c r="J378" i="1"/>
  <c r="I378" i="1"/>
  <c r="H378" i="1"/>
  <c r="G378" i="1"/>
  <c r="F378" i="1"/>
  <c r="D378" i="1"/>
  <c r="B378" i="1"/>
  <c r="A378" i="1"/>
  <c r="J377" i="1"/>
  <c r="I377" i="1"/>
  <c r="H377" i="1"/>
  <c r="G377" i="1"/>
  <c r="F377" i="1"/>
  <c r="D377" i="1"/>
  <c r="B377" i="1"/>
  <c r="A377" i="1"/>
  <c r="J376" i="1"/>
  <c r="I376" i="1"/>
  <c r="H376" i="1"/>
  <c r="G376" i="1"/>
  <c r="F376" i="1"/>
  <c r="D376" i="1"/>
  <c r="B376" i="1"/>
  <c r="A376" i="1"/>
  <c r="J375" i="1"/>
  <c r="I375" i="1"/>
  <c r="H375" i="1"/>
  <c r="G375" i="1"/>
  <c r="F375" i="1"/>
  <c r="D375" i="1"/>
  <c r="B375" i="1"/>
  <c r="A375" i="1"/>
  <c r="J374" i="1"/>
  <c r="I374" i="1"/>
  <c r="H374" i="1"/>
  <c r="G374" i="1"/>
  <c r="F374" i="1"/>
  <c r="D374" i="1"/>
  <c r="B374" i="1"/>
  <c r="A374" i="1"/>
  <c r="J373" i="1"/>
  <c r="I373" i="1"/>
  <c r="H373" i="1"/>
  <c r="G373" i="1"/>
  <c r="F373" i="1"/>
  <c r="D373" i="1"/>
  <c r="B373" i="1"/>
  <c r="A373" i="1"/>
  <c r="J372" i="1"/>
  <c r="I372" i="1"/>
  <c r="H372" i="1"/>
  <c r="G372" i="1"/>
  <c r="F372" i="1"/>
  <c r="D372" i="1"/>
  <c r="B372" i="1"/>
  <c r="A372" i="1"/>
  <c r="J371" i="1"/>
  <c r="I371" i="1"/>
  <c r="H371" i="1"/>
  <c r="G371" i="1"/>
  <c r="F371" i="1"/>
  <c r="D371" i="1"/>
  <c r="B371" i="1"/>
  <c r="A371" i="1"/>
  <c r="J370" i="1"/>
  <c r="I370" i="1"/>
  <c r="H370" i="1"/>
  <c r="G370" i="1"/>
  <c r="F370" i="1"/>
  <c r="D370" i="1"/>
  <c r="B370" i="1"/>
  <c r="A370" i="1"/>
  <c r="J369" i="1"/>
  <c r="I369" i="1"/>
  <c r="H369" i="1"/>
  <c r="G369" i="1"/>
  <c r="F369" i="1"/>
  <c r="D369" i="1"/>
  <c r="B369" i="1"/>
  <c r="A369" i="1"/>
  <c r="J368" i="1"/>
  <c r="I368" i="1"/>
  <c r="H368" i="1"/>
  <c r="G368" i="1"/>
  <c r="F368" i="1"/>
  <c r="D368" i="1"/>
  <c r="B368" i="1"/>
  <c r="A368" i="1"/>
  <c r="J367" i="1"/>
  <c r="I367" i="1"/>
  <c r="H367" i="1"/>
  <c r="G367" i="1"/>
  <c r="F367" i="1"/>
  <c r="D367" i="1"/>
  <c r="B367" i="1"/>
  <c r="A367" i="1"/>
  <c r="J366" i="1"/>
  <c r="I366" i="1"/>
  <c r="H366" i="1"/>
  <c r="G366" i="1"/>
  <c r="F366" i="1"/>
  <c r="D366" i="1"/>
  <c r="B366" i="1"/>
  <c r="A366" i="1"/>
  <c r="J365" i="1"/>
  <c r="I365" i="1"/>
  <c r="H365" i="1"/>
  <c r="G365" i="1"/>
  <c r="F365" i="1"/>
  <c r="D365" i="1"/>
  <c r="B365" i="1"/>
  <c r="A365" i="1"/>
  <c r="J364" i="1"/>
  <c r="I364" i="1"/>
  <c r="H364" i="1"/>
  <c r="G364" i="1"/>
  <c r="F364" i="1"/>
  <c r="D364" i="1"/>
  <c r="B364" i="1"/>
  <c r="A364" i="1"/>
  <c r="J363" i="1"/>
  <c r="I363" i="1"/>
  <c r="H363" i="1"/>
  <c r="G363" i="1"/>
  <c r="F363" i="1"/>
  <c r="D363" i="1"/>
  <c r="B363" i="1"/>
  <c r="A363" i="1"/>
  <c r="J362" i="1"/>
  <c r="I362" i="1"/>
  <c r="H362" i="1"/>
  <c r="G362" i="1"/>
  <c r="F362" i="1"/>
  <c r="D362" i="1"/>
  <c r="B362" i="1"/>
  <c r="A362" i="1"/>
  <c r="J361" i="1"/>
  <c r="I361" i="1"/>
  <c r="H361" i="1"/>
  <c r="G361" i="1"/>
  <c r="F361" i="1"/>
  <c r="D361" i="1"/>
  <c r="B361" i="1"/>
  <c r="A361" i="1"/>
  <c r="J360" i="1"/>
  <c r="I360" i="1"/>
  <c r="H360" i="1"/>
  <c r="G360" i="1"/>
  <c r="F360" i="1"/>
  <c r="D360" i="1"/>
  <c r="B360" i="1"/>
  <c r="A360" i="1"/>
  <c r="J359" i="1"/>
  <c r="I359" i="1"/>
  <c r="H359" i="1"/>
  <c r="G359" i="1"/>
  <c r="F359" i="1"/>
  <c r="D359" i="1"/>
  <c r="B359" i="1"/>
  <c r="A359" i="1"/>
  <c r="J358" i="1"/>
  <c r="I358" i="1"/>
  <c r="H358" i="1"/>
  <c r="G358" i="1"/>
  <c r="F358" i="1"/>
  <c r="D358" i="1"/>
  <c r="B358" i="1"/>
  <c r="A358" i="1"/>
  <c r="J357" i="1"/>
  <c r="I357" i="1"/>
  <c r="H357" i="1"/>
  <c r="G357" i="1"/>
  <c r="F357" i="1"/>
  <c r="D357" i="1"/>
  <c r="B357" i="1"/>
  <c r="A357" i="1"/>
  <c r="J356" i="1"/>
  <c r="I356" i="1"/>
  <c r="H356" i="1"/>
  <c r="G356" i="1"/>
  <c r="F356" i="1"/>
  <c r="D356" i="1"/>
  <c r="B356" i="1"/>
  <c r="A356" i="1"/>
  <c r="J355" i="1"/>
  <c r="I355" i="1"/>
  <c r="H355" i="1"/>
  <c r="G355" i="1"/>
  <c r="F355" i="1"/>
  <c r="D355" i="1"/>
  <c r="B355" i="1"/>
  <c r="A355" i="1"/>
  <c r="J354" i="1"/>
  <c r="I354" i="1"/>
  <c r="H354" i="1"/>
  <c r="G354" i="1"/>
  <c r="F354" i="1"/>
  <c r="D354" i="1"/>
  <c r="B354" i="1"/>
  <c r="A354" i="1"/>
  <c r="J353" i="1"/>
  <c r="I353" i="1"/>
  <c r="G353" i="1"/>
  <c r="F353" i="1"/>
  <c r="A353" i="1"/>
  <c r="J352" i="1"/>
  <c r="I352" i="1"/>
  <c r="G352" i="1"/>
  <c r="F352" i="1"/>
  <c r="A352" i="1"/>
  <c r="J351" i="1"/>
  <c r="I351" i="1"/>
  <c r="H351" i="1"/>
  <c r="G351" i="1"/>
  <c r="F351" i="1"/>
  <c r="D351" i="1"/>
  <c r="B351" i="1"/>
  <c r="A351" i="1"/>
  <c r="J350" i="1"/>
  <c r="I350" i="1"/>
  <c r="H350" i="1"/>
  <c r="G350" i="1"/>
  <c r="F350" i="1"/>
  <c r="D350" i="1"/>
  <c r="B350" i="1"/>
  <c r="A350" i="1"/>
  <c r="J349" i="1"/>
  <c r="I349" i="1"/>
  <c r="H349" i="1"/>
  <c r="G349" i="1"/>
  <c r="F349" i="1"/>
  <c r="D349" i="1"/>
  <c r="B349" i="1"/>
  <c r="A349" i="1"/>
  <c r="J348" i="1"/>
  <c r="I348" i="1"/>
  <c r="H348" i="1"/>
  <c r="G348" i="1"/>
  <c r="F348" i="1"/>
  <c r="D348" i="1"/>
  <c r="B348" i="1"/>
  <c r="A348" i="1"/>
  <c r="J347" i="1"/>
  <c r="I347" i="1"/>
  <c r="H347" i="1"/>
  <c r="G347" i="1"/>
  <c r="F347" i="1"/>
  <c r="D347" i="1"/>
  <c r="B347" i="1"/>
  <c r="A347" i="1"/>
  <c r="J346" i="1"/>
  <c r="I346" i="1"/>
  <c r="G346" i="1"/>
  <c r="F346" i="1"/>
  <c r="A346" i="1"/>
  <c r="J345" i="1"/>
  <c r="I345" i="1"/>
  <c r="H345" i="1"/>
  <c r="G345" i="1"/>
  <c r="F345" i="1"/>
  <c r="D345" i="1"/>
  <c r="B345" i="1"/>
  <c r="A345" i="1"/>
  <c r="J344" i="1"/>
  <c r="I344" i="1"/>
  <c r="H344" i="1"/>
  <c r="G344" i="1"/>
  <c r="F344" i="1"/>
  <c r="D344" i="1"/>
  <c r="B344" i="1"/>
  <c r="A344" i="1"/>
  <c r="J343" i="1"/>
  <c r="I343" i="1"/>
  <c r="H343" i="1"/>
  <c r="G343" i="1"/>
  <c r="F343" i="1"/>
  <c r="D343" i="1"/>
  <c r="B343" i="1"/>
  <c r="A343" i="1"/>
  <c r="J342" i="1"/>
  <c r="I342" i="1"/>
  <c r="H342" i="1"/>
  <c r="G342" i="1"/>
  <c r="F342" i="1"/>
  <c r="D342" i="1"/>
  <c r="B342" i="1"/>
  <c r="A342" i="1"/>
  <c r="J341" i="1"/>
  <c r="I341" i="1"/>
  <c r="H341" i="1"/>
  <c r="G341" i="1"/>
  <c r="F341" i="1"/>
  <c r="D341" i="1"/>
  <c r="B341" i="1"/>
  <c r="A341" i="1"/>
  <c r="J340" i="1"/>
  <c r="I340" i="1"/>
  <c r="H340" i="1"/>
  <c r="G340" i="1"/>
  <c r="F340" i="1"/>
  <c r="D340" i="1"/>
  <c r="B340" i="1"/>
  <c r="A340" i="1"/>
  <c r="J339" i="1"/>
  <c r="I339" i="1"/>
  <c r="H339" i="1"/>
  <c r="G339" i="1"/>
  <c r="F339" i="1"/>
  <c r="D339" i="1"/>
  <c r="B339" i="1"/>
  <c r="A339" i="1"/>
  <c r="J338" i="1"/>
  <c r="I338" i="1"/>
  <c r="H338" i="1"/>
  <c r="G338" i="1"/>
  <c r="F338" i="1"/>
  <c r="D338" i="1"/>
  <c r="B338" i="1"/>
  <c r="A338" i="1"/>
  <c r="J337" i="1"/>
  <c r="I337" i="1"/>
  <c r="H337" i="1"/>
  <c r="G337" i="1"/>
  <c r="F337" i="1"/>
  <c r="D337" i="1"/>
  <c r="B337" i="1"/>
  <c r="A337" i="1"/>
  <c r="J336" i="1"/>
  <c r="I336" i="1"/>
  <c r="H336" i="1"/>
  <c r="G336" i="1"/>
  <c r="F336" i="1"/>
  <c r="D336" i="1"/>
  <c r="B336" i="1"/>
  <c r="A336" i="1"/>
  <c r="J335" i="1"/>
  <c r="I335" i="1"/>
  <c r="H335" i="1"/>
  <c r="G335" i="1"/>
  <c r="F335" i="1"/>
  <c r="D335" i="1"/>
  <c r="B335" i="1"/>
  <c r="A335" i="1"/>
  <c r="J334" i="1"/>
  <c r="I334" i="1"/>
  <c r="H334" i="1"/>
  <c r="G334" i="1"/>
  <c r="F334" i="1"/>
  <c r="D334" i="1"/>
  <c r="B334" i="1"/>
  <c r="A334" i="1"/>
  <c r="J333" i="1"/>
  <c r="I333" i="1"/>
  <c r="H333" i="1"/>
  <c r="G333" i="1"/>
  <c r="F333" i="1"/>
  <c r="D333" i="1"/>
  <c r="B333" i="1"/>
  <c r="A333" i="1"/>
  <c r="J332" i="1"/>
  <c r="I332" i="1"/>
  <c r="H332" i="1"/>
  <c r="G332" i="1"/>
  <c r="F332" i="1"/>
  <c r="D332" i="1"/>
  <c r="B332" i="1"/>
  <c r="A332" i="1"/>
  <c r="J331" i="1"/>
  <c r="I331" i="1"/>
  <c r="H331" i="1"/>
  <c r="G331" i="1"/>
  <c r="F331" i="1"/>
  <c r="D331" i="1"/>
  <c r="B331" i="1"/>
  <c r="A331" i="1"/>
  <c r="J330" i="1"/>
  <c r="I330" i="1"/>
  <c r="H330" i="1"/>
  <c r="G330" i="1"/>
  <c r="F330" i="1"/>
  <c r="D330" i="1"/>
  <c r="B330" i="1"/>
  <c r="A330" i="1"/>
  <c r="J329" i="1"/>
  <c r="I329" i="1"/>
  <c r="H329" i="1"/>
  <c r="G329" i="1"/>
  <c r="F329" i="1"/>
  <c r="D329" i="1"/>
  <c r="B329" i="1"/>
  <c r="A329" i="1"/>
  <c r="J328" i="1"/>
  <c r="I328" i="1"/>
  <c r="H328" i="1"/>
  <c r="G328" i="1"/>
  <c r="F328" i="1"/>
  <c r="D328" i="1"/>
  <c r="B328" i="1"/>
  <c r="A328" i="1"/>
  <c r="J327" i="1"/>
  <c r="I327" i="1"/>
  <c r="H327" i="1"/>
  <c r="G327" i="1"/>
  <c r="F327" i="1"/>
  <c r="D327" i="1"/>
  <c r="B327" i="1"/>
  <c r="A327" i="1"/>
  <c r="J326" i="1"/>
  <c r="I326" i="1"/>
  <c r="H326" i="1"/>
  <c r="G326" i="1"/>
  <c r="F326" i="1"/>
  <c r="D326" i="1"/>
  <c r="B326" i="1"/>
  <c r="A326" i="1"/>
  <c r="J325" i="1"/>
  <c r="I325" i="1"/>
  <c r="H325" i="1"/>
  <c r="G325" i="1"/>
  <c r="F325" i="1"/>
  <c r="D325" i="1"/>
  <c r="B325" i="1"/>
  <c r="A325" i="1"/>
  <c r="J324" i="1"/>
  <c r="I324" i="1"/>
  <c r="H324" i="1"/>
  <c r="G324" i="1"/>
  <c r="F324" i="1"/>
  <c r="D324" i="1"/>
  <c r="B324" i="1"/>
  <c r="A324" i="1"/>
  <c r="J323" i="1"/>
  <c r="I323" i="1"/>
  <c r="H323" i="1"/>
  <c r="G323" i="1"/>
  <c r="F323" i="1"/>
  <c r="D323" i="1"/>
  <c r="B323" i="1"/>
  <c r="A323" i="1"/>
  <c r="J322" i="1"/>
  <c r="I322" i="1"/>
  <c r="H322" i="1"/>
  <c r="G322" i="1"/>
  <c r="F322" i="1"/>
  <c r="D322" i="1"/>
  <c r="B322" i="1"/>
  <c r="A322" i="1"/>
  <c r="J321" i="1"/>
  <c r="I321" i="1"/>
  <c r="H321" i="1"/>
  <c r="G321" i="1"/>
  <c r="F321" i="1"/>
  <c r="D321" i="1"/>
  <c r="B321" i="1"/>
  <c r="A321" i="1"/>
  <c r="J320" i="1"/>
  <c r="I320" i="1"/>
  <c r="H320" i="1"/>
  <c r="G320" i="1"/>
  <c r="F320" i="1"/>
  <c r="D320" i="1"/>
  <c r="B320" i="1"/>
  <c r="A320" i="1"/>
  <c r="J319" i="1"/>
  <c r="I319" i="1"/>
  <c r="H319" i="1"/>
  <c r="G319" i="1"/>
  <c r="F319" i="1"/>
  <c r="D319" i="1"/>
  <c r="B319" i="1"/>
  <c r="A319" i="1"/>
  <c r="J318" i="1"/>
  <c r="I318" i="1"/>
  <c r="H318" i="1"/>
  <c r="G318" i="1"/>
  <c r="F318" i="1"/>
  <c r="D318" i="1"/>
  <c r="B318" i="1"/>
  <c r="A318" i="1"/>
  <c r="J317" i="1"/>
  <c r="I317" i="1"/>
  <c r="H317" i="1"/>
  <c r="G317" i="1"/>
  <c r="F317" i="1"/>
  <c r="D317" i="1"/>
  <c r="B317" i="1"/>
  <c r="A317" i="1"/>
  <c r="J316" i="1"/>
  <c r="I316" i="1"/>
  <c r="H316" i="1"/>
  <c r="G316" i="1"/>
  <c r="F316" i="1"/>
  <c r="D316" i="1"/>
  <c r="B316" i="1"/>
  <c r="A316" i="1"/>
  <c r="J315" i="1"/>
  <c r="I315" i="1"/>
  <c r="H315" i="1"/>
  <c r="G315" i="1"/>
  <c r="F315" i="1"/>
  <c r="D315" i="1"/>
  <c r="B315" i="1"/>
  <c r="A315" i="1"/>
  <c r="J314" i="1"/>
  <c r="I314" i="1"/>
  <c r="H314" i="1"/>
  <c r="G314" i="1"/>
  <c r="F314" i="1"/>
  <c r="D314" i="1"/>
  <c r="B314" i="1"/>
  <c r="A314" i="1"/>
  <c r="J313" i="1"/>
  <c r="I313" i="1"/>
  <c r="H313" i="1"/>
  <c r="G313" i="1"/>
  <c r="F313" i="1"/>
  <c r="D313" i="1"/>
  <c r="B313" i="1"/>
  <c r="A313" i="1"/>
  <c r="J312" i="1"/>
  <c r="I312" i="1"/>
  <c r="H312" i="1"/>
  <c r="G312" i="1"/>
  <c r="F312" i="1"/>
  <c r="D312" i="1"/>
  <c r="B312" i="1"/>
  <c r="A312" i="1"/>
  <c r="J311" i="1"/>
  <c r="I311" i="1"/>
  <c r="H311" i="1"/>
  <c r="G311" i="1"/>
  <c r="F311" i="1"/>
  <c r="D311" i="1"/>
  <c r="B311" i="1"/>
  <c r="A311" i="1"/>
  <c r="J310" i="1"/>
  <c r="I310" i="1"/>
  <c r="H310" i="1"/>
  <c r="G310" i="1"/>
  <c r="F310" i="1"/>
  <c r="D310" i="1"/>
  <c r="B310" i="1"/>
  <c r="A310" i="1"/>
  <c r="J309" i="1"/>
  <c r="I309" i="1"/>
  <c r="H309" i="1"/>
  <c r="G309" i="1"/>
  <c r="F309" i="1"/>
  <c r="D309" i="1"/>
  <c r="B309" i="1"/>
  <c r="A309" i="1"/>
  <c r="J308" i="1"/>
  <c r="I308" i="1"/>
  <c r="H308" i="1"/>
  <c r="G308" i="1"/>
  <c r="F308" i="1"/>
  <c r="D308" i="1"/>
  <c r="B308" i="1"/>
  <c r="A308" i="1"/>
  <c r="J307" i="1"/>
  <c r="I307" i="1"/>
  <c r="H307" i="1"/>
  <c r="G307" i="1"/>
  <c r="F307" i="1"/>
  <c r="D307" i="1"/>
  <c r="B307" i="1"/>
  <c r="A307" i="1"/>
  <c r="J306" i="1"/>
  <c r="I306" i="1"/>
  <c r="H306" i="1"/>
  <c r="G306" i="1"/>
  <c r="F306" i="1"/>
  <c r="D306" i="1"/>
  <c r="B306" i="1"/>
  <c r="A306" i="1"/>
  <c r="J305" i="1"/>
  <c r="I305" i="1"/>
  <c r="H305" i="1"/>
  <c r="G305" i="1"/>
  <c r="F305" i="1"/>
  <c r="D305" i="1"/>
  <c r="B305" i="1"/>
  <c r="A305" i="1"/>
  <c r="J304" i="1"/>
  <c r="I304" i="1"/>
  <c r="H304" i="1"/>
  <c r="G304" i="1"/>
  <c r="F304" i="1"/>
  <c r="D304" i="1"/>
  <c r="B304" i="1"/>
  <c r="A304" i="1"/>
  <c r="J303" i="1"/>
  <c r="I303" i="1"/>
  <c r="H303" i="1"/>
  <c r="G303" i="1"/>
  <c r="F303" i="1"/>
  <c r="D303" i="1"/>
  <c r="B303" i="1"/>
  <c r="A303" i="1"/>
  <c r="J302" i="1"/>
  <c r="I302" i="1"/>
  <c r="H302" i="1"/>
  <c r="G302" i="1"/>
  <c r="F302" i="1"/>
  <c r="D302" i="1"/>
  <c r="B302" i="1"/>
  <c r="A302" i="1"/>
  <c r="J301" i="1"/>
  <c r="I301" i="1"/>
  <c r="H301" i="1"/>
  <c r="G301" i="1"/>
  <c r="F301" i="1"/>
  <c r="D301" i="1"/>
  <c r="B301" i="1"/>
  <c r="A301" i="1"/>
  <c r="J300" i="1"/>
  <c r="I300" i="1"/>
  <c r="H300" i="1"/>
  <c r="G300" i="1"/>
  <c r="F300" i="1"/>
  <c r="D300" i="1"/>
  <c r="B300" i="1"/>
  <c r="A300" i="1"/>
  <c r="J299" i="1"/>
  <c r="I299" i="1"/>
  <c r="H299" i="1"/>
  <c r="G299" i="1"/>
  <c r="F299" i="1"/>
  <c r="D299" i="1"/>
  <c r="B299" i="1"/>
  <c r="A299" i="1"/>
  <c r="J298" i="1"/>
  <c r="I298" i="1"/>
  <c r="H298" i="1"/>
  <c r="G298" i="1"/>
  <c r="F298" i="1"/>
  <c r="D298" i="1"/>
  <c r="B298" i="1"/>
  <c r="A298" i="1"/>
  <c r="J297" i="1"/>
  <c r="I297" i="1"/>
  <c r="H297" i="1"/>
  <c r="G297" i="1"/>
  <c r="F297" i="1"/>
  <c r="D297" i="1"/>
  <c r="B297" i="1"/>
  <c r="A297" i="1"/>
  <c r="J296" i="1"/>
  <c r="I296" i="1"/>
  <c r="H296" i="1"/>
  <c r="G296" i="1"/>
  <c r="F296" i="1"/>
  <c r="D296" i="1"/>
  <c r="B296" i="1"/>
  <c r="A296" i="1"/>
  <c r="J295" i="1"/>
  <c r="I295" i="1"/>
  <c r="H295" i="1"/>
  <c r="G295" i="1"/>
  <c r="F295" i="1"/>
  <c r="D295" i="1"/>
  <c r="B295" i="1"/>
  <c r="A295" i="1"/>
  <c r="J294" i="1"/>
  <c r="I294" i="1"/>
  <c r="H294" i="1"/>
  <c r="G294" i="1"/>
  <c r="F294" i="1"/>
  <c r="D294" i="1"/>
  <c r="B294" i="1"/>
  <c r="A294" i="1"/>
  <c r="J293" i="1"/>
  <c r="I293" i="1"/>
  <c r="H293" i="1"/>
  <c r="G293" i="1"/>
  <c r="F293" i="1"/>
  <c r="D293" i="1"/>
  <c r="B293" i="1"/>
  <c r="A293" i="1"/>
  <c r="J292" i="1"/>
  <c r="I292" i="1"/>
  <c r="H292" i="1"/>
  <c r="G292" i="1"/>
  <c r="F292" i="1"/>
  <c r="D292" i="1"/>
  <c r="B292" i="1"/>
  <c r="A292" i="1"/>
  <c r="J291" i="1"/>
  <c r="I291" i="1"/>
  <c r="H291" i="1"/>
  <c r="G291" i="1"/>
  <c r="F291" i="1"/>
  <c r="D291" i="1"/>
  <c r="B291" i="1"/>
  <c r="A291" i="1"/>
  <c r="J290" i="1"/>
  <c r="I290" i="1"/>
  <c r="H290" i="1"/>
  <c r="G290" i="1"/>
  <c r="F290" i="1"/>
  <c r="D290" i="1"/>
  <c r="B290" i="1"/>
  <c r="A290" i="1"/>
  <c r="J289" i="1"/>
  <c r="I289" i="1"/>
  <c r="H289" i="1"/>
  <c r="G289" i="1"/>
  <c r="F289" i="1"/>
  <c r="D289" i="1"/>
  <c r="B289" i="1"/>
  <c r="A289" i="1"/>
  <c r="J288" i="1"/>
  <c r="I288" i="1"/>
  <c r="H288" i="1"/>
  <c r="G288" i="1"/>
  <c r="F288" i="1"/>
  <c r="D288" i="1"/>
  <c r="B288" i="1"/>
  <c r="A288" i="1"/>
  <c r="J287" i="1"/>
  <c r="I287" i="1"/>
  <c r="H287" i="1"/>
  <c r="G287" i="1"/>
  <c r="F287" i="1"/>
  <c r="D287" i="1"/>
  <c r="B287" i="1"/>
  <c r="A287" i="1"/>
  <c r="J286" i="1"/>
  <c r="I286" i="1"/>
  <c r="H286" i="1"/>
  <c r="G286" i="1"/>
  <c r="F286" i="1"/>
  <c r="D286" i="1"/>
  <c r="B286" i="1"/>
  <c r="A286" i="1"/>
  <c r="J285" i="1"/>
  <c r="I285" i="1"/>
  <c r="H285" i="1"/>
  <c r="G285" i="1"/>
  <c r="F285" i="1"/>
  <c r="D285" i="1"/>
  <c r="B285" i="1"/>
  <c r="A285" i="1"/>
  <c r="J284" i="1"/>
  <c r="I284" i="1"/>
  <c r="H284" i="1"/>
  <c r="G284" i="1"/>
  <c r="F284" i="1"/>
  <c r="D284" i="1"/>
  <c r="B284" i="1"/>
  <c r="A284" i="1"/>
  <c r="J283" i="1"/>
  <c r="I283" i="1"/>
  <c r="H283" i="1"/>
  <c r="G283" i="1"/>
  <c r="F283" i="1"/>
  <c r="D283" i="1"/>
  <c r="B283" i="1"/>
  <c r="A283" i="1"/>
  <c r="J282" i="1"/>
  <c r="I282" i="1"/>
  <c r="H282" i="1"/>
  <c r="G282" i="1"/>
  <c r="F282" i="1"/>
  <c r="D282" i="1"/>
  <c r="B282" i="1"/>
  <c r="A282" i="1"/>
  <c r="J281" i="1"/>
  <c r="I281" i="1"/>
  <c r="H281" i="1"/>
  <c r="G281" i="1"/>
  <c r="F281" i="1"/>
  <c r="D281" i="1"/>
  <c r="B281" i="1"/>
  <c r="A281" i="1"/>
  <c r="J280" i="1"/>
  <c r="I280" i="1"/>
  <c r="H280" i="1"/>
  <c r="G280" i="1"/>
  <c r="F280" i="1"/>
  <c r="D280" i="1"/>
  <c r="B280" i="1"/>
  <c r="A280" i="1"/>
  <c r="J279" i="1"/>
  <c r="I279" i="1"/>
  <c r="H279" i="1"/>
  <c r="G279" i="1"/>
  <c r="F279" i="1"/>
  <c r="D279" i="1"/>
  <c r="B279" i="1"/>
  <c r="A279" i="1"/>
  <c r="J278" i="1"/>
  <c r="I278" i="1"/>
  <c r="H278" i="1"/>
  <c r="G278" i="1"/>
  <c r="F278" i="1"/>
  <c r="D278" i="1"/>
  <c r="B278" i="1"/>
  <c r="A278" i="1"/>
  <c r="J277" i="1"/>
  <c r="I277" i="1"/>
  <c r="H277" i="1"/>
  <c r="G277" i="1"/>
  <c r="F277" i="1"/>
  <c r="D277" i="1"/>
  <c r="B277" i="1"/>
  <c r="A277" i="1"/>
  <c r="J276" i="1"/>
  <c r="I276" i="1"/>
  <c r="H276" i="1"/>
  <c r="G276" i="1"/>
  <c r="F276" i="1"/>
  <c r="D276" i="1"/>
  <c r="B276" i="1"/>
  <c r="A276" i="1"/>
  <c r="J275" i="1"/>
  <c r="I275" i="1"/>
  <c r="H275" i="1"/>
  <c r="G275" i="1"/>
  <c r="F275" i="1"/>
  <c r="D275" i="1"/>
  <c r="B275" i="1"/>
  <c r="A275" i="1"/>
  <c r="J274" i="1"/>
  <c r="I274" i="1"/>
  <c r="H274" i="1"/>
  <c r="G274" i="1"/>
  <c r="F274" i="1"/>
  <c r="D274" i="1"/>
  <c r="B274" i="1"/>
  <c r="A274" i="1"/>
  <c r="J273" i="1"/>
  <c r="I273" i="1"/>
  <c r="H273" i="1"/>
  <c r="G273" i="1"/>
  <c r="F273" i="1"/>
  <c r="D273" i="1"/>
  <c r="B273" i="1"/>
  <c r="A273" i="1"/>
  <c r="J272" i="1"/>
  <c r="I272" i="1"/>
  <c r="H272" i="1"/>
  <c r="G272" i="1"/>
  <c r="F272" i="1"/>
  <c r="D272" i="1"/>
  <c r="B272" i="1"/>
  <c r="A272" i="1"/>
  <c r="J271" i="1"/>
  <c r="I271" i="1"/>
  <c r="H271" i="1"/>
  <c r="G271" i="1"/>
  <c r="F271" i="1"/>
  <c r="D271" i="1"/>
  <c r="B271" i="1"/>
  <c r="A271" i="1"/>
  <c r="J270" i="1"/>
  <c r="I270" i="1"/>
  <c r="H270" i="1"/>
  <c r="G270" i="1"/>
  <c r="F270" i="1"/>
  <c r="D270" i="1"/>
  <c r="B270" i="1"/>
  <c r="A270" i="1"/>
  <c r="J269" i="1"/>
  <c r="I269" i="1"/>
  <c r="H269" i="1"/>
  <c r="G269" i="1"/>
  <c r="F269" i="1"/>
  <c r="D269" i="1"/>
  <c r="B269" i="1"/>
  <c r="A269" i="1"/>
  <c r="J268" i="1"/>
  <c r="I268" i="1"/>
  <c r="H268" i="1"/>
  <c r="G268" i="1"/>
  <c r="F268" i="1"/>
  <c r="D268" i="1"/>
  <c r="B268" i="1"/>
  <c r="A268" i="1"/>
  <c r="J267" i="1"/>
  <c r="I267" i="1"/>
  <c r="H267" i="1"/>
  <c r="G267" i="1"/>
  <c r="F267" i="1"/>
  <c r="D267" i="1"/>
  <c r="B267" i="1"/>
  <c r="A267" i="1"/>
  <c r="J266" i="1"/>
  <c r="I266" i="1"/>
  <c r="H266" i="1"/>
  <c r="G266" i="1"/>
  <c r="F266" i="1"/>
  <c r="D266" i="1"/>
  <c r="B266" i="1"/>
  <c r="A266" i="1"/>
  <c r="J265" i="1"/>
  <c r="I265" i="1"/>
  <c r="H265" i="1"/>
  <c r="G265" i="1"/>
  <c r="F265" i="1"/>
  <c r="D265" i="1"/>
  <c r="B265" i="1"/>
  <c r="A265" i="1"/>
  <c r="J264" i="1"/>
  <c r="I264" i="1"/>
  <c r="H264" i="1"/>
  <c r="G264" i="1"/>
  <c r="F264" i="1"/>
  <c r="D264" i="1"/>
  <c r="B264" i="1"/>
  <c r="A264" i="1"/>
  <c r="J263" i="1"/>
  <c r="I263" i="1"/>
  <c r="H263" i="1"/>
  <c r="G263" i="1"/>
  <c r="F263" i="1"/>
  <c r="D263" i="1"/>
  <c r="B263" i="1"/>
  <c r="A263" i="1"/>
  <c r="J262" i="1"/>
  <c r="I262" i="1"/>
  <c r="H262" i="1"/>
  <c r="G262" i="1"/>
  <c r="F262" i="1"/>
  <c r="D262" i="1"/>
  <c r="B262" i="1"/>
  <c r="A262" i="1"/>
  <c r="J261" i="1"/>
  <c r="I261" i="1"/>
  <c r="H261" i="1"/>
  <c r="G261" i="1"/>
  <c r="F261" i="1"/>
  <c r="D261" i="1"/>
  <c r="B261" i="1"/>
  <c r="A261" i="1"/>
  <c r="J260" i="1"/>
  <c r="I260" i="1"/>
  <c r="H260" i="1"/>
  <c r="G260" i="1"/>
  <c r="F260" i="1"/>
  <c r="D260" i="1"/>
  <c r="B260" i="1"/>
  <c r="A260" i="1"/>
  <c r="J259" i="1"/>
  <c r="I259" i="1"/>
  <c r="H259" i="1"/>
  <c r="G259" i="1"/>
  <c r="F259" i="1"/>
  <c r="D259" i="1"/>
  <c r="B259" i="1"/>
  <c r="A259" i="1"/>
  <c r="J258" i="1"/>
  <c r="I258" i="1"/>
  <c r="G258" i="1"/>
  <c r="F258" i="1"/>
  <c r="A258" i="1"/>
  <c r="J257" i="1"/>
  <c r="I257" i="1"/>
  <c r="H257" i="1"/>
  <c r="G257" i="1"/>
  <c r="F257" i="1"/>
  <c r="D257" i="1"/>
  <c r="B257" i="1"/>
  <c r="A257" i="1"/>
  <c r="J256" i="1"/>
  <c r="I256" i="1"/>
  <c r="H256" i="1"/>
  <c r="G256" i="1"/>
  <c r="F256" i="1"/>
  <c r="D256" i="1"/>
  <c r="B256" i="1"/>
  <c r="A256" i="1"/>
  <c r="J255" i="1"/>
  <c r="I255" i="1"/>
  <c r="H255" i="1"/>
  <c r="G255" i="1"/>
  <c r="F255" i="1"/>
  <c r="D255" i="1"/>
  <c r="B255" i="1"/>
  <c r="A255" i="1"/>
  <c r="J254" i="1"/>
  <c r="I254" i="1"/>
  <c r="H254" i="1"/>
  <c r="G254" i="1"/>
  <c r="F254" i="1"/>
  <c r="D254" i="1"/>
  <c r="B254" i="1"/>
  <c r="A254" i="1"/>
  <c r="J253" i="1"/>
  <c r="I253" i="1"/>
  <c r="H253" i="1"/>
  <c r="G253" i="1"/>
  <c r="F253" i="1"/>
  <c r="D253" i="1"/>
  <c r="B253" i="1"/>
  <c r="A253" i="1"/>
  <c r="J252" i="1"/>
  <c r="I252" i="1"/>
  <c r="H252" i="1"/>
  <c r="G252" i="1"/>
  <c r="F252" i="1"/>
  <c r="D252" i="1"/>
  <c r="B252" i="1"/>
  <c r="A252" i="1"/>
  <c r="J251" i="1"/>
  <c r="I251" i="1"/>
  <c r="H251" i="1"/>
  <c r="G251" i="1"/>
  <c r="F251" i="1"/>
  <c r="D251" i="1"/>
  <c r="B251" i="1"/>
  <c r="A251" i="1"/>
  <c r="J250" i="1"/>
  <c r="I250" i="1"/>
  <c r="H250" i="1"/>
  <c r="G250" i="1"/>
  <c r="F250" i="1"/>
  <c r="D250" i="1"/>
  <c r="B250" i="1"/>
  <c r="A250" i="1"/>
  <c r="J249" i="1"/>
  <c r="I249" i="1"/>
  <c r="H249" i="1"/>
  <c r="G249" i="1"/>
  <c r="F249" i="1"/>
  <c r="D249" i="1"/>
  <c r="B249" i="1"/>
  <c r="A249" i="1"/>
  <c r="J248" i="1"/>
  <c r="I248" i="1"/>
  <c r="H248" i="1"/>
  <c r="G248" i="1"/>
  <c r="F248" i="1"/>
  <c r="D248" i="1"/>
  <c r="B248" i="1"/>
  <c r="A248" i="1"/>
  <c r="J247" i="1"/>
  <c r="I247" i="1"/>
  <c r="H247" i="1"/>
  <c r="G247" i="1"/>
  <c r="F247" i="1"/>
  <c r="D247" i="1"/>
  <c r="B247" i="1"/>
  <c r="A247" i="1"/>
  <c r="J246" i="1"/>
  <c r="I246" i="1"/>
  <c r="H246" i="1"/>
  <c r="G246" i="1"/>
  <c r="F246" i="1"/>
  <c r="D246" i="1"/>
  <c r="B246" i="1"/>
  <c r="A246" i="1"/>
  <c r="J245" i="1"/>
  <c r="I245" i="1"/>
  <c r="H245" i="1"/>
  <c r="G245" i="1"/>
  <c r="F245" i="1"/>
  <c r="D245" i="1"/>
  <c r="B245" i="1"/>
  <c r="A245" i="1"/>
  <c r="J244" i="1"/>
  <c r="I244" i="1"/>
  <c r="H244" i="1"/>
  <c r="G244" i="1"/>
  <c r="F244" i="1"/>
  <c r="D244" i="1"/>
  <c r="B244" i="1"/>
  <c r="A244" i="1"/>
  <c r="J243" i="1"/>
  <c r="I243" i="1"/>
  <c r="H243" i="1"/>
  <c r="G243" i="1"/>
  <c r="F243" i="1"/>
  <c r="D243" i="1"/>
  <c r="B243" i="1"/>
  <c r="A243" i="1"/>
  <c r="J242" i="1"/>
  <c r="I242" i="1"/>
  <c r="H242" i="1"/>
  <c r="G242" i="1"/>
  <c r="F242" i="1"/>
  <c r="D242" i="1"/>
  <c r="B242" i="1"/>
  <c r="A242" i="1"/>
  <c r="J241" i="1"/>
  <c r="I241" i="1"/>
  <c r="H241" i="1"/>
  <c r="G241" i="1"/>
  <c r="F241" i="1"/>
  <c r="D241" i="1"/>
  <c r="B241" i="1"/>
  <c r="A241" i="1"/>
  <c r="J240" i="1"/>
  <c r="I240" i="1"/>
  <c r="H240" i="1"/>
  <c r="G240" i="1"/>
  <c r="F240" i="1"/>
  <c r="D240" i="1"/>
  <c r="B240" i="1"/>
  <c r="A240" i="1"/>
  <c r="J239" i="1"/>
  <c r="I239" i="1"/>
  <c r="H239" i="1"/>
  <c r="G239" i="1"/>
  <c r="F239" i="1"/>
  <c r="D239" i="1"/>
  <c r="B239" i="1"/>
  <c r="A239" i="1"/>
  <c r="J238" i="1"/>
  <c r="I238" i="1"/>
  <c r="H238" i="1"/>
  <c r="G238" i="1"/>
  <c r="F238" i="1"/>
  <c r="D238" i="1"/>
  <c r="B238" i="1"/>
  <c r="A238" i="1"/>
  <c r="J237" i="1"/>
  <c r="I237" i="1"/>
  <c r="H237" i="1"/>
  <c r="G237" i="1"/>
  <c r="F237" i="1"/>
  <c r="D237" i="1"/>
  <c r="B237" i="1"/>
  <c r="A237" i="1"/>
  <c r="J236" i="1"/>
  <c r="I236" i="1"/>
  <c r="H236" i="1"/>
  <c r="G236" i="1"/>
  <c r="F236" i="1"/>
  <c r="D236" i="1"/>
  <c r="B236" i="1"/>
  <c r="A236" i="1"/>
  <c r="J235" i="1"/>
  <c r="I235" i="1"/>
  <c r="H235" i="1"/>
  <c r="G235" i="1"/>
  <c r="F235" i="1"/>
  <c r="D235" i="1"/>
  <c r="B235" i="1"/>
  <c r="A235" i="1"/>
  <c r="J234" i="1"/>
  <c r="I234" i="1"/>
  <c r="H234" i="1"/>
  <c r="G234" i="1"/>
  <c r="F234" i="1"/>
  <c r="D234" i="1"/>
  <c r="B234" i="1"/>
  <c r="A234" i="1"/>
  <c r="J233" i="1"/>
  <c r="I233" i="1"/>
  <c r="H233" i="1"/>
  <c r="G233" i="1"/>
  <c r="F233" i="1"/>
  <c r="D233" i="1"/>
  <c r="B233" i="1"/>
  <c r="A233" i="1"/>
  <c r="J232" i="1"/>
  <c r="I232" i="1"/>
  <c r="H232" i="1"/>
  <c r="G232" i="1"/>
  <c r="F232" i="1"/>
  <c r="D232" i="1"/>
  <c r="B232" i="1"/>
  <c r="A232" i="1"/>
  <c r="J231" i="1"/>
  <c r="I231" i="1"/>
  <c r="H231" i="1"/>
  <c r="G231" i="1"/>
  <c r="F231" i="1"/>
  <c r="D231" i="1"/>
  <c r="B231" i="1"/>
  <c r="A231" i="1"/>
  <c r="J230" i="1"/>
  <c r="I230" i="1"/>
  <c r="H230" i="1"/>
  <c r="G230" i="1"/>
  <c r="F230" i="1"/>
  <c r="D230" i="1"/>
  <c r="B230" i="1"/>
  <c r="A230" i="1"/>
  <c r="J229" i="1"/>
  <c r="I229" i="1"/>
  <c r="H229" i="1"/>
  <c r="G229" i="1"/>
  <c r="F229" i="1"/>
  <c r="D229" i="1"/>
  <c r="B229" i="1"/>
  <c r="A229" i="1"/>
  <c r="J228" i="1"/>
  <c r="I228" i="1"/>
  <c r="H228" i="1"/>
  <c r="G228" i="1"/>
  <c r="F228" i="1"/>
  <c r="D228" i="1"/>
  <c r="B228" i="1"/>
  <c r="A228" i="1"/>
  <c r="J227" i="1"/>
  <c r="I227" i="1"/>
  <c r="H227" i="1"/>
  <c r="G227" i="1"/>
  <c r="F227" i="1"/>
  <c r="D227" i="1"/>
  <c r="B227" i="1"/>
  <c r="A227" i="1"/>
  <c r="J226" i="1"/>
  <c r="I226" i="1"/>
  <c r="H226" i="1"/>
  <c r="G226" i="1"/>
  <c r="F226" i="1"/>
  <c r="D226" i="1"/>
  <c r="B226" i="1"/>
  <c r="A226" i="1"/>
  <c r="J225" i="1"/>
  <c r="I225" i="1"/>
  <c r="H225" i="1"/>
  <c r="G225" i="1"/>
  <c r="F225" i="1"/>
  <c r="D225" i="1"/>
  <c r="B225" i="1"/>
  <c r="A225" i="1"/>
  <c r="J224" i="1"/>
  <c r="I224" i="1"/>
  <c r="H224" i="1"/>
  <c r="G224" i="1"/>
  <c r="F224" i="1"/>
  <c r="D224" i="1"/>
  <c r="B224" i="1"/>
  <c r="A224" i="1"/>
  <c r="J223" i="1"/>
  <c r="I223" i="1"/>
  <c r="H223" i="1"/>
  <c r="G223" i="1"/>
  <c r="F223" i="1"/>
  <c r="D223" i="1"/>
  <c r="B223" i="1"/>
  <c r="A223" i="1"/>
  <c r="J222" i="1"/>
  <c r="I222" i="1"/>
  <c r="H222" i="1"/>
  <c r="G222" i="1"/>
  <c r="F222" i="1"/>
  <c r="D222" i="1"/>
  <c r="B222" i="1"/>
  <c r="A222" i="1"/>
  <c r="J221" i="1"/>
  <c r="I221" i="1"/>
  <c r="H221" i="1"/>
  <c r="G221" i="1"/>
  <c r="F221" i="1"/>
  <c r="D221" i="1"/>
  <c r="B221" i="1"/>
  <c r="A221" i="1"/>
  <c r="J220" i="1"/>
  <c r="I220" i="1"/>
  <c r="H220" i="1"/>
  <c r="G220" i="1"/>
  <c r="F220" i="1"/>
  <c r="D220" i="1"/>
  <c r="B220" i="1"/>
  <c r="A220" i="1"/>
  <c r="J219" i="1"/>
  <c r="I219" i="1"/>
  <c r="H219" i="1"/>
  <c r="G219" i="1"/>
  <c r="F219" i="1"/>
  <c r="D219" i="1"/>
  <c r="B219" i="1"/>
  <c r="A219" i="1"/>
  <c r="J218" i="1"/>
  <c r="I218" i="1"/>
  <c r="H218" i="1"/>
  <c r="G218" i="1"/>
  <c r="F218" i="1"/>
  <c r="D218" i="1"/>
  <c r="B218" i="1"/>
  <c r="A218" i="1"/>
  <c r="J217" i="1"/>
  <c r="I217" i="1"/>
  <c r="H217" i="1"/>
  <c r="G217" i="1"/>
  <c r="F217" i="1"/>
  <c r="D217" i="1"/>
  <c r="B217" i="1"/>
  <c r="A217" i="1"/>
  <c r="J216" i="1"/>
  <c r="I216" i="1"/>
  <c r="H216" i="1"/>
  <c r="G216" i="1"/>
  <c r="F216" i="1"/>
  <c r="D216" i="1"/>
  <c r="B216" i="1"/>
  <c r="A216" i="1"/>
  <c r="J215" i="1"/>
  <c r="I215" i="1"/>
  <c r="H215" i="1"/>
  <c r="G215" i="1"/>
  <c r="F215" i="1"/>
  <c r="D215" i="1"/>
  <c r="B215" i="1"/>
  <c r="A215" i="1"/>
  <c r="J214" i="1"/>
  <c r="I214" i="1"/>
  <c r="H214" i="1"/>
  <c r="G214" i="1"/>
  <c r="F214" i="1"/>
  <c r="D214" i="1"/>
  <c r="B214" i="1"/>
  <c r="A214" i="1"/>
  <c r="J213" i="1"/>
  <c r="I213" i="1"/>
  <c r="H213" i="1"/>
  <c r="G213" i="1"/>
  <c r="F213" i="1"/>
  <c r="D213" i="1"/>
  <c r="B213" i="1"/>
  <c r="A213" i="1"/>
  <c r="J212" i="1"/>
  <c r="I212" i="1"/>
  <c r="H212" i="1"/>
  <c r="G212" i="1"/>
  <c r="F212" i="1"/>
  <c r="D212" i="1"/>
  <c r="B212" i="1"/>
  <c r="A212" i="1"/>
  <c r="J211" i="1"/>
  <c r="I211" i="1"/>
  <c r="H211" i="1"/>
  <c r="G211" i="1"/>
  <c r="F211" i="1"/>
  <c r="D211" i="1"/>
  <c r="B211" i="1"/>
  <c r="A211" i="1"/>
  <c r="J210" i="1"/>
  <c r="I210" i="1"/>
  <c r="H210" i="1"/>
  <c r="G210" i="1"/>
  <c r="F210" i="1"/>
  <c r="D210" i="1"/>
  <c r="B210" i="1"/>
  <c r="A210" i="1"/>
  <c r="J209" i="1"/>
  <c r="I209" i="1"/>
  <c r="H209" i="1"/>
  <c r="G209" i="1"/>
  <c r="F209" i="1"/>
  <c r="D209" i="1"/>
  <c r="B209" i="1"/>
  <c r="A209" i="1"/>
  <c r="J208" i="1"/>
  <c r="I208" i="1"/>
  <c r="H208" i="1"/>
  <c r="G208" i="1"/>
  <c r="F208" i="1"/>
  <c r="D208" i="1"/>
  <c r="B208" i="1"/>
  <c r="A208" i="1"/>
  <c r="J207" i="1"/>
  <c r="I207" i="1"/>
  <c r="H207" i="1"/>
  <c r="G207" i="1"/>
  <c r="F207" i="1"/>
  <c r="D207" i="1"/>
  <c r="B207" i="1"/>
  <c r="A207" i="1"/>
  <c r="J206" i="1"/>
  <c r="I206" i="1"/>
  <c r="H206" i="1"/>
  <c r="G206" i="1"/>
  <c r="F206" i="1"/>
  <c r="D206" i="1"/>
  <c r="B206" i="1"/>
  <c r="A206" i="1"/>
  <c r="J205" i="1"/>
  <c r="I205" i="1"/>
  <c r="H205" i="1"/>
  <c r="G205" i="1"/>
  <c r="F205" i="1"/>
  <c r="D205" i="1"/>
  <c r="B205" i="1"/>
  <c r="A205" i="1"/>
  <c r="J204" i="1"/>
  <c r="I204" i="1"/>
  <c r="H204" i="1"/>
  <c r="G204" i="1"/>
  <c r="F204" i="1"/>
  <c r="D204" i="1"/>
  <c r="B204" i="1"/>
  <c r="A204" i="1"/>
  <c r="J203" i="1"/>
  <c r="I203" i="1"/>
  <c r="H203" i="1"/>
  <c r="G203" i="1"/>
  <c r="F203" i="1"/>
  <c r="D203" i="1"/>
  <c r="B203" i="1"/>
  <c r="A203" i="1"/>
  <c r="J202" i="1"/>
  <c r="I202" i="1"/>
  <c r="H202" i="1"/>
  <c r="G202" i="1"/>
  <c r="F202" i="1"/>
  <c r="D202" i="1"/>
  <c r="B202" i="1"/>
  <c r="A202" i="1"/>
  <c r="J201" i="1"/>
  <c r="I201" i="1"/>
  <c r="H201" i="1"/>
  <c r="G201" i="1"/>
  <c r="F201" i="1"/>
  <c r="D201" i="1"/>
  <c r="B201" i="1"/>
  <c r="A201" i="1"/>
  <c r="J200" i="1"/>
  <c r="I200" i="1"/>
  <c r="H200" i="1"/>
  <c r="G200" i="1"/>
  <c r="F200" i="1"/>
  <c r="D200" i="1"/>
  <c r="B200" i="1"/>
  <c r="A200" i="1"/>
  <c r="J199" i="1"/>
  <c r="I199" i="1"/>
  <c r="H199" i="1"/>
  <c r="G199" i="1"/>
  <c r="F199" i="1"/>
  <c r="D199" i="1"/>
  <c r="B199" i="1"/>
  <c r="A199" i="1"/>
  <c r="J198" i="1"/>
  <c r="I198" i="1"/>
  <c r="H198" i="1"/>
  <c r="G198" i="1"/>
  <c r="F198" i="1"/>
  <c r="D198" i="1"/>
  <c r="B198" i="1"/>
  <c r="A198" i="1"/>
  <c r="J197" i="1"/>
  <c r="I197" i="1"/>
  <c r="H197" i="1"/>
  <c r="G197" i="1"/>
  <c r="F197" i="1"/>
  <c r="D197" i="1"/>
  <c r="B197" i="1"/>
  <c r="A197" i="1"/>
  <c r="J196" i="1"/>
  <c r="I196" i="1"/>
  <c r="H196" i="1"/>
  <c r="G196" i="1"/>
  <c r="F196" i="1"/>
  <c r="D196" i="1"/>
  <c r="B196" i="1"/>
  <c r="A196" i="1"/>
  <c r="J195" i="1"/>
  <c r="I195" i="1"/>
  <c r="H195" i="1"/>
  <c r="G195" i="1"/>
  <c r="F195" i="1"/>
  <c r="D195" i="1"/>
  <c r="B195" i="1"/>
  <c r="A195" i="1"/>
  <c r="J194" i="1"/>
  <c r="I194" i="1"/>
  <c r="H194" i="1"/>
  <c r="G194" i="1"/>
  <c r="F194" i="1"/>
  <c r="D194" i="1"/>
  <c r="B194" i="1"/>
  <c r="A194" i="1"/>
  <c r="J193" i="1"/>
  <c r="I193" i="1"/>
  <c r="H193" i="1"/>
  <c r="G193" i="1"/>
  <c r="F193" i="1"/>
  <c r="D193" i="1"/>
  <c r="B193" i="1"/>
  <c r="A193" i="1"/>
  <c r="J192" i="1"/>
  <c r="I192" i="1"/>
  <c r="H192" i="1"/>
  <c r="G192" i="1"/>
  <c r="F192" i="1"/>
  <c r="D192" i="1"/>
  <c r="B192" i="1"/>
  <c r="A192" i="1"/>
  <c r="J191" i="1"/>
  <c r="I191" i="1"/>
  <c r="H191" i="1"/>
  <c r="G191" i="1"/>
  <c r="F191" i="1"/>
  <c r="D191" i="1"/>
  <c r="B191" i="1"/>
  <c r="A191" i="1"/>
  <c r="J190" i="1"/>
  <c r="I190" i="1"/>
  <c r="H190" i="1"/>
  <c r="G190" i="1"/>
  <c r="F190" i="1"/>
  <c r="D190" i="1"/>
  <c r="B190" i="1"/>
  <c r="A190" i="1"/>
  <c r="J189" i="1"/>
  <c r="I189" i="1"/>
  <c r="H189" i="1"/>
  <c r="G189" i="1"/>
  <c r="F189" i="1"/>
  <c r="D189" i="1"/>
  <c r="B189" i="1"/>
  <c r="A189" i="1"/>
  <c r="J188" i="1"/>
  <c r="I188" i="1"/>
  <c r="H188" i="1"/>
  <c r="G188" i="1"/>
  <c r="F188" i="1"/>
  <c r="D188" i="1"/>
  <c r="B188" i="1"/>
  <c r="A188" i="1"/>
  <c r="J187" i="1"/>
  <c r="I187" i="1"/>
  <c r="H187" i="1"/>
  <c r="G187" i="1"/>
  <c r="F187" i="1"/>
  <c r="D187" i="1"/>
  <c r="B187" i="1"/>
  <c r="A187" i="1"/>
  <c r="J186" i="1"/>
  <c r="I186" i="1"/>
  <c r="H186" i="1"/>
  <c r="G186" i="1"/>
  <c r="F186" i="1"/>
  <c r="D186" i="1"/>
  <c r="B186" i="1"/>
  <c r="A186" i="1"/>
  <c r="J185" i="1"/>
  <c r="I185" i="1"/>
  <c r="H185" i="1"/>
  <c r="G185" i="1"/>
  <c r="F185" i="1"/>
  <c r="D185" i="1"/>
  <c r="B185" i="1"/>
  <c r="A185" i="1"/>
  <c r="J184" i="1"/>
  <c r="I184" i="1"/>
  <c r="H184" i="1"/>
  <c r="G184" i="1"/>
  <c r="F184" i="1"/>
  <c r="D184" i="1"/>
  <c r="B184" i="1"/>
  <c r="A184" i="1"/>
  <c r="J183" i="1"/>
  <c r="I183" i="1"/>
  <c r="H183" i="1"/>
  <c r="G183" i="1"/>
  <c r="F183" i="1"/>
  <c r="D183" i="1"/>
  <c r="B183" i="1"/>
  <c r="A183" i="1"/>
  <c r="J182" i="1"/>
  <c r="I182" i="1"/>
  <c r="H182" i="1"/>
  <c r="G182" i="1"/>
  <c r="F182" i="1"/>
  <c r="D182" i="1"/>
  <c r="B182" i="1"/>
  <c r="A182" i="1"/>
  <c r="J181" i="1"/>
  <c r="I181" i="1"/>
  <c r="H181" i="1"/>
  <c r="G181" i="1"/>
  <c r="F181" i="1"/>
  <c r="D181" i="1"/>
  <c r="B181" i="1"/>
  <c r="A181" i="1"/>
  <c r="J180" i="1"/>
  <c r="I180" i="1"/>
  <c r="H180" i="1"/>
  <c r="G180" i="1"/>
  <c r="F180" i="1"/>
  <c r="D180" i="1"/>
  <c r="B180" i="1"/>
  <c r="A180" i="1"/>
  <c r="J179" i="1"/>
  <c r="I179" i="1"/>
  <c r="H179" i="1"/>
  <c r="G179" i="1"/>
  <c r="F179" i="1"/>
  <c r="D179" i="1"/>
  <c r="B179" i="1"/>
  <c r="A179" i="1"/>
  <c r="J178" i="1"/>
  <c r="I178" i="1"/>
  <c r="H178" i="1"/>
  <c r="G178" i="1"/>
  <c r="F178" i="1"/>
  <c r="D178" i="1"/>
  <c r="B178" i="1"/>
  <c r="A178" i="1"/>
  <c r="J177" i="1"/>
  <c r="I177" i="1"/>
  <c r="H177" i="1"/>
  <c r="G177" i="1"/>
  <c r="F177" i="1"/>
  <c r="D177" i="1"/>
  <c r="B177" i="1"/>
  <c r="A177" i="1"/>
  <c r="J176" i="1"/>
  <c r="I176" i="1"/>
  <c r="H176" i="1"/>
  <c r="G176" i="1"/>
  <c r="F176" i="1"/>
  <c r="D176" i="1"/>
  <c r="B176" i="1"/>
  <c r="A176" i="1"/>
  <c r="J175" i="1"/>
  <c r="I175" i="1"/>
  <c r="H175" i="1"/>
  <c r="G175" i="1"/>
  <c r="F175" i="1"/>
  <c r="D175" i="1"/>
  <c r="B175" i="1"/>
  <c r="A175" i="1"/>
  <c r="J174" i="1"/>
  <c r="I174" i="1"/>
  <c r="H174" i="1"/>
  <c r="G174" i="1"/>
  <c r="F174" i="1"/>
  <c r="D174" i="1"/>
  <c r="B174" i="1"/>
  <c r="A174" i="1"/>
  <c r="J173" i="1"/>
  <c r="I173" i="1"/>
  <c r="H173" i="1"/>
  <c r="G173" i="1"/>
  <c r="F173" i="1"/>
  <c r="D173" i="1"/>
  <c r="B173" i="1"/>
  <c r="A173" i="1"/>
  <c r="J172" i="1"/>
  <c r="I172" i="1"/>
  <c r="H172" i="1"/>
  <c r="G172" i="1"/>
  <c r="F172" i="1"/>
  <c r="D172" i="1"/>
  <c r="B172" i="1"/>
  <c r="A172" i="1"/>
  <c r="J171" i="1"/>
  <c r="I171" i="1"/>
  <c r="H171" i="1"/>
  <c r="G171" i="1"/>
  <c r="F171" i="1"/>
  <c r="D171" i="1"/>
  <c r="B171" i="1"/>
  <c r="A171" i="1"/>
  <c r="J170" i="1"/>
  <c r="I170" i="1"/>
  <c r="H170" i="1"/>
  <c r="G170" i="1"/>
  <c r="F170" i="1"/>
  <c r="D170" i="1"/>
  <c r="B170" i="1"/>
  <c r="A170" i="1"/>
  <c r="J169" i="1"/>
  <c r="I169" i="1"/>
  <c r="H169" i="1"/>
  <c r="G169" i="1"/>
  <c r="F169" i="1"/>
  <c r="D169" i="1"/>
  <c r="B169" i="1"/>
  <c r="A169" i="1"/>
  <c r="J168" i="1"/>
  <c r="I168" i="1"/>
  <c r="H168" i="1"/>
  <c r="G168" i="1"/>
  <c r="F168" i="1"/>
  <c r="D168" i="1"/>
  <c r="B168" i="1"/>
  <c r="A168" i="1"/>
  <c r="J167" i="1"/>
  <c r="I167" i="1"/>
  <c r="H167" i="1"/>
  <c r="G167" i="1"/>
  <c r="F167" i="1"/>
  <c r="D167" i="1"/>
  <c r="B167" i="1"/>
  <c r="A167" i="1"/>
  <c r="J166" i="1"/>
  <c r="I166" i="1"/>
  <c r="H166" i="1"/>
  <c r="G166" i="1"/>
  <c r="F166" i="1"/>
  <c r="D166" i="1"/>
  <c r="B166" i="1"/>
  <c r="A166" i="1"/>
  <c r="J165" i="1"/>
  <c r="I165" i="1"/>
  <c r="H165" i="1"/>
  <c r="G165" i="1"/>
  <c r="F165" i="1"/>
  <c r="D165" i="1"/>
  <c r="B165" i="1"/>
  <c r="A165" i="1"/>
  <c r="J164" i="1"/>
  <c r="I164" i="1"/>
  <c r="H164" i="1"/>
  <c r="G164" i="1"/>
  <c r="F164" i="1"/>
  <c r="D164" i="1"/>
  <c r="B164" i="1"/>
  <c r="A164" i="1"/>
  <c r="J163" i="1"/>
  <c r="I163" i="1"/>
  <c r="H163" i="1"/>
  <c r="G163" i="1"/>
  <c r="F163" i="1"/>
  <c r="D163" i="1"/>
  <c r="B163" i="1"/>
  <c r="A163" i="1"/>
  <c r="J162" i="1"/>
  <c r="I162" i="1"/>
  <c r="H162" i="1"/>
  <c r="G162" i="1"/>
  <c r="F162" i="1"/>
  <c r="D162" i="1"/>
  <c r="B162" i="1"/>
  <c r="A162" i="1"/>
  <c r="J161" i="1"/>
  <c r="I161" i="1"/>
  <c r="H161" i="1"/>
  <c r="G161" i="1"/>
  <c r="F161" i="1"/>
  <c r="D161" i="1"/>
  <c r="B161" i="1"/>
  <c r="A161" i="1"/>
  <c r="J160" i="1"/>
  <c r="I160" i="1"/>
  <c r="H160" i="1"/>
  <c r="G160" i="1"/>
  <c r="F160" i="1"/>
  <c r="D160" i="1"/>
  <c r="B160" i="1"/>
  <c r="A160" i="1"/>
  <c r="J159" i="1"/>
  <c r="I159" i="1"/>
  <c r="H159" i="1"/>
  <c r="G159" i="1"/>
  <c r="F159" i="1"/>
  <c r="D159" i="1"/>
  <c r="B159" i="1"/>
  <c r="A159" i="1"/>
  <c r="J158" i="1"/>
  <c r="I158" i="1"/>
  <c r="H158" i="1"/>
  <c r="G158" i="1"/>
  <c r="F158" i="1"/>
  <c r="D158" i="1"/>
  <c r="B158" i="1"/>
  <c r="A158" i="1"/>
  <c r="J157" i="1"/>
  <c r="I157" i="1"/>
  <c r="H157" i="1"/>
  <c r="G157" i="1"/>
  <c r="F157" i="1"/>
  <c r="D157" i="1"/>
  <c r="B157" i="1"/>
  <c r="A157" i="1"/>
  <c r="J156" i="1"/>
  <c r="I156" i="1"/>
  <c r="H156" i="1"/>
  <c r="G156" i="1"/>
  <c r="F156" i="1"/>
  <c r="D156" i="1"/>
  <c r="B156" i="1"/>
  <c r="A156" i="1"/>
  <c r="J155" i="1"/>
  <c r="I155" i="1"/>
  <c r="H155" i="1"/>
  <c r="G155" i="1"/>
  <c r="F155" i="1"/>
  <c r="D155" i="1"/>
  <c r="B155" i="1"/>
  <c r="A155" i="1"/>
  <c r="J154" i="1"/>
  <c r="I154" i="1"/>
  <c r="H154" i="1"/>
  <c r="G154" i="1"/>
  <c r="F154" i="1"/>
  <c r="D154" i="1"/>
  <c r="B154" i="1"/>
  <c r="A154" i="1"/>
  <c r="J153" i="1"/>
  <c r="I153" i="1"/>
  <c r="H153" i="1"/>
  <c r="G153" i="1"/>
  <c r="F153" i="1"/>
  <c r="D153" i="1"/>
  <c r="B153" i="1"/>
  <c r="A153" i="1"/>
  <c r="J152" i="1"/>
  <c r="I152" i="1"/>
  <c r="H152" i="1"/>
  <c r="G152" i="1"/>
  <c r="F152" i="1"/>
  <c r="D152" i="1"/>
  <c r="B152" i="1"/>
  <c r="A152" i="1"/>
  <c r="J151" i="1"/>
  <c r="I151" i="1"/>
  <c r="H151" i="1"/>
  <c r="G151" i="1"/>
  <c r="F151" i="1"/>
  <c r="D151" i="1"/>
  <c r="B151" i="1"/>
  <c r="A151" i="1"/>
  <c r="J150" i="1"/>
  <c r="I150" i="1"/>
  <c r="H150" i="1"/>
  <c r="G150" i="1"/>
  <c r="F150" i="1"/>
  <c r="D150" i="1"/>
  <c r="B150" i="1"/>
  <c r="A150" i="1"/>
  <c r="J149" i="1"/>
  <c r="I149" i="1"/>
  <c r="H149" i="1"/>
  <c r="G149" i="1"/>
  <c r="F149" i="1"/>
  <c r="D149" i="1"/>
  <c r="B149" i="1"/>
  <c r="A149" i="1"/>
  <c r="J148" i="1"/>
  <c r="I148" i="1"/>
  <c r="H148" i="1"/>
  <c r="G148" i="1"/>
  <c r="F148" i="1"/>
  <c r="D148" i="1"/>
  <c r="B148" i="1"/>
  <c r="A148" i="1"/>
  <c r="J147" i="1"/>
  <c r="I147" i="1"/>
  <c r="H147" i="1"/>
  <c r="G147" i="1"/>
  <c r="F147" i="1"/>
  <c r="D147" i="1"/>
  <c r="B147" i="1"/>
  <c r="A147" i="1"/>
  <c r="J146" i="1"/>
  <c r="I146" i="1"/>
  <c r="H146" i="1"/>
  <c r="G146" i="1"/>
  <c r="F146" i="1"/>
  <c r="D146" i="1"/>
  <c r="B146" i="1"/>
  <c r="A146" i="1"/>
  <c r="J145" i="1"/>
  <c r="I145" i="1"/>
  <c r="H145" i="1"/>
  <c r="G145" i="1"/>
  <c r="F145" i="1"/>
  <c r="D145" i="1"/>
  <c r="B145" i="1"/>
  <c r="A145" i="1"/>
  <c r="J144" i="1"/>
  <c r="I144" i="1"/>
  <c r="H144" i="1"/>
  <c r="G144" i="1"/>
  <c r="F144" i="1"/>
  <c r="D144" i="1"/>
  <c r="B144" i="1"/>
  <c r="A144" i="1"/>
  <c r="J143" i="1"/>
  <c r="I143" i="1"/>
  <c r="H143" i="1"/>
  <c r="G143" i="1"/>
  <c r="F143" i="1"/>
  <c r="D143" i="1"/>
  <c r="B143" i="1"/>
  <c r="A143" i="1"/>
  <c r="J142" i="1"/>
  <c r="I142" i="1"/>
  <c r="H142" i="1"/>
  <c r="G142" i="1"/>
  <c r="F142" i="1"/>
  <c r="D142" i="1"/>
  <c r="B142" i="1"/>
  <c r="A142" i="1"/>
  <c r="J141" i="1"/>
  <c r="I141" i="1"/>
  <c r="H141" i="1"/>
  <c r="G141" i="1"/>
  <c r="F141" i="1"/>
  <c r="D141" i="1"/>
  <c r="B141" i="1"/>
  <c r="A141" i="1"/>
  <c r="J140" i="1"/>
  <c r="I140" i="1"/>
  <c r="H140" i="1"/>
  <c r="G140" i="1"/>
  <c r="F140" i="1"/>
  <c r="D140" i="1"/>
  <c r="B140" i="1"/>
  <c r="A140" i="1"/>
  <c r="J139" i="1"/>
  <c r="I139" i="1"/>
  <c r="H139" i="1"/>
  <c r="G139" i="1"/>
  <c r="F139" i="1"/>
  <c r="D139" i="1"/>
  <c r="B139" i="1"/>
  <c r="A139" i="1"/>
  <c r="J138" i="1"/>
  <c r="I138" i="1"/>
  <c r="H138" i="1"/>
  <c r="G138" i="1"/>
  <c r="F138" i="1"/>
  <c r="D138" i="1"/>
  <c r="B138" i="1"/>
  <c r="A138" i="1"/>
  <c r="J137" i="1"/>
  <c r="I137" i="1"/>
  <c r="H137" i="1"/>
  <c r="G137" i="1"/>
  <c r="F137" i="1"/>
  <c r="D137" i="1"/>
  <c r="B137" i="1"/>
  <c r="A137" i="1"/>
  <c r="J136" i="1"/>
  <c r="I136" i="1"/>
  <c r="H136" i="1"/>
  <c r="G136" i="1"/>
  <c r="F136" i="1"/>
  <c r="D136" i="1"/>
  <c r="B136" i="1"/>
  <c r="A136" i="1"/>
  <c r="J135" i="1"/>
  <c r="I135" i="1"/>
  <c r="H135" i="1"/>
  <c r="G135" i="1"/>
  <c r="F135" i="1"/>
  <c r="D135" i="1"/>
  <c r="B135" i="1"/>
  <c r="A135" i="1"/>
  <c r="J134" i="1"/>
  <c r="I134" i="1"/>
  <c r="H134" i="1"/>
  <c r="G134" i="1"/>
  <c r="F134" i="1"/>
  <c r="D134" i="1"/>
  <c r="B134" i="1"/>
  <c r="A134" i="1"/>
  <c r="J133" i="1"/>
  <c r="I133" i="1"/>
  <c r="H133" i="1"/>
  <c r="G133" i="1"/>
  <c r="F133" i="1"/>
  <c r="D133" i="1"/>
  <c r="B133" i="1"/>
  <c r="A133" i="1"/>
  <c r="J132" i="1"/>
  <c r="I132" i="1"/>
  <c r="H132" i="1"/>
  <c r="G132" i="1"/>
  <c r="F132" i="1"/>
  <c r="D132" i="1"/>
  <c r="B132" i="1"/>
  <c r="A132" i="1"/>
  <c r="J131" i="1"/>
  <c r="I131" i="1"/>
  <c r="H131" i="1"/>
  <c r="G131" i="1"/>
  <c r="F131" i="1"/>
  <c r="D131" i="1"/>
  <c r="B131" i="1"/>
  <c r="A131" i="1"/>
  <c r="J130" i="1"/>
  <c r="I130" i="1"/>
  <c r="H130" i="1"/>
  <c r="G130" i="1"/>
  <c r="F130" i="1"/>
  <c r="D130" i="1"/>
  <c r="B130" i="1"/>
  <c r="A130" i="1"/>
  <c r="J129" i="1"/>
  <c r="I129" i="1"/>
  <c r="H129" i="1"/>
  <c r="G129" i="1"/>
  <c r="F129" i="1"/>
  <c r="D129" i="1"/>
  <c r="B129" i="1"/>
  <c r="A129" i="1"/>
  <c r="J128" i="1"/>
  <c r="I128" i="1"/>
  <c r="H128" i="1"/>
  <c r="G128" i="1"/>
  <c r="F128" i="1"/>
  <c r="D128" i="1"/>
  <c r="B128" i="1"/>
  <c r="A128" i="1"/>
  <c r="J127" i="1"/>
  <c r="I127" i="1"/>
  <c r="H127" i="1"/>
  <c r="G127" i="1"/>
  <c r="F127" i="1"/>
  <c r="D127" i="1"/>
  <c r="B127" i="1"/>
  <c r="A127" i="1"/>
  <c r="J126" i="1"/>
  <c r="I126" i="1"/>
  <c r="H126" i="1"/>
  <c r="G126" i="1"/>
  <c r="F126" i="1"/>
  <c r="D126" i="1"/>
  <c r="B126" i="1"/>
  <c r="A126" i="1"/>
  <c r="J125" i="1"/>
  <c r="I125" i="1"/>
  <c r="H125" i="1"/>
  <c r="G125" i="1"/>
  <c r="F125" i="1"/>
  <c r="D125" i="1"/>
  <c r="B125" i="1"/>
  <c r="A125" i="1"/>
  <c r="J124" i="1"/>
  <c r="I124" i="1"/>
  <c r="H124" i="1"/>
  <c r="G124" i="1"/>
  <c r="F124" i="1"/>
  <c r="D124" i="1"/>
  <c r="B124" i="1"/>
  <c r="A124" i="1"/>
  <c r="J123" i="1"/>
  <c r="I123" i="1"/>
  <c r="H123" i="1"/>
  <c r="G123" i="1"/>
  <c r="F123" i="1"/>
  <c r="D123" i="1"/>
  <c r="B123" i="1"/>
  <c r="A123" i="1"/>
  <c r="J122" i="1"/>
  <c r="I122" i="1"/>
  <c r="H122" i="1"/>
  <c r="G122" i="1"/>
  <c r="F122" i="1"/>
  <c r="D122" i="1"/>
  <c r="B122" i="1"/>
  <c r="A122" i="1"/>
  <c r="J121" i="1"/>
  <c r="I121" i="1"/>
  <c r="H121" i="1"/>
  <c r="G121" i="1"/>
  <c r="F121" i="1"/>
  <c r="D121" i="1"/>
  <c r="B121" i="1"/>
  <c r="A121" i="1"/>
  <c r="J120" i="1"/>
  <c r="I120" i="1"/>
  <c r="H120" i="1"/>
  <c r="G120" i="1"/>
  <c r="F120" i="1"/>
  <c r="D120" i="1"/>
  <c r="B120" i="1"/>
  <c r="A120" i="1"/>
  <c r="J119" i="1"/>
  <c r="I119" i="1"/>
  <c r="H119" i="1"/>
  <c r="G119" i="1"/>
  <c r="F119" i="1"/>
  <c r="D119" i="1"/>
  <c r="B119" i="1"/>
  <c r="A119" i="1"/>
  <c r="J118" i="1"/>
  <c r="I118" i="1"/>
  <c r="H118" i="1"/>
  <c r="G118" i="1"/>
  <c r="F118" i="1"/>
  <c r="D118" i="1"/>
  <c r="B118" i="1"/>
  <c r="A118" i="1"/>
  <c r="J117" i="1"/>
  <c r="I117" i="1"/>
  <c r="H117" i="1"/>
  <c r="G117" i="1"/>
  <c r="F117" i="1"/>
  <c r="D117" i="1"/>
  <c r="B117" i="1"/>
  <c r="A117" i="1"/>
  <c r="J116" i="1"/>
  <c r="I116" i="1"/>
  <c r="H116" i="1"/>
  <c r="G116" i="1"/>
  <c r="F116" i="1"/>
  <c r="D116" i="1"/>
  <c r="B116" i="1"/>
  <c r="A116" i="1"/>
  <c r="J115" i="1"/>
  <c r="I115" i="1"/>
  <c r="H115" i="1"/>
  <c r="G115" i="1"/>
  <c r="F115" i="1"/>
  <c r="D115" i="1"/>
  <c r="B115" i="1"/>
  <c r="A115" i="1"/>
  <c r="J114" i="1"/>
  <c r="I114" i="1"/>
  <c r="H114" i="1"/>
  <c r="G114" i="1"/>
  <c r="F114" i="1"/>
  <c r="D114" i="1"/>
  <c r="B114" i="1"/>
  <c r="A114" i="1"/>
  <c r="J113" i="1"/>
  <c r="I113" i="1"/>
  <c r="H113" i="1"/>
  <c r="G113" i="1"/>
  <c r="F113" i="1"/>
  <c r="D113" i="1"/>
  <c r="B113" i="1"/>
  <c r="A113" i="1"/>
  <c r="J112" i="1"/>
  <c r="I112" i="1"/>
  <c r="H112" i="1"/>
  <c r="G112" i="1"/>
  <c r="F112" i="1"/>
  <c r="D112" i="1"/>
  <c r="B112" i="1"/>
  <c r="A112" i="1"/>
  <c r="J111" i="1"/>
  <c r="I111" i="1"/>
  <c r="H111" i="1"/>
  <c r="G111" i="1"/>
  <c r="F111" i="1"/>
  <c r="D111" i="1"/>
  <c r="B111" i="1"/>
  <c r="A111" i="1"/>
  <c r="J110" i="1"/>
  <c r="I110" i="1"/>
  <c r="H110" i="1"/>
  <c r="G110" i="1"/>
  <c r="F110" i="1"/>
  <c r="D110" i="1"/>
  <c r="B110" i="1"/>
  <c r="A110" i="1"/>
  <c r="J109" i="1"/>
  <c r="I109" i="1"/>
  <c r="H109" i="1"/>
  <c r="G109" i="1"/>
  <c r="F109" i="1"/>
  <c r="D109" i="1"/>
  <c r="B109" i="1"/>
  <c r="A109" i="1"/>
  <c r="J108" i="1"/>
  <c r="I108" i="1"/>
  <c r="H108" i="1"/>
  <c r="G108" i="1"/>
  <c r="F108" i="1"/>
  <c r="D108" i="1"/>
  <c r="B108" i="1"/>
  <c r="A108" i="1"/>
  <c r="J107" i="1"/>
  <c r="I107" i="1"/>
  <c r="H107" i="1"/>
  <c r="G107" i="1"/>
  <c r="F107" i="1"/>
  <c r="D107" i="1"/>
  <c r="B107" i="1"/>
  <c r="A107" i="1"/>
  <c r="J106" i="1"/>
  <c r="I106" i="1"/>
  <c r="H106" i="1"/>
  <c r="G106" i="1"/>
  <c r="F106" i="1"/>
  <c r="D106" i="1"/>
  <c r="B106" i="1"/>
  <c r="A106" i="1"/>
  <c r="J105" i="1"/>
  <c r="I105" i="1"/>
  <c r="H105" i="1"/>
  <c r="G105" i="1"/>
  <c r="F105" i="1"/>
  <c r="D105" i="1"/>
  <c r="B105" i="1"/>
  <c r="A105" i="1"/>
  <c r="J104" i="1"/>
  <c r="I104" i="1"/>
  <c r="H104" i="1"/>
  <c r="G104" i="1"/>
  <c r="F104" i="1"/>
  <c r="D104" i="1"/>
  <c r="B104" i="1"/>
  <c r="A104" i="1"/>
  <c r="J103" i="1"/>
  <c r="I103" i="1"/>
  <c r="H103" i="1"/>
  <c r="G103" i="1"/>
  <c r="F103" i="1"/>
  <c r="D103" i="1"/>
  <c r="B103" i="1"/>
  <c r="A103" i="1"/>
  <c r="J102" i="1"/>
  <c r="I102" i="1"/>
  <c r="H102" i="1"/>
  <c r="G102" i="1"/>
  <c r="F102" i="1"/>
  <c r="D102" i="1"/>
  <c r="B102" i="1"/>
  <c r="A102" i="1"/>
  <c r="J101" i="1"/>
  <c r="I101" i="1"/>
  <c r="H101" i="1"/>
  <c r="G101" i="1"/>
  <c r="F101" i="1"/>
  <c r="D101" i="1"/>
  <c r="B101" i="1"/>
  <c r="A101" i="1"/>
  <c r="J100" i="1"/>
  <c r="I100" i="1"/>
  <c r="H100" i="1"/>
  <c r="G100" i="1"/>
  <c r="F100" i="1"/>
  <c r="D100" i="1"/>
  <c r="B100" i="1"/>
  <c r="A100" i="1"/>
  <c r="J99" i="1"/>
  <c r="I99" i="1"/>
  <c r="H99" i="1"/>
  <c r="G99" i="1"/>
  <c r="F99" i="1"/>
  <c r="D99" i="1"/>
  <c r="B99" i="1"/>
  <c r="A99" i="1"/>
  <c r="J98" i="1"/>
  <c r="I98" i="1"/>
  <c r="H98" i="1"/>
  <c r="G98" i="1"/>
  <c r="F98" i="1"/>
  <c r="D98" i="1"/>
  <c r="B98" i="1"/>
  <c r="A98" i="1"/>
  <c r="J97" i="1"/>
  <c r="I97" i="1"/>
  <c r="H97" i="1"/>
  <c r="G97" i="1"/>
  <c r="F97" i="1"/>
  <c r="D97" i="1"/>
  <c r="B97" i="1"/>
  <c r="A97" i="1"/>
  <c r="J96" i="1"/>
  <c r="I96" i="1"/>
  <c r="H96" i="1"/>
  <c r="G96" i="1"/>
  <c r="F96" i="1"/>
  <c r="D96" i="1"/>
  <c r="B96" i="1"/>
  <c r="A96" i="1"/>
  <c r="J95" i="1"/>
  <c r="I95" i="1"/>
  <c r="H95" i="1"/>
  <c r="G95" i="1"/>
  <c r="F95" i="1"/>
  <c r="D95" i="1"/>
  <c r="B95" i="1"/>
  <c r="A95" i="1"/>
  <c r="J94" i="1"/>
  <c r="I94" i="1"/>
  <c r="H94" i="1"/>
  <c r="G94" i="1"/>
  <c r="F94" i="1"/>
  <c r="D94" i="1"/>
  <c r="B94" i="1"/>
  <c r="A94" i="1"/>
  <c r="J93" i="1"/>
  <c r="I93" i="1"/>
  <c r="H93" i="1"/>
  <c r="G93" i="1"/>
  <c r="F93" i="1"/>
  <c r="D93" i="1"/>
  <c r="B93" i="1"/>
  <c r="A93" i="1"/>
  <c r="J92" i="1"/>
  <c r="I92" i="1"/>
  <c r="H92" i="1"/>
  <c r="G92" i="1"/>
  <c r="F92" i="1"/>
  <c r="D92" i="1"/>
  <c r="B92" i="1"/>
  <c r="A92" i="1"/>
  <c r="J91" i="1"/>
  <c r="I91" i="1"/>
  <c r="H91" i="1"/>
  <c r="G91" i="1"/>
  <c r="F91" i="1"/>
  <c r="D91" i="1"/>
  <c r="B91" i="1"/>
  <c r="A91" i="1"/>
  <c r="J90" i="1"/>
  <c r="I90" i="1"/>
  <c r="H90" i="1"/>
  <c r="G90" i="1"/>
  <c r="F90" i="1"/>
  <c r="D90" i="1"/>
  <c r="B90" i="1"/>
  <c r="A90" i="1"/>
  <c r="J89" i="1"/>
  <c r="I89" i="1"/>
  <c r="H89" i="1"/>
  <c r="G89" i="1"/>
  <c r="F89" i="1"/>
  <c r="D89" i="1"/>
  <c r="B89" i="1"/>
  <c r="A89" i="1"/>
  <c r="J88" i="1"/>
  <c r="I88" i="1"/>
  <c r="H88" i="1"/>
  <c r="G88" i="1"/>
  <c r="F88" i="1"/>
  <c r="D88" i="1"/>
  <c r="B88" i="1"/>
  <c r="A88" i="1"/>
  <c r="J87" i="1"/>
  <c r="I87" i="1"/>
  <c r="H87" i="1"/>
  <c r="G87" i="1"/>
  <c r="F87" i="1"/>
  <c r="D87" i="1"/>
  <c r="B87" i="1"/>
  <c r="A87" i="1"/>
  <c r="J86" i="1"/>
  <c r="I86" i="1"/>
  <c r="H86" i="1"/>
  <c r="G86" i="1"/>
  <c r="F86" i="1"/>
  <c r="D86" i="1"/>
  <c r="B86" i="1"/>
  <c r="A86" i="1"/>
  <c r="J85" i="1"/>
  <c r="I85" i="1"/>
  <c r="H85" i="1"/>
  <c r="G85" i="1"/>
  <c r="F85" i="1"/>
  <c r="D85" i="1"/>
  <c r="B85" i="1"/>
  <c r="A85" i="1"/>
  <c r="J84" i="1"/>
  <c r="I84" i="1"/>
  <c r="H84" i="1"/>
  <c r="G84" i="1"/>
  <c r="F84" i="1"/>
  <c r="D84" i="1"/>
  <c r="B84" i="1"/>
  <c r="A84" i="1"/>
  <c r="J83" i="1"/>
  <c r="I83" i="1"/>
  <c r="H83" i="1"/>
  <c r="G83" i="1"/>
  <c r="F83" i="1"/>
  <c r="D83" i="1"/>
  <c r="B83" i="1"/>
  <c r="A83" i="1"/>
  <c r="J82" i="1"/>
  <c r="I82" i="1"/>
  <c r="H82" i="1"/>
  <c r="G82" i="1"/>
  <c r="F82" i="1"/>
  <c r="D82" i="1"/>
  <c r="B82" i="1"/>
  <c r="A82" i="1"/>
  <c r="J81" i="1"/>
  <c r="I81" i="1"/>
  <c r="H81" i="1"/>
  <c r="G81" i="1"/>
  <c r="F81" i="1"/>
  <c r="D81" i="1"/>
  <c r="B81" i="1"/>
  <c r="A81" i="1"/>
  <c r="J80" i="1"/>
  <c r="I80" i="1"/>
  <c r="H80" i="1"/>
  <c r="G80" i="1"/>
  <c r="F80" i="1"/>
  <c r="D80" i="1"/>
  <c r="B80" i="1"/>
  <c r="A80" i="1"/>
  <c r="J79" i="1"/>
  <c r="I79" i="1"/>
  <c r="H79" i="1"/>
  <c r="G79" i="1"/>
  <c r="F79" i="1"/>
  <c r="D79" i="1"/>
  <c r="B79" i="1"/>
  <c r="A79" i="1"/>
  <c r="J78" i="1"/>
  <c r="I78" i="1"/>
  <c r="H78" i="1"/>
  <c r="G78" i="1"/>
  <c r="F78" i="1"/>
  <c r="D78" i="1"/>
  <c r="B78" i="1"/>
  <c r="A78" i="1"/>
  <c r="J77" i="1"/>
  <c r="I77" i="1"/>
  <c r="H77" i="1"/>
  <c r="G77" i="1"/>
  <c r="F77" i="1"/>
  <c r="D77" i="1"/>
  <c r="B77" i="1"/>
  <c r="A77" i="1"/>
  <c r="J76" i="1"/>
  <c r="I76" i="1"/>
  <c r="H76" i="1"/>
  <c r="G76" i="1"/>
  <c r="F76" i="1"/>
  <c r="D76" i="1"/>
  <c r="B76" i="1"/>
  <c r="A76" i="1"/>
  <c r="J75" i="1"/>
  <c r="I75" i="1"/>
  <c r="H75" i="1"/>
  <c r="G75" i="1"/>
  <c r="F75" i="1"/>
  <c r="D75" i="1"/>
  <c r="B75" i="1"/>
  <c r="A75" i="1"/>
  <c r="J74" i="1"/>
  <c r="I74" i="1"/>
  <c r="H74" i="1"/>
  <c r="G74" i="1"/>
  <c r="F74" i="1"/>
  <c r="D74" i="1"/>
  <c r="B74" i="1"/>
  <c r="A74" i="1"/>
  <c r="J73" i="1"/>
  <c r="I73" i="1"/>
  <c r="H73" i="1"/>
  <c r="G73" i="1"/>
  <c r="F73" i="1"/>
  <c r="D73" i="1"/>
  <c r="B73" i="1"/>
  <c r="A73" i="1"/>
  <c r="J72" i="1"/>
  <c r="I72" i="1"/>
  <c r="H72" i="1"/>
  <c r="G72" i="1"/>
  <c r="F72" i="1"/>
  <c r="D72" i="1"/>
  <c r="B72" i="1"/>
  <c r="A72" i="1"/>
  <c r="J71" i="1"/>
  <c r="I71" i="1"/>
  <c r="H71" i="1"/>
  <c r="G71" i="1"/>
  <c r="F71" i="1"/>
  <c r="D71" i="1"/>
  <c r="B71" i="1"/>
  <c r="A71" i="1"/>
  <c r="J70" i="1"/>
  <c r="I70" i="1"/>
  <c r="H70" i="1"/>
  <c r="G70" i="1"/>
  <c r="F70" i="1"/>
  <c r="D70" i="1"/>
  <c r="B70" i="1"/>
  <c r="A70" i="1"/>
  <c r="J69" i="1"/>
  <c r="I69" i="1"/>
  <c r="H69" i="1"/>
  <c r="G69" i="1"/>
  <c r="F69" i="1"/>
  <c r="D69" i="1"/>
  <c r="B69" i="1"/>
  <c r="A69" i="1"/>
  <c r="J68" i="1"/>
  <c r="I68" i="1"/>
  <c r="H68" i="1"/>
  <c r="G68" i="1"/>
  <c r="F68" i="1"/>
  <c r="D68" i="1"/>
  <c r="B68" i="1"/>
  <c r="A68" i="1"/>
  <c r="J67" i="1"/>
  <c r="I67" i="1"/>
  <c r="H67" i="1"/>
  <c r="G67" i="1"/>
  <c r="F67" i="1"/>
  <c r="D67" i="1"/>
  <c r="B67" i="1"/>
  <c r="A67" i="1"/>
  <c r="J66" i="1"/>
  <c r="I66" i="1"/>
  <c r="H66" i="1"/>
  <c r="G66" i="1"/>
  <c r="F66" i="1"/>
  <c r="D66" i="1"/>
  <c r="B66" i="1"/>
  <c r="A66" i="1"/>
  <c r="J65" i="1"/>
  <c r="I65" i="1"/>
  <c r="H65" i="1"/>
  <c r="G65" i="1"/>
  <c r="F65" i="1"/>
  <c r="D65" i="1"/>
  <c r="B65" i="1"/>
  <c r="A65" i="1"/>
  <c r="J64" i="1"/>
  <c r="I64" i="1"/>
  <c r="H64" i="1"/>
  <c r="G64" i="1"/>
  <c r="F64" i="1"/>
  <c r="D64" i="1"/>
  <c r="B64" i="1"/>
  <c r="A64" i="1"/>
  <c r="J63" i="1"/>
  <c r="I63" i="1"/>
  <c r="H63" i="1"/>
  <c r="G63" i="1"/>
  <c r="F63" i="1"/>
  <c r="D63" i="1"/>
  <c r="B63" i="1"/>
  <c r="A63" i="1"/>
  <c r="J62" i="1"/>
  <c r="I62" i="1"/>
  <c r="H62" i="1"/>
  <c r="G62" i="1"/>
  <c r="F62" i="1"/>
  <c r="D62" i="1"/>
  <c r="B62" i="1"/>
  <c r="A62" i="1"/>
  <c r="J61" i="1"/>
  <c r="I61" i="1"/>
  <c r="H61" i="1"/>
  <c r="G61" i="1"/>
  <c r="F61" i="1"/>
  <c r="D61" i="1"/>
  <c r="B61" i="1"/>
  <c r="A61" i="1"/>
  <c r="J60" i="1"/>
  <c r="I60" i="1"/>
  <c r="H60" i="1"/>
  <c r="G60" i="1"/>
  <c r="F60" i="1"/>
  <c r="D60" i="1"/>
  <c r="B60" i="1"/>
  <c r="A60" i="1"/>
  <c r="J59" i="1"/>
  <c r="I59" i="1"/>
  <c r="H59" i="1"/>
  <c r="G59" i="1"/>
  <c r="F59" i="1"/>
  <c r="D59" i="1"/>
  <c r="B59" i="1"/>
  <c r="A59" i="1"/>
  <c r="J58" i="1"/>
  <c r="I58" i="1"/>
  <c r="H58" i="1"/>
  <c r="G58" i="1"/>
  <c r="F58" i="1"/>
  <c r="D58" i="1"/>
  <c r="B58" i="1"/>
  <c r="A58" i="1"/>
  <c r="J57" i="1"/>
  <c r="I57" i="1"/>
  <c r="H57" i="1"/>
  <c r="G57" i="1"/>
  <c r="F57" i="1"/>
  <c r="D57" i="1"/>
  <c r="B57" i="1"/>
  <c r="A57" i="1"/>
  <c r="J56" i="1"/>
  <c r="I56" i="1"/>
  <c r="H56" i="1"/>
  <c r="G56" i="1"/>
  <c r="F56" i="1"/>
  <c r="D56" i="1"/>
  <c r="B56" i="1"/>
  <c r="A56" i="1"/>
  <c r="J55" i="1"/>
  <c r="I55" i="1"/>
  <c r="H55" i="1"/>
  <c r="G55" i="1"/>
  <c r="F55" i="1"/>
  <c r="D55" i="1"/>
  <c r="B55" i="1"/>
  <c r="A55" i="1"/>
  <c r="J54" i="1"/>
  <c r="I54" i="1"/>
  <c r="H54" i="1"/>
  <c r="G54" i="1"/>
  <c r="F54" i="1"/>
  <c r="D54" i="1"/>
  <c r="B54" i="1"/>
  <c r="A54" i="1"/>
  <c r="J53" i="1"/>
  <c r="I53" i="1"/>
  <c r="H53" i="1"/>
  <c r="G53" i="1"/>
  <c r="F53" i="1"/>
  <c r="D53" i="1"/>
  <c r="B53" i="1"/>
  <c r="A53" i="1"/>
  <c r="J52" i="1"/>
  <c r="I52" i="1"/>
  <c r="H52" i="1"/>
  <c r="G52" i="1"/>
  <c r="F52" i="1"/>
  <c r="D52" i="1"/>
  <c r="B52" i="1"/>
  <c r="A52" i="1"/>
  <c r="J51" i="1"/>
  <c r="I51" i="1"/>
  <c r="H51" i="1"/>
  <c r="G51" i="1"/>
  <c r="F51" i="1"/>
  <c r="D51" i="1"/>
  <c r="B51" i="1"/>
  <c r="A51" i="1"/>
  <c r="J50" i="1"/>
  <c r="I50" i="1"/>
  <c r="H50" i="1"/>
  <c r="G50" i="1"/>
  <c r="F50" i="1"/>
  <c r="D50" i="1"/>
  <c r="B50" i="1"/>
  <c r="A50" i="1"/>
  <c r="J49" i="1"/>
  <c r="I49" i="1"/>
  <c r="H49" i="1"/>
  <c r="G49" i="1"/>
  <c r="F49" i="1"/>
  <c r="D49" i="1"/>
  <c r="B49" i="1"/>
  <c r="A49" i="1"/>
  <c r="J48" i="1"/>
  <c r="I48" i="1"/>
  <c r="H48" i="1"/>
  <c r="G48" i="1"/>
  <c r="F48" i="1"/>
  <c r="D48" i="1"/>
  <c r="B48" i="1"/>
  <c r="A48" i="1"/>
  <c r="J47" i="1"/>
  <c r="I47" i="1"/>
  <c r="H47" i="1"/>
  <c r="G47" i="1"/>
  <c r="F47" i="1"/>
  <c r="D47" i="1"/>
  <c r="B47" i="1"/>
  <c r="A47" i="1"/>
  <c r="J46" i="1"/>
  <c r="I46" i="1"/>
  <c r="H46" i="1"/>
  <c r="G46" i="1"/>
  <c r="F46" i="1"/>
  <c r="D46" i="1"/>
  <c r="B46" i="1"/>
  <c r="A46" i="1"/>
  <c r="J45" i="1"/>
  <c r="I45" i="1"/>
  <c r="H45" i="1"/>
  <c r="G45" i="1"/>
  <c r="F45" i="1"/>
  <c r="D45" i="1"/>
  <c r="B45" i="1"/>
  <c r="A45" i="1"/>
  <c r="J44" i="1"/>
  <c r="I44" i="1"/>
  <c r="H44" i="1"/>
  <c r="G44" i="1"/>
  <c r="F44" i="1"/>
  <c r="D44" i="1"/>
  <c r="B44" i="1"/>
  <c r="A44" i="1"/>
  <c r="J43" i="1"/>
  <c r="I43" i="1"/>
  <c r="H43" i="1"/>
  <c r="G43" i="1"/>
  <c r="F43" i="1"/>
  <c r="D43" i="1"/>
  <c r="B43" i="1"/>
  <c r="A43" i="1"/>
  <c r="J42" i="1"/>
  <c r="I42" i="1"/>
  <c r="H42" i="1"/>
  <c r="G42" i="1"/>
  <c r="F42" i="1"/>
  <c r="D42" i="1"/>
  <c r="B42" i="1"/>
  <c r="A42" i="1"/>
  <c r="J41" i="1"/>
  <c r="I41" i="1"/>
  <c r="H41" i="1"/>
  <c r="G41" i="1"/>
  <c r="F41" i="1"/>
  <c r="D41" i="1"/>
  <c r="B41" i="1"/>
  <c r="A41" i="1"/>
  <c r="J40" i="1"/>
  <c r="I40" i="1"/>
  <c r="H40" i="1"/>
  <c r="G40" i="1"/>
  <c r="F40" i="1"/>
  <c r="D40" i="1"/>
  <c r="B40" i="1"/>
  <c r="A40" i="1"/>
  <c r="J39" i="1"/>
  <c r="I39" i="1"/>
  <c r="H39" i="1"/>
  <c r="G39" i="1"/>
  <c r="F39" i="1"/>
  <c r="D39" i="1"/>
  <c r="B39" i="1"/>
  <c r="A39" i="1"/>
  <c r="J38" i="1"/>
  <c r="I38" i="1"/>
  <c r="H38" i="1"/>
  <c r="G38" i="1"/>
  <c r="F38" i="1"/>
  <c r="D38" i="1"/>
  <c r="B38" i="1"/>
  <c r="A38" i="1"/>
  <c r="J37" i="1"/>
  <c r="I37" i="1"/>
  <c r="H37" i="1"/>
  <c r="G37" i="1"/>
  <c r="F37" i="1"/>
  <c r="D37" i="1"/>
  <c r="B37" i="1"/>
  <c r="A37" i="1"/>
  <c r="J36" i="1"/>
  <c r="I36" i="1"/>
  <c r="H36" i="1"/>
  <c r="G36" i="1"/>
  <c r="F36" i="1"/>
  <c r="D36" i="1"/>
  <c r="B36" i="1"/>
  <c r="A36" i="1"/>
  <c r="J35" i="1"/>
  <c r="I35" i="1"/>
  <c r="H35" i="1"/>
  <c r="G35" i="1"/>
  <c r="F35" i="1"/>
  <c r="D35" i="1"/>
  <c r="B35" i="1"/>
  <c r="A35" i="1"/>
  <c r="J34" i="1"/>
  <c r="I34" i="1"/>
  <c r="H34" i="1"/>
  <c r="G34" i="1"/>
  <c r="F34" i="1"/>
  <c r="D34" i="1"/>
  <c r="B34" i="1"/>
  <c r="A34" i="1"/>
  <c r="J33" i="1"/>
  <c r="I33" i="1"/>
  <c r="H33" i="1"/>
  <c r="G33" i="1"/>
  <c r="F33" i="1"/>
  <c r="D33" i="1"/>
  <c r="B33" i="1"/>
  <c r="A33" i="1"/>
  <c r="J32" i="1"/>
  <c r="I32" i="1"/>
  <c r="H32" i="1"/>
  <c r="G32" i="1"/>
  <c r="F32" i="1"/>
  <c r="D32" i="1"/>
  <c r="B32" i="1"/>
  <c r="A32" i="1"/>
  <c r="J31" i="1"/>
  <c r="I31" i="1"/>
  <c r="H31" i="1"/>
  <c r="G31" i="1"/>
  <c r="F31" i="1"/>
  <c r="D31" i="1"/>
  <c r="B31" i="1"/>
  <c r="A31" i="1"/>
  <c r="J30" i="1"/>
  <c r="I30" i="1"/>
  <c r="H30" i="1"/>
  <c r="G30" i="1"/>
  <c r="F30" i="1"/>
  <c r="D30" i="1"/>
  <c r="B30" i="1"/>
  <c r="A30" i="1"/>
  <c r="J29" i="1"/>
  <c r="I29" i="1"/>
  <c r="H29" i="1"/>
  <c r="G29" i="1"/>
  <c r="F29" i="1"/>
  <c r="D29" i="1"/>
  <c r="B29" i="1"/>
  <c r="A29" i="1"/>
  <c r="J28" i="1"/>
  <c r="I28" i="1"/>
  <c r="H28" i="1"/>
  <c r="G28" i="1"/>
  <c r="F28" i="1"/>
  <c r="D28" i="1"/>
  <c r="B28" i="1"/>
  <c r="A28" i="1"/>
  <c r="J27" i="1"/>
  <c r="I27" i="1"/>
  <c r="H27" i="1"/>
  <c r="G27" i="1"/>
  <c r="F27" i="1"/>
  <c r="D27" i="1"/>
  <c r="B27" i="1"/>
  <c r="A27" i="1"/>
  <c r="J26" i="1"/>
  <c r="I26" i="1"/>
  <c r="H26" i="1"/>
  <c r="G26" i="1"/>
  <c r="F26" i="1"/>
  <c r="D26" i="1"/>
  <c r="B26" i="1"/>
  <c r="A26" i="1"/>
  <c r="J25" i="1"/>
  <c r="I25" i="1"/>
  <c r="H25" i="1"/>
  <c r="G25" i="1"/>
  <c r="F25" i="1"/>
  <c r="D25" i="1"/>
  <c r="B25" i="1"/>
  <c r="A25" i="1"/>
  <c r="J24" i="1"/>
  <c r="I24" i="1"/>
  <c r="H24" i="1"/>
  <c r="G24" i="1"/>
  <c r="F24" i="1"/>
  <c r="D24" i="1"/>
  <c r="B24" i="1"/>
  <c r="A24" i="1"/>
  <c r="J23" i="1"/>
  <c r="I23" i="1"/>
  <c r="H23" i="1"/>
  <c r="G23" i="1"/>
  <c r="F23" i="1"/>
  <c r="D23" i="1"/>
  <c r="B23" i="1"/>
  <c r="A23" i="1"/>
  <c r="J22" i="1"/>
  <c r="I22" i="1"/>
  <c r="H22" i="1"/>
  <c r="G22" i="1"/>
  <c r="F22" i="1"/>
  <c r="D22" i="1"/>
  <c r="B22" i="1"/>
  <c r="A22" i="1"/>
  <c r="J21" i="1"/>
  <c r="I21" i="1"/>
  <c r="H21" i="1"/>
  <c r="G21" i="1"/>
  <c r="F21" i="1"/>
  <c r="D21" i="1"/>
  <c r="B21" i="1"/>
  <c r="A21" i="1"/>
  <c r="J20" i="1"/>
  <c r="I20" i="1"/>
  <c r="H20" i="1"/>
  <c r="G20" i="1"/>
  <c r="F20" i="1"/>
  <c r="D20" i="1"/>
  <c r="B20" i="1"/>
  <c r="A20" i="1"/>
  <c r="J19" i="1"/>
  <c r="I19" i="1"/>
  <c r="H19" i="1"/>
  <c r="G19" i="1"/>
  <c r="F19" i="1"/>
  <c r="D19" i="1"/>
  <c r="B19" i="1"/>
  <c r="A19" i="1"/>
  <c r="J18" i="1"/>
  <c r="I18" i="1"/>
  <c r="H18" i="1"/>
  <c r="G18" i="1"/>
  <c r="F18" i="1"/>
  <c r="D18" i="1"/>
  <c r="B18" i="1"/>
  <c r="A18" i="1"/>
  <c r="J17" i="1"/>
  <c r="I17" i="1"/>
  <c r="H17" i="1"/>
  <c r="G17" i="1"/>
  <c r="F17" i="1"/>
  <c r="D17" i="1"/>
  <c r="B17" i="1"/>
  <c r="A17" i="1"/>
  <c r="J16" i="1"/>
  <c r="I16" i="1"/>
  <c r="H16" i="1"/>
  <c r="G16" i="1"/>
  <c r="F16" i="1"/>
  <c r="D16" i="1"/>
  <c r="B16" i="1"/>
  <c r="A16" i="1"/>
  <c r="J15" i="1"/>
  <c r="I15" i="1"/>
  <c r="H15" i="1"/>
  <c r="G15" i="1"/>
  <c r="F15" i="1"/>
  <c r="D15" i="1"/>
  <c r="B15" i="1"/>
  <c r="A15" i="1"/>
  <c r="J14" i="1"/>
  <c r="I14" i="1"/>
  <c r="H14" i="1"/>
  <c r="G14" i="1"/>
  <c r="F14" i="1"/>
  <c r="D14" i="1"/>
  <c r="B14" i="1"/>
  <c r="A14" i="1"/>
  <c r="J13" i="1"/>
  <c r="I13" i="1"/>
  <c r="H13" i="1"/>
  <c r="G13" i="1"/>
  <c r="F13" i="1"/>
  <c r="D13" i="1"/>
  <c r="B13" i="1"/>
  <c r="A13" i="1"/>
  <c r="J12" i="1"/>
  <c r="I12" i="1"/>
  <c r="H12" i="1"/>
  <c r="G12" i="1"/>
  <c r="F12" i="1"/>
  <c r="D12" i="1"/>
  <c r="B12" i="1"/>
  <c r="A12" i="1"/>
  <c r="J11" i="1"/>
  <c r="I11" i="1"/>
  <c r="H11" i="1"/>
  <c r="G11" i="1"/>
  <c r="F11" i="1"/>
  <c r="D11" i="1"/>
  <c r="B11" i="1"/>
  <c r="A11" i="1"/>
  <c r="J10" i="1"/>
  <c r="I10" i="1"/>
  <c r="H10" i="1"/>
  <c r="G10" i="1"/>
  <c r="F10" i="1"/>
  <c r="D10" i="1"/>
  <c r="B10" i="1"/>
  <c r="A10" i="1"/>
  <c r="J9" i="1"/>
  <c r="I9" i="1"/>
  <c r="H9" i="1"/>
  <c r="G9" i="1"/>
  <c r="F9" i="1"/>
  <c r="D9" i="1"/>
  <c r="B9" i="1"/>
  <c r="A9" i="1"/>
  <c r="J8" i="1"/>
  <c r="I8" i="1"/>
  <c r="H8" i="1"/>
  <c r="G8" i="1"/>
  <c r="F8" i="1"/>
  <c r="D8" i="1"/>
  <c r="B8" i="1"/>
  <c r="A8" i="1"/>
  <c r="J7" i="1"/>
  <c r="I7" i="1"/>
  <c r="H7" i="1"/>
  <c r="G7" i="1"/>
  <c r="F7" i="1"/>
  <c r="D7" i="1"/>
  <c r="B7" i="1"/>
  <c r="A7" i="1"/>
  <c r="J6" i="1"/>
  <c r="I6" i="1"/>
  <c r="G6" i="1"/>
  <c r="F6" i="1"/>
  <c r="A6" i="1"/>
  <c r="J5" i="1"/>
  <c r="I5" i="1"/>
  <c r="H5" i="1"/>
  <c r="G5" i="1"/>
  <c r="F5" i="1"/>
  <c r="D5" i="1"/>
  <c r="B5" i="1"/>
  <c r="A5" i="1"/>
  <c r="J4" i="1"/>
  <c r="I4" i="1"/>
  <c r="H4" i="1"/>
  <c r="G4" i="1"/>
  <c r="F4" i="1"/>
  <c r="D4" i="1"/>
  <c r="B4" i="1"/>
  <c r="A4" i="1"/>
  <c r="J3" i="1"/>
  <c r="I3" i="1"/>
  <c r="H3" i="1"/>
  <c r="G3" i="1"/>
  <c r="F3" i="1"/>
  <c r="D3" i="1"/>
  <c r="B3" i="1"/>
  <c r="A3" i="1"/>
  <c r="J2" i="1"/>
  <c r="I2" i="1"/>
  <c r="H2" i="1"/>
  <c r="G2" i="1"/>
  <c r="F2" i="1"/>
  <c r="D2" i="1"/>
  <c r="B2" i="1"/>
  <c r="A2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.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854"/>
  <sheetViews>
    <sheetView tabSelected="1" workbookViewId="0"/>
  </sheetViews>
  <sheetFormatPr defaultColWidth="12.6640625" defaultRowHeight="15.75" customHeight="1" x14ac:dyDescent="0.25"/>
  <cols>
    <col min="1" max="2" width="19.109375" customWidth="1"/>
    <col min="3" max="3" width="12.6640625" hidden="1"/>
    <col min="5" max="5" width="12.6640625" hidden="1"/>
    <col min="6" max="6" width="16.44140625" customWidth="1"/>
    <col min="8" max="8" width="21.88671875" customWidth="1"/>
    <col min="9" max="9" width="17.88671875" customWidth="1"/>
    <col min="10" max="10" width="23.6640625" customWidth="1"/>
  </cols>
  <sheetData>
    <row r="1" spans="1:10" x14ac:dyDescent="0.25">
      <c r="A1" s="1" t="str">
        <f ca="1">IFERROR(__xludf.DUMMYFUNCTION("IMPORTRANGE(""https://docs.google.com/spreadsheets/d/1n8iJrCNooLpW8jpnPHdMsUMU5MpxwSE9m91oIZY1km8/edit#gid=0"",""Munkalap1!C:G"")"),"Egyesület")</f>
        <v>Egyesület</v>
      </c>
      <c r="B1" s="1" t="str">
        <f ca="1">IFERROR(__xludf.DUMMYFUNCTION("""COMPUTED_VALUE"""),"Versenyző")</f>
        <v>Versenyző</v>
      </c>
      <c r="C1" s="1" t="str">
        <f ca="1">IFERROR(__xludf.DUMMYFUNCTION("""COMPUTED_VALUE"""),"Anyja neve")</f>
        <v>Anyja neve</v>
      </c>
      <c r="D1" s="1" t="str">
        <f ca="1">IFERROR(__xludf.DUMMYFUNCTION("""COMPUTED_VALUE"""),"Neme")</f>
        <v>Neme</v>
      </c>
      <c r="E1" s="1" t="str">
        <f ca="1">IFERROR(__xludf.DUMMYFUNCTION("""COMPUTED_VALUE"""),"Születési hely")</f>
        <v>Születési hely</v>
      </c>
      <c r="F1" s="1" t="str">
        <f ca="1">IFERROR(__xludf.DUMMYFUNCTION("IMPORTRANGE(""https://docs.google.com/spreadsheets/d/1n8iJrCNooLpW8jpnPHdMsUMU5MpxwSE9m91oIZY1km8/edit#gid=0"",""Munkalap1!Q:Q"")"),"Szév")</f>
        <v>Szév</v>
      </c>
      <c r="G1" s="1" t="str">
        <f ca="1">IFERROR(__xludf.DUMMYFUNCTION("IMPORTRANGE(""https://docs.google.com/spreadsheets/d/1n8iJrCNooLpW8jpnPHdMsUMU5MpxwSE9m91oIZY1km8/edit#gid=0"",""Munkalap1!K:N"")"),"Sorszám")</f>
        <v>Sorszám</v>
      </c>
      <c r="H1" s="1" t="str">
        <f ca="1">IFERROR(__xludf.DUMMYFUNCTION("""COMPUTED_VALUE"""),"Versenyengedélyszám")</f>
        <v>Versenyengedélyszám</v>
      </c>
      <c r="I1" s="1" t="str">
        <f ca="1">IFERROR(__xludf.DUMMYFUNCTION("""COMPUTED_VALUE"""),"Eng. érv. kezdete")</f>
        <v>Eng. érv. kezdete</v>
      </c>
      <c r="J1" s="1" t="str">
        <f ca="1">IFERROR(__xludf.DUMMYFUNCTION("""COMPUTED_VALUE"""),"Eng. érv. vége")</f>
        <v>Eng. érv. vége</v>
      </c>
    </row>
    <row r="2" spans="1:10" x14ac:dyDescent="0.25">
      <c r="A2" s="1" t="str">
        <f ca="1">IFERROR(__xludf.DUMMYFUNCTION("""COMPUTED_VALUE"""),"Multi Alarm SE")</f>
        <v>Multi Alarm SE</v>
      </c>
      <c r="B2" s="1" t="str">
        <f ca="1">IFERROR(__xludf.DUMMYFUNCTION("""COMPUTED_VALUE"""),"Jászberényi Péter")</f>
        <v>Jászberényi Péter</v>
      </c>
      <c r="C2" s="1"/>
      <c r="D2" s="1" t="str">
        <f ca="1">IFERROR(__xludf.DUMMYFUNCTION("""COMPUTED_VALUE"""),"Férfi")</f>
        <v>Férfi</v>
      </c>
      <c r="E2" s="1"/>
      <c r="F2" s="1">
        <f ca="1">IFERROR(__xludf.DUMMYFUNCTION("""COMPUTED_VALUE"""),2009)</f>
        <v>2009</v>
      </c>
      <c r="G2" s="1">
        <f ca="1">IFERROR(__xludf.DUMMYFUNCTION("""COMPUTED_VALUE"""),3246)</f>
        <v>3246</v>
      </c>
      <c r="H2" s="1" t="str">
        <f ca="1">IFERROR(__xludf.DUMMYFUNCTION("""COMPUTED_VALUE"""),"MTLSZ003246A22")</f>
        <v>MTLSZ003246A22</v>
      </c>
      <c r="I2" s="2">
        <f ca="1">IFERROR(__xludf.DUMMYFUNCTION("""COMPUTED_VALUE"""),44837)</f>
        <v>44837</v>
      </c>
      <c r="J2" s="2">
        <f ca="1">IFERROR(__xludf.DUMMYFUNCTION("""COMPUTED_VALUE"""),45201)</f>
        <v>45201</v>
      </c>
    </row>
    <row r="3" spans="1:10" x14ac:dyDescent="0.25">
      <c r="A3" s="1" t="str">
        <f ca="1">IFERROR(__xludf.DUMMYFUNCTION("""COMPUTED_VALUE"""),"Klébi DSE")</f>
        <v>Klébi DSE</v>
      </c>
      <c r="B3" s="1" t="str">
        <f ca="1">IFERROR(__xludf.DUMMYFUNCTION("""COMPUTED_VALUE"""),"Hadnagy Márton")</f>
        <v>Hadnagy Márton</v>
      </c>
      <c r="C3" s="1"/>
      <c r="D3" s="1" t="str">
        <f ca="1">IFERROR(__xludf.DUMMYFUNCTION("""COMPUTED_VALUE"""),"Férfi")</f>
        <v>Férfi</v>
      </c>
      <c r="E3" s="1"/>
      <c r="F3" s="1">
        <f ca="1">IFERROR(__xludf.DUMMYFUNCTION("""COMPUTED_VALUE"""),2006)</f>
        <v>2006</v>
      </c>
      <c r="G3" s="1">
        <f ca="1">IFERROR(__xludf.DUMMYFUNCTION("""COMPUTED_VALUE"""),3458)</f>
        <v>3458</v>
      </c>
      <c r="H3" s="1" t="str">
        <f ca="1">IFERROR(__xludf.DUMMYFUNCTION("""COMPUTED_VALUE"""),"MTLSZ003458A22")</f>
        <v>MTLSZ003458A22</v>
      </c>
      <c r="I3" s="2">
        <f ca="1">IFERROR(__xludf.DUMMYFUNCTION("""COMPUTED_VALUE"""),44834)</f>
        <v>44834</v>
      </c>
      <c r="J3" s="2">
        <f ca="1">IFERROR(__xludf.DUMMYFUNCTION("""COMPUTED_VALUE"""),45198)</f>
        <v>45198</v>
      </c>
    </row>
    <row r="4" spans="1:10" x14ac:dyDescent="0.25">
      <c r="A4" s="1" t="str">
        <f ca="1">IFERROR(__xludf.DUMMYFUNCTION("""COMPUTED_VALUE"""),"Klébi DSE")</f>
        <v>Klébi DSE</v>
      </c>
      <c r="B4" s="1" t="str">
        <f ca="1">IFERROR(__xludf.DUMMYFUNCTION("""COMPUTED_VALUE"""),"Nagy Vince")</f>
        <v>Nagy Vince</v>
      </c>
      <c r="C4" s="1"/>
      <c r="D4" s="1" t="str">
        <f ca="1">IFERROR(__xludf.DUMMYFUNCTION("""COMPUTED_VALUE"""),"Férfi")</f>
        <v>Férfi</v>
      </c>
      <c r="E4" s="1"/>
      <c r="F4" s="1">
        <f ca="1">IFERROR(__xludf.DUMMYFUNCTION("""COMPUTED_VALUE"""),2006)</f>
        <v>2006</v>
      </c>
      <c r="G4" s="1">
        <f ca="1">IFERROR(__xludf.DUMMYFUNCTION("""COMPUTED_VALUE"""),3489)</f>
        <v>3489</v>
      </c>
      <c r="H4" s="1" t="str">
        <f ca="1">IFERROR(__xludf.DUMMYFUNCTION("""COMPUTED_VALUE"""),"MTLSZ003489A22")</f>
        <v>MTLSZ003489A22</v>
      </c>
      <c r="I4" s="2">
        <f ca="1">IFERROR(__xludf.DUMMYFUNCTION("""COMPUTED_VALUE"""),44834)</f>
        <v>44834</v>
      </c>
      <c r="J4" s="2">
        <f ca="1">IFERROR(__xludf.DUMMYFUNCTION("""COMPUTED_VALUE"""),45198)</f>
        <v>45198</v>
      </c>
    </row>
    <row r="5" spans="1:10" x14ac:dyDescent="0.25">
      <c r="A5" s="1" t="str">
        <f ca="1">IFERROR(__xludf.DUMMYFUNCTION("""COMPUTED_VALUE"""),"FBSE")</f>
        <v>FBSE</v>
      </c>
      <c r="B5" s="1" t="str">
        <f ca="1">IFERROR(__xludf.DUMMYFUNCTION("""COMPUTED_VALUE"""),"Bognár Gábor")</f>
        <v>Bognár Gábor</v>
      </c>
      <c r="C5" s="1"/>
      <c r="D5" s="1" t="str">
        <f ca="1">IFERROR(__xludf.DUMMYFUNCTION("""COMPUTED_VALUE"""),"Férfi")</f>
        <v>Férfi</v>
      </c>
      <c r="E5" s="1"/>
      <c r="F5" s="1">
        <f ca="1">IFERROR(__xludf.DUMMYFUNCTION("""COMPUTED_VALUE"""),2013)</f>
        <v>2013</v>
      </c>
      <c r="G5" s="1">
        <f ca="1">IFERROR(__xludf.DUMMYFUNCTION("""COMPUTED_VALUE"""),4233)</f>
        <v>4233</v>
      </c>
      <c r="H5" s="1" t="str">
        <f ca="1">IFERROR(__xludf.DUMMYFUNCTION("""COMPUTED_VALUE"""),"MTLSZ004233A22")</f>
        <v>MTLSZ004233A22</v>
      </c>
      <c r="I5" s="2">
        <f ca="1">IFERROR(__xludf.DUMMYFUNCTION("""COMPUTED_VALUE"""),44833)</f>
        <v>44833</v>
      </c>
      <c r="J5" s="2">
        <f ca="1">IFERROR(__xludf.DUMMYFUNCTION("""COMPUTED_VALUE"""),45197)</f>
        <v>45197</v>
      </c>
    </row>
    <row r="6" spans="1:10" x14ac:dyDescent="0.25">
      <c r="A6" s="1" t="str">
        <f ca="1">IFERROR(__xludf.DUMMYFUNCTION("""COMPUTED_VALUE"""),"FBSE")</f>
        <v>FBSE</v>
      </c>
      <c r="B6" s="1"/>
      <c r="C6" s="1"/>
      <c r="D6" s="1"/>
      <c r="E6" s="1"/>
      <c r="F6" s="1">
        <f ca="1">IFERROR(__xludf.DUMMYFUNCTION("""COMPUTED_VALUE"""),1899)</f>
        <v>1899</v>
      </c>
      <c r="G6" s="1">
        <f ca="1">IFERROR(__xludf.DUMMYFUNCTION("""COMPUTED_VALUE"""),4826)</f>
        <v>4826</v>
      </c>
      <c r="H6" s="1"/>
      <c r="I6" s="2">
        <f ca="1">IFERROR(__xludf.DUMMYFUNCTION("""COMPUTED_VALUE"""),44833)</f>
        <v>44833</v>
      </c>
      <c r="J6" s="2">
        <f ca="1">IFERROR(__xludf.DUMMYFUNCTION("""COMPUTED_VALUE"""),45197)</f>
        <v>45197</v>
      </c>
    </row>
    <row r="7" spans="1:10" x14ac:dyDescent="0.25">
      <c r="A7" s="1" t="str">
        <f ca="1">IFERROR(__xludf.DUMMYFUNCTION("""COMPUTED_VALUE"""),"Vízművek SK")</f>
        <v>Vízművek SK</v>
      </c>
      <c r="B7" s="1" t="str">
        <f ca="1">IFERROR(__xludf.DUMMYFUNCTION("""COMPUTED_VALUE"""),"Granát Marcell")</f>
        <v>Granát Marcell</v>
      </c>
      <c r="C7" s="1"/>
      <c r="D7" s="1" t="str">
        <f ca="1">IFERROR(__xludf.DUMMYFUNCTION("""COMPUTED_VALUE"""),"Férfi")</f>
        <v>Férfi</v>
      </c>
      <c r="E7" s="1"/>
      <c r="F7" s="1">
        <f ca="1">IFERROR(__xludf.DUMMYFUNCTION("""COMPUTED_VALUE"""),1998)</f>
        <v>1998</v>
      </c>
      <c r="G7" s="1">
        <f ca="1">IFERROR(__xludf.DUMMYFUNCTION("""COMPUTED_VALUE"""),2486)</f>
        <v>2486</v>
      </c>
      <c r="H7" s="1" t="str">
        <f ca="1">IFERROR(__xludf.DUMMYFUNCTION("""COMPUTED_VALUE"""),"MTLSZ002486A22")</f>
        <v>MTLSZ002486A22</v>
      </c>
      <c r="I7" s="2">
        <f ca="1">IFERROR(__xludf.DUMMYFUNCTION("""COMPUTED_VALUE"""),44833)</f>
        <v>44833</v>
      </c>
      <c r="J7" s="2">
        <f ca="1">IFERROR(__xludf.DUMMYFUNCTION("""COMPUTED_VALUE"""),45197)</f>
        <v>45197</v>
      </c>
    </row>
    <row r="8" spans="1:10" x14ac:dyDescent="0.25">
      <c r="A8" s="1" t="str">
        <f ca="1">IFERROR(__xludf.DUMMYFUNCTION("""COMPUTED_VALUE"""),"MEAFC")</f>
        <v>MEAFC</v>
      </c>
      <c r="B8" s="1" t="str">
        <f ca="1">IFERROR(__xludf.DUMMYFUNCTION("""COMPUTED_VALUE"""),"Ang Ze Khai")</f>
        <v>Ang Ze Khai</v>
      </c>
      <c r="C8" s="1"/>
      <c r="D8" s="1" t="str">
        <f ca="1">IFERROR(__xludf.DUMMYFUNCTION("""COMPUTED_VALUE"""),"Férfi")</f>
        <v>Férfi</v>
      </c>
      <c r="E8" s="1"/>
      <c r="F8" s="1">
        <f ca="1">IFERROR(__xludf.DUMMYFUNCTION("""COMPUTED_VALUE"""),2005)</f>
        <v>2005</v>
      </c>
      <c r="G8" s="1">
        <f ca="1">IFERROR(__xludf.DUMMYFUNCTION("""COMPUTED_VALUE"""),4171)</f>
        <v>4171</v>
      </c>
      <c r="H8" s="1" t="str">
        <f ca="1">IFERROR(__xludf.DUMMYFUNCTION("""COMPUTED_VALUE"""),"MTLSZ004171A22")</f>
        <v>MTLSZ004171A22</v>
      </c>
      <c r="I8" s="2">
        <f ca="1">IFERROR(__xludf.DUMMYFUNCTION("""COMPUTED_VALUE"""),44833)</f>
        <v>44833</v>
      </c>
      <c r="J8" s="2">
        <f ca="1">IFERROR(__xludf.DUMMYFUNCTION("""COMPUTED_VALUE"""),45197)</f>
        <v>45197</v>
      </c>
    </row>
    <row r="9" spans="1:10" x14ac:dyDescent="0.25">
      <c r="A9" s="1" t="str">
        <f ca="1">IFERROR(__xludf.DUMMYFUNCTION("""COMPUTED_VALUE"""),"Talentum TSE")</f>
        <v>Talentum TSE</v>
      </c>
      <c r="B9" s="1" t="str">
        <f ca="1">IFERROR(__xludf.DUMMYFUNCTION("""COMPUTED_VALUE"""),"Bálint Marcell")</f>
        <v>Bálint Marcell</v>
      </c>
      <c r="C9" s="1"/>
      <c r="D9" s="1" t="str">
        <f ca="1">IFERROR(__xludf.DUMMYFUNCTION("""COMPUTED_VALUE"""),"Férfi")</f>
        <v>Férfi</v>
      </c>
      <c r="E9" s="1"/>
      <c r="F9" s="1">
        <f ca="1">IFERROR(__xludf.DUMMYFUNCTION("""COMPUTED_VALUE"""),2005)</f>
        <v>2005</v>
      </c>
      <c r="G9" s="1">
        <f ca="1">IFERROR(__xludf.DUMMYFUNCTION("""COMPUTED_VALUE"""),4602)</f>
        <v>4602</v>
      </c>
      <c r="H9" s="1" t="str">
        <f ca="1">IFERROR(__xludf.DUMMYFUNCTION("""COMPUTED_VALUE"""),"MTLSZ004602A22")</f>
        <v>MTLSZ004602A22</v>
      </c>
      <c r="I9" s="2">
        <f ca="1">IFERROR(__xludf.DUMMYFUNCTION("""COMPUTED_VALUE"""),44833)</f>
        <v>44833</v>
      </c>
      <c r="J9" s="2">
        <f ca="1">IFERROR(__xludf.DUMMYFUNCTION("""COMPUTED_VALUE"""),45197)</f>
        <v>45197</v>
      </c>
    </row>
    <row r="10" spans="1:10" x14ac:dyDescent="0.25">
      <c r="A10" s="1" t="str">
        <f ca="1">IFERROR(__xludf.DUMMYFUNCTION("""COMPUTED_VALUE"""),"Talentum TSE")</f>
        <v>Talentum TSE</v>
      </c>
      <c r="B10" s="1" t="str">
        <f ca="1">IFERROR(__xludf.DUMMYFUNCTION("""COMPUTED_VALUE"""),"Czira Márk Zsolt")</f>
        <v>Czira Márk Zsolt</v>
      </c>
      <c r="C10" s="1"/>
      <c r="D10" s="1" t="str">
        <f ca="1">IFERROR(__xludf.DUMMYFUNCTION("""COMPUTED_VALUE"""),"Férfi")</f>
        <v>Férfi</v>
      </c>
      <c r="E10" s="1"/>
      <c r="F10" s="1">
        <f ca="1">IFERROR(__xludf.DUMMYFUNCTION("""COMPUTED_VALUE"""),2011)</f>
        <v>2011</v>
      </c>
      <c r="G10" s="1">
        <f ca="1">IFERROR(__xludf.DUMMYFUNCTION("""COMPUTED_VALUE"""),3546)</f>
        <v>3546</v>
      </c>
      <c r="H10" s="1" t="str">
        <f ca="1">IFERROR(__xludf.DUMMYFUNCTION("""COMPUTED_VALUE"""),"MTLSZ003546A22")</f>
        <v>MTLSZ003546A22</v>
      </c>
      <c r="I10" s="2">
        <f ca="1">IFERROR(__xludf.DUMMYFUNCTION("""COMPUTED_VALUE"""),44833)</f>
        <v>44833</v>
      </c>
      <c r="J10" s="2">
        <f ca="1">IFERROR(__xludf.DUMMYFUNCTION("""COMPUTED_VALUE"""),45197)</f>
        <v>45197</v>
      </c>
    </row>
    <row r="11" spans="1:10" x14ac:dyDescent="0.25">
      <c r="A11" s="1" t="str">
        <f ca="1">IFERROR(__xludf.DUMMYFUNCTION("""COMPUTED_VALUE"""),"Talentum TSE")</f>
        <v>Talentum TSE</v>
      </c>
      <c r="B11" s="1" t="str">
        <f ca="1">IFERROR(__xludf.DUMMYFUNCTION("""COMPUTED_VALUE"""),"Gaál Miklós")</f>
        <v>Gaál Miklós</v>
      </c>
      <c r="C11" s="1"/>
      <c r="D11" s="1" t="str">
        <f ca="1">IFERROR(__xludf.DUMMYFUNCTION("""COMPUTED_VALUE"""),"Férfi")</f>
        <v>Férfi</v>
      </c>
      <c r="E11" s="1"/>
      <c r="F11" s="1">
        <f ca="1">IFERROR(__xludf.DUMMYFUNCTION("""COMPUTED_VALUE"""),2007)</f>
        <v>2007</v>
      </c>
      <c r="G11" s="1">
        <f ca="1">IFERROR(__xludf.DUMMYFUNCTION("""COMPUTED_VALUE"""),3032)</f>
        <v>3032</v>
      </c>
      <c r="H11" s="1" t="str">
        <f ca="1">IFERROR(__xludf.DUMMYFUNCTION("""COMPUTED_VALUE"""),"MTLSZ003032A22")</f>
        <v>MTLSZ003032A22</v>
      </c>
      <c r="I11" s="2">
        <f ca="1">IFERROR(__xludf.DUMMYFUNCTION("""COMPUTED_VALUE"""),44833)</f>
        <v>44833</v>
      </c>
      <c r="J11" s="2">
        <f ca="1">IFERROR(__xludf.DUMMYFUNCTION("""COMPUTED_VALUE"""),45197)</f>
        <v>45197</v>
      </c>
    </row>
    <row r="12" spans="1:10" x14ac:dyDescent="0.25">
      <c r="A12" s="1" t="str">
        <f ca="1">IFERROR(__xludf.DUMMYFUNCTION("""COMPUTED_VALUE"""),"Talentum TSE")</f>
        <v>Talentum TSE</v>
      </c>
      <c r="B12" s="1" t="str">
        <f ca="1">IFERROR(__xludf.DUMMYFUNCTION("""COMPUTED_VALUE"""),"Hajna Ádám Bendegúz")</f>
        <v>Hajna Ádám Bendegúz</v>
      </c>
      <c r="C12" s="1"/>
      <c r="D12" s="1" t="str">
        <f ca="1">IFERROR(__xludf.DUMMYFUNCTION("""COMPUTED_VALUE"""),"Férfi")</f>
        <v>Férfi</v>
      </c>
      <c r="E12" s="1"/>
      <c r="F12" s="1">
        <f ca="1">IFERROR(__xludf.DUMMYFUNCTION("""COMPUTED_VALUE"""),2009)</f>
        <v>2009</v>
      </c>
      <c r="G12" s="1">
        <f ca="1">IFERROR(__xludf.DUMMYFUNCTION("""COMPUTED_VALUE"""),4823)</f>
        <v>4823</v>
      </c>
      <c r="H12" s="1" t="str">
        <f ca="1">IFERROR(__xludf.DUMMYFUNCTION("""COMPUTED_VALUE"""),"MTLSZ004823A22")</f>
        <v>MTLSZ004823A22</v>
      </c>
      <c r="I12" s="2">
        <f ca="1">IFERROR(__xludf.DUMMYFUNCTION("""COMPUTED_VALUE"""),44833)</f>
        <v>44833</v>
      </c>
      <c r="J12" s="2">
        <f ca="1">IFERROR(__xludf.DUMMYFUNCTION("""COMPUTED_VALUE"""),45197)</f>
        <v>45197</v>
      </c>
    </row>
    <row r="13" spans="1:10" x14ac:dyDescent="0.25">
      <c r="A13" s="1" t="str">
        <f ca="1">IFERROR(__xludf.DUMMYFUNCTION("""COMPUTED_VALUE"""),"Talentum TSE")</f>
        <v>Talentum TSE</v>
      </c>
      <c r="B13" s="1" t="str">
        <f ca="1">IFERROR(__xludf.DUMMYFUNCTION("""COMPUTED_VALUE"""),"Helman Gábor")</f>
        <v>Helman Gábor</v>
      </c>
      <c r="C13" s="1"/>
      <c r="D13" s="1" t="str">
        <f ca="1">IFERROR(__xludf.DUMMYFUNCTION("""COMPUTED_VALUE"""),"Férfi")</f>
        <v>Férfi</v>
      </c>
      <c r="E13" s="1"/>
      <c r="F13" s="1">
        <f ca="1">IFERROR(__xludf.DUMMYFUNCTION("""COMPUTED_VALUE"""),2004)</f>
        <v>2004</v>
      </c>
      <c r="G13" s="1">
        <f ca="1">IFERROR(__xludf.DUMMYFUNCTION("""COMPUTED_VALUE"""),4824)</f>
        <v>4824</v>
      </c>
      <c r="H13" s="1" t="str">
        <f ca="1">IFERROR(__xludf.DUMMYFUNCTION("""COMPUTED_VALUE"""),"MTLSZ004824A22")</f>
        <v>MTLSZ004824A22</v>
      </c>
      <c r="I13" s="2">
        <f ca="1">IFERROR(__xludf.DUMMYFUNCTION("""COMPUTED_VALUE"""),44833)</f>
        <v>44833</v>
      </c>
      <c r="J13" s="2">
        <f ca="1">IFERROR(__xludf.DUMMYFUNCTION("""COMPUTED_VALUE"""),45197)</f>
        <v>45197</v>
      </c>
    </row>
    <row r="14" spans="1:10" x14ac:dyDescent="0.25">
      <c r="A14" s="1" t="str">
        <f ca="1">IFERROR(__xludf.DUMMYFUNCTION("""COMPUTED_VALUE"""),"Talentum TSE")</f>
        <v>Talentum TSE</v>
      </c>
      <c r="B14" s="1" t="str">
        <f ca="1">IFERROR(__xludf.DUMMYFUNCTION("""COMPUTED_VALUE"""),"Ilcsik Huba")</f>
        <v>Ilcsik Huba</v>
      </c>
      <c r="C14" s="1"/>
      <c r="D14" s="1" t="str">
        <f ca="1">IFERROR(__xludf.DUMMYFUNCTION("""COMPUTED_VALUE"""),"Férfi")</f>
        <v>Férfi</v>
      </c>
      <c r="E14" s="1"/>
      <c r="F14" s="1">
        <f ca="1">IFERROR(__xludf.DUMMYFUNCTION("""COMPUTED_VALUE"""),1976)</f>
        <v>1976</v>
      </c>
      <c r="G14" s="1">
        <f ca="1">IFERROR(__xludf.DUMMYFUNCTION("""COMPUTED_VALUE"""),3210)</f>
        <v>3210</v>
      </c>
      <c r="H14" s="1" t="str">
        <f ca="1">IFERROR(__xludf.DUMMYFUNCTION("""COMPUTED_VALUE"""),"MTLSZ003210A22")</f>
        <v>MTLSZ003210A22</v>
      </c>
      <c r="I14" s="2">
        <f ca="1">IFERROR(__xludf.DUMMYFUNCTION("""COMPUTED_VALUE"""),44833)</f>
        <v>44833</v>
      </c>
      <c r="J14" s="2">
        <f ca="1">IFERROR(__xludf.DUMMYFUNCTION("""COMPUTED_VALUE"""),45197)</f>
        <v>45197</v>
      </c>
    </row>
    <row r="15" spans="1:10" x14ac:dyDescent="0.25">
      <c r="A15" s="1" t="str">
        <f ca="1">IFERROR(__xludf.DUMMYFUNCTION("""COMPUTED_VALUE"""),"Talentum TSE")</f>
        <v>Talentum TSE</v>
      </c>
      <c r="B15" s="1" t="str">
        <f ca="1">IFERROR(__xludf.DUMMYFUNCTION("""COMPUTED_VALUE"""),"Kékesi Laura")</f>
        <v>Kékesi Laura</v>
      </c>
      <c r="C15" s="1"/>
      <c r="D15" s="1" t="str">
        <f ca="1">IFERROR(__xludf.DUMMYFUNCTION("""COMPUTED_VALUE"""),"Nő")</f>
        <v>Nő</v>
      </c>
      <c r="E15" s="1"/>
      <c r="F15" s="1">
        <f ca="1">IFERROR(__xludf.DUMMYFUNCTION("""COMPUTED_VALUE"""),2006)</f>
        <v>2006</v>
      </c>
      <c r="G15" s="1">
        <f ca="1">IFERROR(__xludf.DUMMYFUNCTION("""COMPUTED_VALUE"""),4827)</f>
        <v>4827</v>
      </c>
      <c r="H15" s="1" t="str">
        <f ca="1">IFERROR(__xludf.DUMMYFUNCTION("""COMPUTED_VALUE"""),"MTLSZ004827A22")</f>
        <v>MTLSZ004827A22</v>
      </c>
      <c r="I15" s="2">
        <f ca="1">IFERROR(__xludf.DUMMYFUNCTION("""COMPUTED_VALUE"""),44833)</f>
        <v>44833</v>
      </c>
      <c r="J15" s="2">
        <f ca="1">IFERROR(__xludf.DUMMYFUNCTION("""COMPUTED_VALUE"""),45197)</f>
        <v>45197</v>
      </c>
    </row>
    <row r="16" spans="1:10" x14ac:dyDescent="0.25">
      <c r="A16" s="1" t="str">
        <f ca="1">IFERROR(__xludf.DUMMYFUNCTION("""COMPUTED_VALUE"""),"Talentum TSE")</f>
        <v>Talentum TSE</v>
      </c>
      <c r="B16" s="1" t="str">
        <f ca="1">IFERROR(__xludf.DUMMYFUNCTION("""COMPUTED_VALUE"""),"Kicska Lora Szilvia")</f>
        <v>Kicska Lora Szilvia</v>
      </c>
      <c r="C16" s="1"/>
      <c r="D16" s="1" t="str">
        <f ca="1">IFERROR(__xludf.DUMMYFUNCTION("""COMPUTED_VALUE"""),"Nő")</f>
        <v>Nő</v>
      </c>
      <c r="E16" s="1"/>
      <c r="F16" s="1">
        <f ca="1">IFERROR(__xludf.DUMMYFUNCTION("""COMPUTED_VALUE"""),2010)</f>
        <v>2010</v>
      </c>
      <c r="G16" s="1">
        <f ca="1">IFERROR(__xludf.DUMMYFUNCTION("""COMPUTED_VALUE"""),4307)</f>
        <v>4307</v>
      </c>
      <c r="H16" s="1" t="str">
        <f ca="1">IFERROR(__xludf.DUMMYFUNCTION("""COMPUTED_VALUE"""),"MTLSZ004307A22")</f>
        <v>MTLSZ004307A22</v>
      </c>
      <c r="I16" s="2">
        <f ca="1">IFERROR(__xludf.DUMMYFUNCTION("""COMPUTED_VALUE"""),44833)</f>
        <v>44833</v>
      </c>
      <c r="J16" s="2">
        <f ca="1">IFERROR(__xludf.DUMMYFUNCTION("""COMPUTED_VALUE"""),45197)</f>
        <v>45197</v>
      </c>
    </row>
    <row r="17" spans="1:10" x14ac:dyDescent="0.25">
      <c r="A17" s="1" t="str">
        <f ca="1">IFERROR(__xludf.DUMMYFUNCTION("""COMPUTED_VALUE"""),"Talentum TSE")</f>
        <v>Talentum TSE</v>
      </c>
      <c r="B17" s="1" t="str">
        <f ca="1">IFERROR(__xludf.DUMMYFUNCTION("""COMPUTED_VALUE"""),"Németh András János")</f>
        <v>Németh András János</v>
      </c>
      <c r="C17" s="1"/>
      <c r="D17" s="1" t="str">
        <f ca="1">IFERROR(__xludf.DUMMYFUNCTION("""COMPUTED_VALUE"""),"Férfi")</f>
        <v>Férfi</v>
      </c>
      <c r="E17" s="1"/>
      <c r="F17" s="1">
        <f ca="1">IFERROR(__xludf.DUMMYFUNCTION("""COMPUTED_VALUE"""),2007)</f>
        <v>2007</v>
      </c>
      <c r="G17" s="1">
        <f ca="1">IFERROR(__xludf.DUMMYFUNCTION("""COMPUTED_VALUE"""),4822)</f>
        <v>4822</v>
      </c>
      <c r="H17" s="1" t="str">
        <f ca="1">IFERROR(__xludf.DUMMYFUNCTION("""COMPUTED_VALUE"""),"MTLSZ004822A22")</f>
        <v>MTLSZ004822A22</v>
      </c>
      <c r="I17" s="2">
        <f ca="1">IFERROR(__xludf.DUMMYFUNCTION("""COMPUTED_VALUE"""),44833)</f>
        <v>44833</v>
      </c>
      <c r="J17" s="2">
        <f ca="1">IFERROR(__xludf.DUMMYFUNCTION("""COMPUTED_VALUE"""),45197)</f>
        <v>45197</v>
      </c>
    </row>
    <row r="18" spans="1:10" x14ac:dyDescent="0.25">
      <c r="A18" s="1" t="str">
        <f ca="1">IFERROR(__xludf.DUMMYFUNCTION("""COMPUTED_VALUE"""),"Talentum TSE")</f>
        <v>Talentum TSE</v>
      </c>
      <c r="B18" s="1" t="str">
        <f ca="1">IFERROR(__xludf.DUMMYFUNCTION("""COMPUTED_VALUE"""),"Pásztor Ádám")</f>
        <v>Pásztor Ádám</v>
      </c>
      <c r="C18" s="1"/>
      <c r="D18" s="1" t="str">
        <f ca="1">IFERROR(__xludf.DUMMYFUNCTION("""COMPUTED_VALUE"""),"Férfi")</f>
        <v>Férfi</v>
      </c>
      <c r="E18" s="1"/>
      <c r="F18" s="1">
        <f ca="1">IFERROR(__xludf.DUMMYFUNCTION("""COMPUTED_VALUE"""),2004)</f>
        <v>2004</v>
      </c>
      <c r="G18" s="1">
        <f ca="1">IFERROR(__xludf.DUMMYFUNCTION("""COMPUTED_VALUE"""),3332)</f>
        <v>3332</v>
      </c>
      <c r="H18" s="1" t="str">
        <f ca="1">IFERROR(__xludf.DUMMYFUNCTION("""COMPUTED_VALUE"""),"MTLSZ003332A22")</f>
        <v>MTLSZ003332A22</v>
      </c>
      <c r="I18" s="2">
        <f ca="1">IFERROR(__xludf.DUMMYFUNCTION("""COMPUTED_VALUE"""),44833)</f>
        <v>44833</v>
      </c>
      <c r="J18" s="2">
        <f ca="1">IFERROR(__xludf.DUMMYFUNCTION("""COMPUTED_VALUE"""),45197)</f>
        <v>45197</v>
      </c>
    </row>
    <row r="19" spans="1:10" x14ac:dyDescent="0.25">
      <c r="A19" s="1" t="str">
        <f ca="1">IFERROR(__xludf.DUMMYFUNCTION("""COMPUTED_VALUE"""),"Talentum TSE")</f>
        <v>Talentum TSE</v>
      </c>
      <c r="B19" s="1" t="str">
        <f ca="1">IFERROR(__xludf.DUMMYFUNCTION("""COMPUTED_VALUE"""),"Pásztor Dániel")</f>
        <v>Pásztor Dániel</v>
      </c>
      <c r="C19" s="1"/>
      <c r="D19" s="1" t="str">
        <f ca="1">IFERROR(__xludf.DUMMYFUNCTION("""COMPUTED_VALUE"""),"Férfi")</f>
        <v>Férfi</v>
      </c>
      <c r="E19" s="1"/>
      <c r="F19" s="1">
        <f ca="1">IFERROR(__xludf.DUMMYFUNCTION("""COMPUTED_VALUE"""),2009)</f>
        <v>2009</v>
      </c>
      <c r="G19" s="1">
        <f ca="1">IFERROR(__xludf.DUMMYFUNCTION("""COMPUTED_VALUE"""),3497)</f>
        <v>3497</v>
      </c>
      <c r="H19" s="1" t="str">
        <f ca="1">IFERROR(__xludf.DUMMYFUNCTION("""COMPUTED_VALUE"""),"MTLSZ003497A22")</f>
        <v>MTLSZ003497A22</v>
      </c>
      <c r="I19" s="2">
        <f ca="1">IFERROR(__xludf.DUMMYFUNCTION("""COMPUTED_VALUE"""),44833)</f>
        <v>44833</v>
      </c>
      <c r="J19" s="2">
        <f ca="1">IFERROR(__xludf.DUMMYFUNCTION("""COMPUTED_VALUE"""),45197)</f>
        <v>45197</v>
      </c>
    </row>
    <row r="20" spans="1:10" x14ac:dyDescent="0.25">
      <c r="A20" s="1" t="str">
        <f ca="1">IFERROR(__xludf.DUMMYFUNCTION("""COMPUTED_VALUE"""),"Talentum TSE")</f>
        <v>Talentum TSE</v>
      </c>
      <c r="B20" s="1" t="str">
        <f ca="1">IFERROR(__xludf.DUMMYFUNCTION("""COMPUTED_VALUE"""),"Szalai Vivien")</f>
        <v>Szalai Vivien</v>
      </c>
      <c r="C20" s="1"/>
      <c r="D20" s="1" t="str">
        <f ca="1">IFERROR(__xludf.DUMMYFUNCTION("""COMPUTED_VALUE"""),"Nő")</f>
        <v>Nő</v>
      </c>
      <c r="E20" s="1"/>
      <c r="F20" s="1">
        <f ca="1">IFERROR(__xludf.DUMMYFUNCTION("""COMPUTED_VALUE"""),2002)</f>
        <v>2002</v>
      </c>
      <c r="G20" s="1">
        <f ca="1">IFERROR(__xludf.DUMMYFUNCTION("""COMPUTED_VALUE"""),2708)</f>
        <v>2708</v>
      </c>
      <c r="H20" s="1" t="str">
        <f ca="1">IFERROR(__xludf.DUMMYFUNCTION("""COMPUTED_VALUE"""),"MTLSZ002708A22")</f>
        <v>MTLSZ002708A22</v>
      </c>
      <c r="I20" s="2">
        <f ca="1">IFERROR(__xludf.DUMMYFUNCTION("""COMPUTED_VALUE"""),44833)</f>
        <v>44833</v>
      </c>
      <c r="J20" s="2">
        <f ca="1">IFERROR(__xludf.DUMMYFUNCTION("""COMPUTED_VALUE"""),45197)</f>
        <v>45197</v>
      </c>
    </row>
    <row r="21" spans="1:10" x14ac:dyDescent="0.25">
      <c r="A21" s="1" t="str">
        <f ca="1">IFERROR(__xludf.DUMMYFUNCTION("""COMPUTED_VALUE"""),"Talentum TSE")</f>
        <v>Talentum TSE</v>
      </c>
      <c r="B21" s="1" t="str">
        <f ca="1">IFERROR(__xludf.DUMMYFUNCTION("""COMPUTED_VALUE"""),"Szécsi Ádám")</f>
        <v>Szécsi Ádám</v>
      </c>
      <c r="C21" s="1"/>
      <c r="D21" s="1" t="str">
        <f ca="1">IFERROR(__xludf.DUMMYFUNCTION("""COMPUTED_VALUE"""),"Férfi")</f>
        <v>Férfi</v>
      </c>
      <c r="E21" s="1"/>
      <c r="F21" s="1">
        <f ca="1">IFERROR(__xludf.DUMMYFUNCTION("""COMPUTED_VALUE"""),2005)</f>
        <v>2005</v>
      </c>
      <c r="G21" s="1">
        <f ca="1">IFERROR(__xludf.DUMMYFUNCTION("""COMPUTED_VALUE"""),4825)</f>
        <v>4825</v>
      </c>
      <c r="H21" s="1" t="str">
        <f ca="1">IFERROR(__xludf.DUMMYFUNCTION("""COMPUTED_VALUE"""),"MTLSZ004825A22")</f>
        <v>MTLSZ004825A22</v>
      </c>
      <c r="I21" s="2">
        <f ca="1">IFERROR(__xludf.DUMMYFUNCTION("""COMPUTED_VALUE"""),44833)</f>
        <v>44833</v>
      </c>
      <c r="J21" s="2">
        <f ca="1">IFERROR(__xludf.DUMMYFUNCTION("""COMPUTED_VALUE"""),45197)</f>
        <v>45197</v>
      </c>
    </row>
    <row r="22" spans="1:10" x14ac:dyDescent="0.25">
      <c r="A22" s="1" t="str">
        <f ca="1">IFERROR(__xludf.DUMMYFUNCTION("""COMPUTED_VALUE"""),"Talentum TSE")</f>
        <v>Talentum TSE</v>
      </c>
      <c r="B22" s="1" t="str">
        <f ca="1">IFERROR(__xludf.DUMMYFUNCTION("""COMPUTED_VALUE"""),"Szűcs Zoltán")</f>
        <v>Szűcs Zoltán</v>
      </c>
      <c r="C22" s="1"/>
      <c r="D22" s="1" t="str">
        <f ca="1">IFERROR(__xludf.DUMMYFUNCTION("""COMPUTED_VALUE"""),"Férfi")</f>
        <v>Férfi</v>
      </c>
      <c r="E22" s="1"/>
      <c r="F22" s="1">
        <f ca="1">IFERROR(__xludf.DUMMYFUNCTION("""COMPUTED_VALUE"""),1973)</f>
        <v>1973</v>
      </c>
      <c r="G22" s="1">
        <f ca="1">IFERROR(__xludf.DUMMYFUNCTION("""COMPUTED_VALUE"""),978)</f>
        <v>978</v>
      </c>
      <c r="H22" s="1" t="str">
        <f ca="1">IFERROR(__xludf.DUMMYFUNCTION("""COMPUTED_VALUE"""),"MTLSZ000978A22")</f>
        <v>MTLSZ000978A22</v>
      </c>
      <c r="I22" s="2">
        <f ca="1">IFERROR(__xludf.DUMMYFUNCTION("""COMPUTED_VALUE"""),44833)</f>
        <v>44833</v>
      </c>
      <c r="J22" s="2">
        <f ca="1">IFERROR(__xludf.DUMMYFUNCTION("""COMPUTED_VALUE"""),45197)</f>
        <v>45197</v>
      </c>
    </row>
    <row r="23" spans="1:10" x14ac:dyDescent="0.25">
      <c r="A23" s="1" t="str">
        <f ca="1">IFERROR(__xludf.DUMMYFUNCTION("""COMPUTED_VALUE"""),"Talentum TSE")</f>
        <v>Talentum TSE</v>
      </c>
      <c r="B23" s="1" t="str">
        <f ca="1">IFERROR(__xludf.DUMMYFUNCTION("""COMPUTED_VALUE"""),"Tamás Fülöp Zsombor")</f>
        <v>Tamás Fülöp Zsombor</v>
      </c>
      <c r="C23" s="1"/>
      <c r="D23" s="1" t="str">
        <f ca="1">IFERROR(__xludf.DUMMYFUNCTION("""COMPUTED_VALUE"""),"Férfi")</f>
        <v>Férfi</v>
      </c>
      <c r="E23" s="1"/>
      <c r="F23" s="1">
        <f ca="1">IFERROR(__xludf.DUMMYFUNCTION("""COMPUTED_VALUE"""),2008)</f>
        <v>2008</v>
      </c>
      <c r="G23" s="1">
        <f ca="1">IFERROR(__xludf.DUMMYFUNCTION("""COMPUTED_VALUE"""),3291)</f>
        <v>3291</v>
      </c>
      <c r="H23" s="1" t="str">
        <f ca="1">IFERROR(__xludf.DUMMYFUNCTION("""COMPUTED_VALUE"""),"MTLSZ003291A22")</f>
        <v>MTLSZ003291A22</v>
      </c>
      <c r="I23" s="2">
        <f ca="1">IFERROR(__xludf.DUMMYFUNCTION("""COMPUTED_VALUE"""),44833)</f>
        <v>44833</v>
      </c>
      <c r="J23" s="2">
        <f ca="1">IFERROR(__xludf.DUMMYFUNCTION("""COMPUTED_VALUE"""),45197)</f>
        <v>45197</v>
      </c>
    </row>
    <row r="24" spans="1:10" x14ac:dyDescent="0.25">
      <c r="A24" s="1" t="str">
        <f ca="1">IFERROR(__xludf.DUMMYFUNCTION("""COMPUTED_VALUE"""),"Talentum TSE")</f>
        <v>Talentum TSE</v>
      </c>
      <c r="B24" s="1" t="str">
        <f ca="1">IFERROR(__xludf.DUMMYFUNCTION("""COMPUTED_VALUE"""),"Tóth Richárd")</f>
        <v>Tóth Richárd</v>
      </c>
      <c r="C24" s="1"/>
      <c r="D24" s="1" t="str">
        <f ca="1">IFERROR(__xludf.DUMMYFUNCTION("""COMPUTED_VALUE"""),"Férfi")</f>
        <v>Férfi</v>
      </c>
      <c r="E24" s="1"/>
      <c r="F24" s="1">
        <f ca="1">IFERROR(__xludf.DUMMYFUNCTION("""COMPUTED_VALUE"""),1991)</f>
        <v>1991</v>
      </c>
      <c r="G24" s="1">
        <f ca="1">IFERROR(__xludf.DUMMYFUNCTION("""COMPUTED_VALUE"""),1584)</f>
        <v>1584</v>
      </c>
      <c r="H24" s="1" t="str">
        <f ca="1">IFERROR(__xludf.DUMMYFUNCTION("""COMPUTED_VALUE"""),"MTLSZ001584A22")</f>
        <v>MTLSZ001584A22</v>
      </c>
      <c r="I24" s="2">
        <f ca="1">IFERROR(__xludf.DUMMYFUNCTION("""COMPUTED_VALUE"""),44833)</f>
        <v>44833</v>
      </c>
      <c r="J24" s="2">
        <f ca="1">IFERROR(__xludf.DUMMYFUNCTION("""COMPUTED_VALUE"""),45197)</f>
        <v>45197</v>
      </c>
    </row>
    <row r="25" spans="1:10" x14ac:dyDescent="0.25">
      <c r="A25" s="1" t="str">
        <f ca="1">IFERROR(__xludf.DUMMYFUNCTION("""COMPUTED_VALUE"""),"Talentum TSE")</f>
        <v>Talentum TSE</v>
      </c>
      <c r="B25" s="1" t="str">
        <f ca="1">IFERROR(__xludf.DUMMYFUNCTION("""COMPUTED_VALUE"""),"Vékássy Illés")</f>
        <v>Vékássy Illés</v>
      </c>
      <c r="C25" s="1"/>
      <c r="D25" s="1" t="str">
        <f ca="1">IFERROR(__xludf.DUMMYFUNCTION("""COMPUTED_VALUE"""),"Férfi")</f>
        <v>Férfi</v>
      </c>
      <c r="E25" s="1"/>
      <c r="F25" s="1">
        <f ca="1">IFERROR(__xludf.DUMMYFUNCTION("""COMPUTED_VALUE"""),2003)</f>
        <v>2003</v>
      </c>
      <c r="G25" s="1">
        <f ca="1">IFERROR(__xludf.DUMMYFUNCTION("""COMPUTED_VALUE"""),4661)</f>
        <v>4661</v>
      </c>
      <c r="H25" s="1" t="str">
        <f ca="1">IFERROR(__xludf.DUMMYFUNCTION("""COMPUTED_VALUE"""),"MTLSZ004661A22")</f>
        <v>MTLSZ004661A22</v>
      </c>
      <c r="I25" s="2">
        <f ca="1">IFERROR(__xludf.DUMMYFUNCTION("""COMPUTED_VALUE"""),44833)</f>
        <v>44833</v>
      </c>
      <c r="J25" s="2">
        <f ca="1">IFERROR(__xludf.DUMMYFUNCTION("""COMPUTED_VALUE"""),45197)</f>
        <v>45197</v>
      </c>
    </row>
    <row r="26" spans="1:10" x14ac:dyDescent="0.25">
      <c r="A26" s="1" t="str">
        <f ca="1">IFERROR(__xludf.DUMMYFUNCTION("""COMPUTED_VALUE"""),"Újpest TSE")</f>
        <v>Újpest TSE</v>
      </c>
      <c r="B26" s="1" t="str">
        <f ca="1">IFERROR(__xludf.DUMMYFUNCTION("""COMPUTED_VALUE"""),"Vietórisz Norbert")</f>
        <v>Vietórisz Norbert</v>
      </c>
      <c r="C26" s="1"/>
      <c r="D26" s="1" t="str">
        <f ca="1">IFERROR(__xludf.DUMMYFUNCTION("""COMPUTED_VALUE"""),"Férfi")</f>
        <v>Férfi</v>
      </c>
      <c r="E26" s="1"/>
      <c r="F26" s="1">
        <f ca="1">IFERROR(__xludf.DUMMYFUNCTION("""COMPUTED_VALUE"""),2007)</f>
        <v>2007</v>
      </c>
      <c r="G26" s="1">
        <f ca="1">IFERROR(__xludf.DUMMYFUNCTION("""COMPUTED_VALUE"""),3361)</f>
        <v>3361</v>
      </c>
      <c r="H26" s="1" t="str">
        <f ca="1">IFERROR(__xludf.DUMMYFUNCTION("""COMPUTED_VALUE"""),"MTLSZ003361A22")</f>
        <v>MTLSZ003361A22</v>
      </c>
      <c r="I26" s="2">
        <f ca="1">IFERROR(__xludf.DUMMYFUNCTION("""COMPUTED_VALUE"""),44833)</f>
        <v>44833</v>
      </c>
      <c r="J26" s="2">
        <f ca="1">IFERROR(__xludf.DUMMYFUNCTION("""COMPUTED_VALUE"""),45197)</f>
        <v>45197</v>
      </c>
    </row>
    <row r="27" spans="1:10" x14ac:dyDescent="0.25">
      <c r="A27" s="1" t="str">
        <f ca="1">IFERROR(__xludf.DUMMYFUNCTION("""COMPUTED_VALUE"""),"BEAC")</f>
        <v>BEAC</v>
      </c>
      <c r="B27" s="1" t="str">
        <f ca="1">IFERROR(__xludf.DUMMYFUNCTION("""COMPUTED_VALUE"""),"Ferenczi Zoltán")</f>
        <v>Ferenczi Zoltán</v>
      </c>
      <c r="C27" s="1"/>
      <c r="D27" s="1" t="str">
        <f ca="1">IFERROR(__xludf.DUMMYFUNCTION("""COMPUTED_VALUE"""),"Férfi")</f>
        <v>Férfi</v>
      </c>
      <c r="E27" s="1"/>
      <c r="F27" s="1">
        <f ca="1">IFERROR(__xludf.DUMMYFUNCTION("""COMPUTED_VALUE"""),1977)</f>
        <v>1977</v>
      </c>
      <c r="G27" s="1">
        <f ca="1">IFERROR(__xludf.DUMMYFUNCTION("""COMPUTED_VALUE"""),1926)</f>
        <v>1926</v>
      </c>
      <c r="H27" s="1" t="str">
        <f ca="1">IFERROR(__xludf.DUMMYFUNCTION("""COMPUTED_VALUE"""),"MTLSZ001926A22")</f>
        <v>MTLSZ001926A22</v>
      </c>
      <c r="I27" s="2">
        <f ca="1">IFERROR(__xludf.DUMMYFUNCTION("""COMPUTED_VALUE"""),44831)</f>
        <v>44831</v>
      </c>
      <c r="J27" s="2">
        <f ca="1">IFERROR(__xludf.DUMMYFUNCTION("""COMPUTED_VALUE"""),45195)</f>
        <v>45195</v>
      </c>
    </row>
    <row r="28" spans="1:10" x14ac:dyDescent="0.25">
      <c r="A28" s="1" t="str">
        <f ca="1">IFERROR(__xludf.DUMMYFUNCTION("""COMPUTED_VALUE"""),"Danubius KSE")</f>
        <v>Danubius KSE</v>
      </c>
      <c r="B28" s="1" t="str">
        <f ca="1">IFERROR(__xludf.DUMMYFUNCTION("""COMPUTED_VALUE"""),"Tokodi Dániel")</f>
        <v>Tokodi Dániel</v>
      </c>
      <c r="C28" s="1"/>
      <c r="D28" s="1" t="str">
        <f ca="1">IFERROR(__xludf.DUMMYFUNCTION("""COMPUTED_VALUE"""),"Férfi")</f>
        <v>Férfi</v>
      </c>
      <c r="E28" s="1"/>
      <c r="F28" s="1">
        <f ca="1">IFERROR(__xludf.DUMMYFUNCTION("""COMPUTED_VALUE"""),2003)</f>
        <v>2003</v>
      </c>
      <c r="G28" s="1">
        <f ca="1">IFERROR(__xludf.DUMMYFUNCTION("""COMPUTED_VALUE"""),2529)</f>
        <v>2529</v>
      </c>
      <c r="H28" s="1" t="str">
        <f ca="1">IFERROR(__xludf.DUMMYFUNCTION("""COMPUTED_VALUE"""),"MTLSZ002529A22")</f>
        <v>MTLSZ002529A22</v>
      </c>
      <c r="I28" s="2">
        <f ca="1">IFERROR(__xludf.DUMMYFUNCTION("""COMPUTED_VALUE"""),44831)</f>
        <v>44831</v>
      </c>
      <c r="J28" s="2">
        <f ca="1">IFERROR(__xludf.DUMMYFUNCTION("""COMPUTED_VALUE"""),45195)</f>
        <v>45195</v>
      </c>
    </row>
    <row r="29" spans="1:10" x14ac:dyDescent="0.25">
      <c r="A29" s="1" t="str">
        <f ca="1">IFERROR(__xludf.DUMMYFUNCTION("""COMPUTED_VALUE"""),"Életmód SE")</f>
        <v>Életmód SE</v>
      </c>
      <c r="B29" s="1" t="str">
        <f ca="1">IFERROR(__xludf.DUMMYFUNCTION("""COMPUTED_VALUE"""),"Récsei Luca")</f>
        <v>Récsei Luca</v>
      </c>
      <c r="C29" s="1"/>
      <c r="D29" s="1" t="str">
        <f ca="1">IFERROR(__xludf.DUMMYFUNCTION("""COMPUTED_VALUE"""),"Nő")</f>
        <v>Nő</v>
      </c>
      <c r="E29" s="1"/>
      <c r="F29" s="1">
        <f ca="1">IFERROR(__xludf.DUMMYFUNCTION("""COMPUTED_VALUE"""),1984)</f>
        <v>1984</v>
      </c>
      <c r="G29" s="1">
        <f ca="1">IFERROR(__xludf.DUMMYFUNCTION("""COMPUTED_VALUE"""),4421)</f>
        <v>4421</v>
      </c>
      <c r="H29" s="1" t="str">
        <f ca="1">IFERROR(__xludf.DUMMYFUNCTION("""COMPUTED_VALUE"""),"MTLSZ004421A22")</f>
        <v>MTLSZ004421A22</v>
      </c>
      <c r="I29" s="2">
        <f ca="1">IFERROR(__xludf.DUMMYFUNCTION("""COMPUTED_VALUE"""),44831)</f>
        <v>44831</v>
      </c>
      <c r="J29" s="2">
        <f ca="1">IFERROR(__xludf.DUMMYFUNCTION("""COMPUTED_VALUE"""),45195)</f>
        <v>45195</v>
      </c>
    </row>
    <row r="30" spans="1:10" x14ac:dyDescent="0.25">
      <c r="A30" s="1" t="str">
        <f ca="1">IFERROR(__xludf.DUMMYFUNCTION("""COMPUTED_VALUE"""),"Klébi DSE")</f>
        <v>Klébi DSE</v>
      </c>
      <c r="B30" s="1" t="str">
        <f ca="1">IFERROR(__xludf.DUMMYFUNCTION("""COMPUTED_VALUE"""),"Sió Boldizsár Áron")</f>
        <v>Sió Boldizsár Áron</v>
      </c>
      <c r="C30" s="1"/>
      <c r="D30" s="1" t="str">
        <f ca="1">IFERROR(__xludf.DUMMYFUNCTION("""COMPUTED_VALUE"""),"Férfi")</f>
        <v>Férfi</v>
      </c>
      <c r="E30" s="1"/>
      <c r="F30" s="1">
        <f ca="1">IFERROR(__xludf.DUMMYFUNCTION("""COMPUTED_VALUE"""),2004)</f>
        <v>2004</v>
      </c>
      <c r="G30" s="1">
        <f ca="1">IFERROR(__xludf.DUMMYFUNCTION("""COMPUTED_VALUE"""),2879)</f>
        <v>2879</v>
      </c>
      <c r="H30" s="1" t="str">
        <f ca="1">IFERROR(__xludf.DUMMYFUNCTION("""COMPUTED_VALUE"""),"MTLSZ002879A22")</f>
        <v>MTLSZ002879A22</v>
      </c>
      <c r="I30" s="2">
        <f ca="1">IFERROR(__xludf.DUMMYFUNCTION("""COMPUTED_VALUE"""),44831)</f>
        <v>44831</v>
      </c>
      <c r="J30" s="2">
        <f ca="1">IFERROR(__xludf.DUMMYFUNCTION("""COMPUTED_VALUE"""),45195)</f>
        <v>45195</v>
      </c>
    </row>
    <row r="31" spans="1:10" x14ac:dyDescent="0.25">
      <c r="A31" s="1" t="str">
        <f ca="1">IFERROR(__xludf.DUMMYFUNCTION("""COMPUTED_VALUE"""),"Seregélyesi PDSE")</f>
        <v>Seregélyesi PDSE</v>
      </c>
      <c r="B31" s="1" t="str">
        <f ca="1">IFERROR(__xludf.DUMMYFUNCTION("""COMPUTED_VALUE"""),"Varga Laura")</f>
        <v>Varga Laura</v>
      </c>
      <c r="C31" s="1"/>
      <c r="D31" s="1" t="str">
        <f ca="1">IFERROR(__xludf.DUMMYFUNCTION("""COMPUTED_VALUE"""),"Nő")</f>
        <v>Nő</v>
      </c>
      <c r="E31" s="1"/>
      <c r="F31" s="1">
        <f ca="1">IFERROR(__xludf.DUMMYFUNCTION("""COMPUTED_VALUE"""),2010)</f>
        <v>2010</v>
      </c>
      <c r="G31" s="1">
        <f ca="1">IFERROR(__xludf.DUMMYFUNCTION("""COMPUTED_VALUE"""),3435)</f>
        <v>3435</v>
      </c>
      <c r="H31" s="1" t="str">
        <f ca="1">IFERROR(__xludf.DUMMYFUNCTION("""COMPUTED_VALUE"""),"MTLSZ003435A22")</f>
        <v>MTLSZ003435A22</v>
      </c>
      <c r="I31" s="2">
        <f ca="1">IFERROR(__xludf.DUMMYFUNCTION("""COMPUTED_VALUE"""),44831)</f>
        <v>44831</v>
      </c>
      <c r="J31" s="2">
        <f ca="1">IFERROR(__xludf.DUMMYFUNCTION("""COMPUTED_VALUE"""),45195)</f>
        <v>45195</v>
      </c>
    </row>
    <row r="32" spans="1:10" x14ac:dyDescent="0.25">
      <c r="A32" s="1" t="str">
        <f ca="1">IFERROR(__xludf.DUMMYFUNCTION("""COMPUTED_VALUE"""),"Tollas Gólyák SE")</f>
        <v>Tollas Gólyák SE</v>
      </c>
      <c r="B32" s="1" t="str">
        <f ca="1">IFERROR(__xludf.DUMMYFUNCTION("""COMPUTED_VALUE"""),"Pelhős Vince")</f>
        <v>Pelhős Vince</v>
      </c>
      <c r="C32" s="1"/>
      <c r="D32" s="1" t="str">
        <f ca="1">IFERROR(__xludf.DUMMYFUNCTION("""COMPUTED_VALUE"""),"Férfi")</f>
        <v>Férfi</v>
      </c>
      <c r="E32" s="1"/>
      <c r="F32" s="1">
        <f ca="1">IFERROR(__xludf.DUMMYFUNCTION("""COMPUTED_VALUE"""),2008)</f>
        <v>2008</v>
      </c>
      <c r="G32" s="1">
        <f ca="1">IFERROR(__xludf.DUMMYFUNCTION("""COMPUTED_VALUE"""),4564)</f>
        <v>4564</v>
      </c>
      <c r="H32" s="1" t="str">
        <f ca="1">IFERROR(__xludf.DUMMYFUNCTION("""COMPUTED_VALUE"""),"MTLSZ004564A22")</f>
        <v>MTLSZ004564A22</v>
      </c>
      <c r="I32" s="2">
        <f ca="1">IFERROR(__xludf.DUMMYFUNCTION("""COMPUTED_VALUE"""),44831)</f>
        <v>44831</v>
      </c>
      <c r="J32" s="2">
        <f ca="1">IFERROR(__xludf.DUMMYFUNCTION("""COMPUTED_VALUE"""),45195)</f>
        <v>45195</v>
      </c>
    </row>
    <row r="33" spans="1:10" x14ac:dyDescent="0.25">
      <c r="A33" s="1" t="str">
        <f ca="1">IFERROR(__xludf.DUMMYFUNCTION("""COMPUTED_VALUE"""),"T(r)ollas SE")</f>
        <v>T(r)ollas SE</v>
      </c>
      <c r="B33" s="1" t="str">
        <f ca="1">IFERROR(__xludf.DUMMYFUNCTION("""COMPUTED_VALUE"""),"Liang Eliza")</f>
        <v>Liang Eliza</v>
      </c>
      <c r="C33" s="1"/>
      <c r="D33" s="1" t="str">
        <f ca="1">IFERROR(__xludf.DUMMYFUNCTION("""COMPUTED_VALUE"""),"Nő")</f>
        <v>Nő</v>
      </c>
      <c r="E33" s="1"/>
      <c r="F33" s="1">
        <f ca="1">IFERROR(__xludf.DUMMYFUNCTION("""COMPUTED_VALUE"""),2011)</f>
        <v>2011</v>
      </c>
      <c r="G33" s="1">
        <f ca="1">IFERROR(__xludf.DUMMYFUNCTION("""COMPUTED_VALUE"""),3284)</f>
        <v>3284</v>
      </c>
      <c r="H33" s="1" t="str">
        <f ca="1">IFERROR(__xludf.DUMMYFUNCTION("""COMPUTED_VALUE"""),"MTLSZ003284A22")</f>
        <v>MTLSZ003284A22</v>
      </c>
      <c r="I33" s="2">
        <f ca="1">IFERROR(__xludf.DUMMYFUNCTION("""COMPUTED_VALUE"""),44831)</f>
        <v>44831</v>
      </c>
      <c r="J33" s="2">
        <f ca="1">IFERROR(__xludf.DUMMYFUNCTION("""COMPUTED_VALUE"""),45195)</f>
        <v>45195</v>
      </c>
    </row>
    <row r="34" spans="1:10" x14ac:dyDescent="0.25">
      <c r="A34" s="1" t="str">
        <f ca="1">IFERROR(__xludf.DUMMYFUNCTION("""COMPUTED_VALUE"""),"Újpest TSE")</f>
        <v>Újpest TSE</v>
      </c>
      <c r="B34" s="1" t="str">
        <f ca="1">IFERROR(__xludf.DUMMYFUNCTION("""COMPUTED_VALUE"""),"Kiss Ábel Bálint")</f>
        <v>Kiss Ábel Bálint</v>
      </c>
      <c r="C34" s="1"/>
      <c r="D34" s="1" t="str">
        <f ca="1">IFERROR(__xludf.DUMMYFUNCTION("""COMPUTED_VALUE"""),"Férfi")</f>
        <v>Férfi</v>
      </c>
      <c r="E34" s="1"/>
      <c r="F34" s="1">
        <f ca="1">IFERROR(__xludf.DUMMYFUNCTION("""COMPUTED_VALUE"""),2007)</f>
        <v>2007</v>
      </c>
      <c r="G34" s="1">
        <f ca="1">IFERROR(__xludf.DUMMYFUNCTION("""COMPUTED_VALUE"""),3308)</f>
        <v>3308</v>
      </c>
      <c r="H34" s="1" t="str">
        <f ca="1">IFERROR(__xludf.DUMMYFUNCTION("""COMPUTED_VALUE"""),"MTLSZ003308A22")</f>
        <v>MTLSZ003308A22</v>
      </c>
      <c r="I34" s="2">
        <f ca="1">IFERROR(__xludf.DUMMYFUNCTION("""COMPUTED_VALUE"""),44831)</f>
        <v>44831</v>
      </c>
      <c r="J34" s="2">
        <f ca="1">IFERROR(__xludf.DUMMYFUNCTION("""COMPUTED_VALUE"""),45195)</f>
        <v>45195</v>
      </c>
    </row>
    <row r="35" spans="1:10" x14ac:dyDescent="0.25">
      <c r="A35" s="1" t="str">
        <f ca="1">IFERROR(__xludf.DUMMYFUNCTION("""COMPUTED_VALUE"""),"VSD")</f>
        <v>VSD</v>
      </c>
      <c r="B35" s="1" t="str">
        <f ca="1">IFERROR(__xludf.DUMMYFUNCTION("""COMPUTED_VALUE"""),"Herpay Abigél")</f>
        <v>Herpay Abigél</v>
      </c>
      <c r="C35" s="1"/>
      <c r="D35" s="1" t="str">
        <f ca="1">IFERROR(__xludf.DUMMYFUNCTION("""COMPUTED_VALUE"""),"Nő")</f>
        <v>Nő</v>
      </c>
      <c r="E35" s="1"/>
      <c r="F35" s="1">
        <f ca="1">IFERROR(__xludf.DUMMYFUNCTION("""COMPUTED_VALUE"""),2009)</f>
        <v>2009</v>
      </c>
      <c r="G35" s="1">
        <f ca="1">IFERROR(__xludf.DUMMYFUNCTION("""COMPUTED_VALUE"""),3997)</f>
        <v>3997</v>
      </c>
      <c r="H35" s="1" t="str">
        <f ca="1">IFERROR(__xludf.DUMMYFUNCTION("""COMPUTED_VALUE"""),"MTLSZ003997A22")</f>
        <v>MTLSZ003997A22</v>
      </c>
      <c r="I35" s="2">
        <f ca="1">IFERROR(__xludf.DUMMYFUNCTION("""COMPUTED_VALUE"""),44831)</f>
        <v>44831</v>
      </c>
      <c r="J35" s="2">
        <f ca="1">IFERROR(__xludf.DUMMYFUNCTION("""COMPUTED_VALUE"""),45195)</f>
        <v>45195</v>
      </c>
    </row>
    <row r="36" spans="1:10" x14ac:dyDescent="0.25">
      <c r="A36" s="1" t="str">
        <f ca="1">IFERROR(__xludf.DUMMYFUNCTION("""COMPUTED_VALUE"""),"Kék Sólymok SE")</f>
        <v>Kék Sólymok SE</v>
      </c>
      <c r="B36" s="1" t="str">
        <f ca="1">IFERROR(__xludf.DUMMYFUNCTION("""COMPUTED_VALUE"""),"Gonda Anna")</f>
        <v>Gonda Anna</v>
      </c>
      <c r="C36" s="1"/>
      <c r="D36" s="1" t="str">
        <f ca="1">IFERROR(__xludf.DUMMYFUNCTION("""COMPUTED_VALUE"""),"Nő")</f>
        <v>Nő</v>
      </c>
      <c r="E36" s="1"/>
      <c r="F36" s="1">
        <f ca="1">IFERROR(__xludf.DUMMYFUNCTION("""COMPUTED_VALUE"""),2008)</f>
        <v>2008</v>
      </c>
      <c r="G36" s="1">
        <f ca="1">IFERROR(__xludf.DUMMYFUNCTION("""COMPUTED_VALUE"""),3285)</f>
        <v>3285</v>
      </c>
      <c r="H36" s="1" t="str">
        <f ca="1">IFERROR(__xludf.DUMMYFUNCTION("""COMPUTED_VALUE"""),"MTLSZ003285A22")</f>
        <v>MTLSZ003285A22</v>
      </c>
      <c r="I36" s="2">
        <f ca="1">IFERROR(__xludf.DUMMYFUNCTION("""COMPUTED_VALUE"""),44823)</f>
        <v>44823</v>
      </c>
      <c r="J36" s="2">
        <f ca="1">IFERROR(__xludf.DUMMYFUNCTION("""COMPUTED_VALUE"""),45187)</f>
        <v>45187</v>
      </c>
    </row>
    <row r="37" spans="1:10" x14ac:dyDescent="0.25">
      <c r="A37" s="1" t="str">
        <f ca="1">IFERROR(__xludf.DUMMYFUNCTION("""COMPUTED_VALUE"""),"Tisza TSE")</f>
        <v>Tisza TSE</v>
      </c>
      <c r="B37" s="1" t="str">
        <f ca="1">IFERROR(__xludf.DUMMYFUNCTION("""COMPUTED_VALUE"""),"Susányi Vera")</f>
        <v>Susányi Vera</v>
      </c>
      <c r="C37" s="1"/>
      <c r="D37" s="1" t="str">
        <f ca="1">IFERROR(__xludf.DUMMYFUNCTION("""COMPUTED_VALUE"""),"Nő")</f>
        <v>Nő</v>
      </c>
      <c r="E37" s="1"/>
      <c r="F37" s="1">
        <f ca="1">IFERROR(__xludf.DUMMYFUNCTION("""COMPUTED_VALUE"""),2011)</f>
        <v>2011</v>
      </c>
      <c r="G37" s="1">
        <f ca="1">IFERROR(__xludf.DUMMYFUNCTION("""COMPUTED_VALUE"""),3395)</f>
        <v>3395</v>
      </c>
      <c r="H37" s="1" t="str">
        <f ca="1">IFERROR(__xludf.DUMMYFUNCTION("""COMPUTED_VALUE"""),"MTLSZ003395A22")</f>
        <v>MTLSZ003395A22</v>
      </c>
      <c r="I37" s="2">
        <f ca="1">IFERROR(__xludf.DUMMYFUNCTION("""COMPUTED_VALUE"""),44821)</f>
        <v>44821</v>
      </c>
      <c r="J37" s="2">
        <f ca="1">IFERROR(__xludf.DUMMYFUNCTION("""COMPUTED_VALUE"""),45185)</f>
        <v>45185</v>
      </c>
    </row>
    <row r="38" spans="1:10" x14ac:dyDescent="0.25">
      <c r="A38" s="1" t="str">
        <f ca="1">IFERROR(__xludf.DUMMYFUNCTION("""COMPUTED_VALUE"""),"FBSE")</f>
        <v>FBSE</v>
      </c>
      <c r="B38" s="1" t="str">
        <f ca="1">IFERROR(__xludf.DUMMYFUNCTION("""COMPUTED_VALUE"""),"Simon Jázmin")</f>
        <v>Simon Jázmin</v>
      </c>
      <c r="C38" s="1"/>
      <c r="D38" s="1" t="str">
        <f ca="1">IFERROR(__xludf.DUMMYFUNCTION("""COMPUTED_VALUE"""),"Nő")</f>
        <v>Nő</v>
      </c>
      <c r="E38" s="1"/>
      <c r="F38" s="1">
        <f ca="1">IFERROR(__xludf.DUMMYFUNCTION("""COMPUTED_VALUE"""),2012)</f>
        <v>2012</v>
      </c>
      <c r="G38" s="1">
        <f ca="1">IFERROR(__xludf.DUMMYFUNCTION("""COMPUTED_VALUE"""),3412)</f>
        <v>3412</v>
      </c>
      <c r="H38" s="1" t="str">
        <f ca="1">IFERROR(__xludf.DUMMYFUNCTION("""COMPUTED_VALUE"""),"MTLSZ003412A22")</f>
        <v>MTLSZ003412A22</v>
      </c>
      <c r="I38" s="2">
        <f ca="1">IFERROR(__xludf.DUMMYFUNCTION("""COMPUTED_VALUE"""),44819)</f>
        <v>44819</v>
      </c>
      <c r="J38" s="2">
        <f ca="1">IFERROR(__xludf.DUMMYFUNCTION("""COMPUTED_VALUE"""),45183)</f>
        <v>45183</v>
      </c>
    </row>
    <row r="39" spans="1:10" x14ac:dyDescent="0.25">
      <c r="A39" s="1" t="str">
        <f ca="1">IFERROR(__xludf.DUMMYFUNCTION("""COMPUTED_VALUE"""),"Seregélyesi PDSE")</f>
        <v>Seregélyesi PDSE</v>
      </c>
      <c r="B39" s="1" t="str">
        <f ca="1">IFERROR(__xludf.DUMMYFUNCTION("""COMPUTED_VALUE"""),"Fánczi Áron")</f>
        <v>Fánczi Áron</v>
      </c>
      <c r="C39" s="1"/>
      <c r="D39" s="1" t="str">
        <f ca="1">IFERROR(__xludf.DUMMYFUNCTION("""COMPUTED_VALUE"""),"Férfi")</f>
        <v>Férfi</v>
      </c>
      <c r="E39" s="1"/>
      <c r="F39" s="1">
        <f ca="1">IFERROR(__xludf.DUMMYFUNCTION("""COMPUTED_VALUE"""),2009)</f>
        <v>2009</v>
      </c>
      <c r="G39" s="1">
        <f ca="1">IFERROR(__xludf.DUMMYFUNCTION("""COMPUTED_VALUE"""),3123)</f>
        <v>3123</v>
      </c>
      <c r="H39" s="1" t="str">
        <f ca="1">IFERROR(__xludf.DUMMYFUNCTION("""COMPUTED_VALUE"""),"MTLSZ003123A22")</f>
        <v>MTLSZ003123A22</v>
      </c>
      <c r="I39" s="2">
        <f ca="1">IFERROR(__xludf.DUMMYFUNCTION("""COMPUTED_VALUE"""),44818)</f>
        <v>44818</v>
      </c>
      <c r="J39" s="2">
        <f ca="1">IFERROR(__xludf.DUMMYFUNCTION("""COMPUTED_VALUE"""),45182)</f>
        <v>45182</v>
      </c>
    </row>
    <row r="40" spans="1:10" x14ac:dyDescent="0.25">
      <c r="A40" s="1" t="str">
        <f ca="1">IFERROR(__xludf.DUMMYFUNCTION("""COMPUTED_VALUE"""),"Seregélyesi PDSE")</f>
        <v>Seregélyesi PDSE</v>
      </c>
      <c r="B40" s="1" t="str">
        <f ca="1">IFERROR(__xludf.DUMMYFUNCTION("""COMPUTED_VALUE"""),"Fánczi Gellért")</f>
        <v>Fánczi Gellért</v>
      </c>
      <c r="C40" s="1"/>
      <c r="D40" s="1" t="str">
        <f ca="1">IFERROR(__xludf.DUMMYFUNCTION("""COMPUTED_VALUE"""),"Férfi")</f>
        <v>Férfi</v>
      </c>
      <c r="E40" s="1"/>
      <c r="F40" s="1">
        <f ca="1">IFERROR(__xludf.DUMMYFUNCTION("""COMPUTED_VALUE"""),2012)</f>
        <v>2012</v>
      </c>
      <c r="G40" s="1">
        <f ca="1">IFERROR(__xludf.DUMMYFUNCTION("""COMPUTED_VALUE"""),4023)</f>
        <v>4023</v>
      </c>
      <c r="H40" s="1" t="str">
        <f ca="1">IFERROR(__xludf.DUMMYFUNCTION("""COMPUTED_VALUE"""),"MTLSZ004023A22")</f>
        <v>MTLSZ004023A22</v>
      </c>
      <c r="I40" s="2">
        <f ca="1">IFERROR(__xludf.DUMMYFUNCTION("""COMPUTED_VALUE"""),44818)</f>
        <v>44818</v>
      </c>
      <c r="J40" s="2">
        <f ca="1">IFERROR(__xludf.DUMMYFUNCTION("""COMPUTED_VALUE"""),45182)</f>
        <v>45182</v>
      </c>
    </row>
    <row r="41" spans="1:10" x14ac:dyDescent="0.25">
      <c r="A41" s="1" t="str">
        <f ca="1">IFERROR(__xludf.DUMMYFUNCTION("""COMPUTED_VALUE"""),"Seregélyesi PDSE")</f>
        <v>Seregélyesi PDSE</v>
      </c>
      <c r="B41" s="1" t="str">
        <f ca="1">IFERROR(__xludf.DUMMYFUNCTION("""COMPUTED_VALUE"""),"Fánczi Jakab")</f>
        <v>Fánczi Jakab</v>
      </c>
      <c r="C41" s="1"/>
      <c r="D41" s="1" t="str">
        <f ca="1">IFERROR(__xludf.DUMMYFUNCTION("""COMPUTED_VALUE"""),"Férfi")</f>
        <v>Férfi</v>
      </c>
      <c r="E41" s="1"/>
      <c r="F41" s="1">
        <f ca="1">IFERROR(__xludf.DUMMYFUNCTION("""COMPUTED_VALUE"""),2006)</f>
        <v>2006</v>
      </c>
      <c r="G41" s="1">
        <f ca="1">IFERROR(__xludf.DUMMYFUNCTION("""COMPUTED_VALUE"""),3325)</f>
        <v>3325</v>
      </c>
      <c r="H41" s="1" t="str">
        <f ca="1">IFERROR(__xludf.DUMMYFUNCTION("""COMPUTED_VALUE"""),"MTLSZ003325A22")</f>
        <v>MTLSZ003325A22</v>
      </c>
      <c r="I41" s="2">
        <f ca="1">IFERROR(__xludf.DUMMYFUNCTION("""COMPUTED_VALUE"""),44818)</f>
        <v>44818</v>
      </c>
      <c r="J41" s="2">
        <f ca="1">IFERROR(__xludf.DUMMYFUNCTION("""COMPUTED_VALUE"""),45182)</f>
        <v>45182</v>
      </c>
    </row>
    <row r="42" spans="1:10" x14ac:dyDescent="0.25">
      <c r="A42" s="1" t="str">
        <f ca="1">IFERROR(__xludf.DUMMYFUNCTION("""COMPUTED_VALUE"""),"Győri TSE")</f>
        <v>Győri TSE</v>
      </c>
      <c r="B42" s="1" t="str">
        <f ca="1">IFERROR(__xludf.DUMMYFUNCTION("""COMPUTED_VALUE"""),"Nusser Ádám")</f>
        <v>Nusser Ádám</v>
      </c>
      <c r="C42" s="1"/>
      <c r="D42" s="1" t="str">
        <f ca="1">IFERROR(__xludf.DUMMYFUNCTION("""COMPUTED_VALUE"""),"Férfi")</f>
        <v>Férfi</v>
      </c>
      <c r="E42" s="1"/>
      <c r="F42" s="1">
        <f ca="1">IFERROR(__xludf.DUMMYFUNCTION("""COMPUTED_VALUE"""),2006)</f>
        <v>2006</v>
      </c>
      <c r="G42" s="1">
        <f ca="1">IFERROR(__xludf.DUMMYFUNCTION("""COMPUTED_VALUE"""),3060)</f>
        <v>3060</v>
      </c>
      <c r="H42" s="1" t="str">
        <f ca="1">IFERROR(__xludf.DUMMYFUNCTION("""COMPUTED_VALUE"""),"MTLSZ003060A22")</f>
        <v>MTLSZ003060A22</v>
      </c>
      <c r="I42" s="2">
        <f ca="1">IFERROR(__xludf.DUMMYFUNCTION("""COMPUTED_VALUE"""),44817)</f>
        <v>44817</v>
      </c>
      <c r="J42" s="2">
        <f ca="1">IFERROR(__xludf.DUMMYFUNCTION("""COMPUTED_VALUE"""),45181)</f>
        <v>45181</v>
      </c>
    </row>
    <row r="43" spans="1:10" x14ac:dyDescent="0.25">
      <c r="A43" s="1" t="str">
        <f ca="1">IFERROR(__xludf.DUMMYFUNCTION("""COMPUTED_VALUE"""),"Újpest TSE")</f>
        <v>Újpest TSE</v>
      </c>
      <c r="B43" s="1" t="str">
        <f ca="1">IFERROR(__xludf.DUMMYFUNCTION("""COMPUTED_VALUE"""),"Keszthelyi Zsombor")</f>
        <v>Keszthelyi Zsombor</v>
      </c>
      <c r="C43" s="1"/>
      <c r="D43" s="1" t="str">
        <f ca="1">IFERROR(__xludf.DUMMYFUNCTION("""COMPUTED_VALUE"""),"Férfi")</f>
        <v>Férfi</v>
      </c>
      <c r="E43" s="1"/>
      <c r="F43" s="1">
        <f ca="1">IFERROR(__xludf.DUMMYFUNCTION("""COMPUTED_VALUE"""),2007)</f>
        <v>2007</v>
      </c>
      <c r="G43" s="1">
        <f ca="1">IFERROR(__xludf.DUMMYFUNCTION("""COMPUTED_VALUE"""),3480)</f>
        <v>3480</v>
      </c>
      <c r="H43" s="1" t="str">
        <f ca="1">IFERROR(__xludf.DUMMYFUNCTION("""COMPUTED_VALUE"""),"MTLSZ003480A22")</f>
        <v>MTLSZ003480A22</v>
      </c>
      <c r="I43" s="2">
        <f ca="1">IFERROR(__xludf.DUMMYFUNCTION("""COMPUTED_VALUE"""),44813)</f>
        <v>44813</v>
      </c>
      <c r="J43" s="2">
        <f ca="1">IFERROR(__xludf.DUMMYFUNCTION("""COMPUTED_VALUE"""),45177)</f>
        <v>45177</v>
      </c>
    </row>
    <row r="44" spans="1:10" x14ac:dyDescent="0.25">
      <c r="A44" s="1" t="str">
        <f ca="1">IFERROR(__xludf.DUMMYFUNCTION("""COMPUTED_VALUE"""),"Hajdú TSE")</f>
        <v>Hajdú TSE</v>
      </c>
      <c r="B44" s="1" t="str">
        <f ca="1">IFERROR(__xludf.DUMMYFUNCTION("""COMPUTED_VALUE"""),"Balogh Ádám")</f>
        <v>Balogh Ádám</v>
      </c>
      <c r="C44" s="1"/>
      <c r="D44" s="1" t="str">
        <f ca="1">IFERROR(__xludf.DUMMYFUNCTION("""COMPUTED_VALUE"""),"Férfi")</f>
        <v>Férfi</v>
      </c>
      <c r="E44" s="1"/>
      <c r="F44" s="1">
        <f ca="1">IFERROR(__xludf.DUMMYFUNCTION("""COMPUTED_VALUE"""),2007)</f>
        <v>2007</v>
      </c>
      <c r="G44" s="1">
        <f ca="1">IFERROR(__xludf.DUMMYFUNCTION("""COMPUTED_VALUE"""),2986)</f>
        <v>2986</v>
      </c>
      <c r="H44" s="1" t="str">
        <f ca="1">IFERROR(__xludf.DUMMYFUNCTION("""COMPUTED_VALUE"""),"MTLSZ002986A22")</f>
        <v>MTLSZ002986A22</v>
      </c>
      <c r="I44" s="2">
        <f ca="1">IFERROR(__xludf.DUMMYFUNCTION("""COMPUTED_VALUE"""),44812)</f>
        <v>44812</v>
      </c>
      <c r="J44" s="2">
        <f ca="1">IFERROR(__xludf.DUMMYFUNCTION("""COMPUTED_VALUE"""),45176)</f>
        <v>45176</v>
      </c>
    </row>
    <row r="45" spans="1:10" x14ac:dyDescent="0.25">
      <c r="A45" s="1" t="str">
        <f ca="1">IFERROR(__xludf.DUMMYFUNCTION("""COMPUTED_VALUE"""),"Hajdú TSE")</f>
        <v>Hajdú TSE</v>
      </c>
      <c r="B45" s="1" t="str">
        <f ca="1">IFERROR(__xludf.DUMMYFUNCTION("""COMPUTED_VALUE"""),"Elek Marcell")</f>
        <v>Elek Marcell</v>
      </c>
      <c r="C45" s="1"/>
      <c r="D45" s="1" t="str">
        <f ca="1">IFERROR(__xludf.DUMMYFUNCTION("""COMPUTED_VALUE"""),"Férfi")</f>
        <v>Férfi</v>
      </c>
      <c r="E45" s="1"/>
      <c r="F45" s="1">
        <f ca="1">IFERROR(__xludf.DUMMYFUNCTION("""COMPUTED_VALUE"""),1993)</f>
        <v>1993</v>
      </c>
      <c r="G45" s="1">
        <f ca="1">IFERROR(__xludf.DUMMYFUNCTION("""COMPUTED_VALUE"""),1427)</f>
        <v>1427</v>
      </c>
      <c r="H45" s="1" t="str">
        <f ca="1">IFERROR(__xludf.DUMMYFUNCTION("""COMPUTED_VALUE"""),"MTLSZ001427A22")</f>
        <v>MTLSZ001427A22</v>
      </c>
      <c r="I45" s="2">
        <f ca="1">IFERROR(__xludf.DUMMYFUNCTION("""COMPUTED_VALUE"""),44812)</f>
        <v>44812</v>
      </c>
      <c r="J45" s="2">
        <f ca="1">IFERROR(__xludf.DUMMYFUNCTION("""COMPUTED_VALUE"""),45176)</f>
        <v>45176</v>
      </c>
    </row>
    <row r="46" spans="1:10" x14ac:dyDescent="0.25">
      <c r="A46" s="1" t="str">
        <f ca="1">IFERROR(__xludf.DUMMYFUNCTION("""COMPUTED_VALUE"""),"Hajdú TSE")</f>
        <v>Hajdú TSE</v>
      </c>
      <c r="B46" s="1" t="str">
        <f ca="1">IFERROR(__xludf.DUMMYFUNCTION("""COMPUTED_VALUE"""),"Karalyos Etelka Panna")</f>
        <v>Karalyos Etelka Panna</v>
      </c>
      <c r="C46" s="1"/>
      <c r="D46" s="1" t="str">
        <f ca="1">IFERROR(__xludf.DUMMYFUNCTION("""COMPUTED_VALUE"""),"Nő")</f>
        <v>Nő</v>
      </c>
      <c r="E46" s="1"/>
      <c r="F46" s="1">
        <f ca="1">IFERROR(__xludf.DUMMYFUNCTION("""COMPUTED_VALUE"""),2008)</f>
        <v>2008</v>
      </c>
      <c r="G46" s="1">
        <f ca="1">IFERROR(__xludf.DUMMYFUNCTION("""COMPUTED_VALUE"""),2901)</f>
        <v>2901</v>
      </c>
      <c r="H46" s="1" t="str">
        <f ca="1">IFERROR(__xludf.DUMMYFUNCTION("""COMPUTED_VALUE"""),"MTLSZ002901A22")</f>
        <v>MTLSZ002901A22</v>
      </c>
      <c r="I46" s="2">
        <f ca="1">IFERROR(__xludf.DUMMYFUNCTION("""COMPUTED_VALUE"""),44812)</f>
        <v>44812</v>
      </c>
      <c r="J46" s="2">
        <f ca="1">IFERROR(__xludf.DUMMYFUNCTION("""COMPUTED_VALUE"""),45176)</f>
        <v>45176</v>
      </c>
    </row>
    <row r="47" spans="1:10" x14ac:dyDescent="0.25">
      <c r="A47" s="1" t="str">
        <f ca="1">IFERROR(__xludf.DUMMYFUNCTION("""COMPUTED_VALUE"""),"Hajdú TSE")</f>
        <v>Hajdú TSE</v>
      </c>
      <c r="B47" s="1" t="str">
        <f ca="1">IFERROR(__xludf.DUMMYFUNCTION("""COMPUTED_VALUE"""),"Kaszás Réka")</f>
        <v>Kaszás Réka</v>
      </c>
      <c r="C47" s="1"/>
      <c r="D47" s="1" t="str">
        <f ca="1">IFERROR(__xludf.DUMMYFUNCTION("""COMPUTED_VALUE"""),"Nő")</f>
        <v>Nő</v>
      </c>
      <c r="E47" s="1"/>
      <c r="F47" s="1">
        <f ca="1">IFERROR(__xludf.DUMMYFUNCTION("""COMPUTED_VALUE"""),1995)</f>
        <v>1995</v>
      </c>
      <c r="G47" s="1">
        <f ca="1">IFERROR(__xludf.DUMMYFUNCTION("""COMPUTED_VALUE"""),1909)</f>
        <v>1909</v>
      </c>
      <c r="H47" s="1" t="str">
        <f ca="1">IFERROR(__xludf.DUMMYFUNCTION("""COMPUTED_VALUE"""),"MTLSZ001909A22")</f>
        <v>MTLSZ001909A22</v>
      </c>
      <c r="I47" s="2">
        <f ca="1">IFERROR(__xludf.DUMMYFUNCTION("""COMPUTED_VALUE"""),44812)</f>
        <v>44812</v>
      </c>
      <c r="J47" s="2">
        <f ca="1">IFERROR(__xludf.DUMMYFUNCTION("""COMPUTED_VALUE"""),45176)</f>
        <v>45176</v>
      </c>
    </row>
    <row r="48" spans="1:10" x14ac:dyDescent="0.25">
      <c r="A48" s="1" t="str">
        <f ca="1">IFERROR(__xludf.DUMMYFUNCTION("""COMPUTED_VALUE"""),"Hajdú TSE")</f>
        <v>Hajdú TSE</v>
      </c>
      <c r="B48" s="1" t="str">
        <f ca="1">IFERROR(__xludf.DUMMYFUNCTION("""COMPUTED_VALUE"""),"Kígyós Keán Gábor")</f>
        <v>Kígyós Keán Gábor</v>
      </c>
      <c r="C48" s="1"/>
      <c r="D48" s="1" t="str">
        <f ca="1">IFERROR(__xludf.DUMMYFUNCTION("""COMPUTED_VALUE"""),"Férfi")</f>
        <v>Férfi</v>
      </c>
      <c r="E48" s="1"/>
      <c r="F48" s="1">
        <f ca="1">IFERROR(__xludf.DUMMYFUNCTION("""COMPUTED_VALUE"""),2005)</f>
        <v>2005</v>
      </c>
      <c r="G48" s="1">
        <f ca="1">IFERROR(__xludf.DUMMYFUNCTION("""COMPUTED_VALUE"""),2405)</f>
        <v>2405</v>
      </c>
      <c r="H48" s="1" t="str">
        <f ca="1">IFERROR(__xludf.DUMMYFUNCTION("""COMPUTED_VALUE"""),"MTLSZ002405A22")</f>
        <v>MTLSZ002405A22</v>
      </c>
      <c r="I48" s="2">
        <f ca="1">IFERROR(__xludf.DUMMYFUNCTION("""COMPUTED_VALUE"""),44812)</f>
        <v>44812</v>
      </c>
      <c r="J48" s="2">
        <f ca="1">IFERROR(__xludf.DUMMYFUNCTION("""COMPUTED_VALUE"""),45176)</f>
        <v>45176</v>
      </c>
    </row>
    <row r="49" spans="1:10" x14ac:dyDescent="0.25">
      <c r="A49" s="1" t="str">
        <f ca="1">IFERROR(__xludf.DUMMYFUNCTION("""COMPUTED_VALUE"""),"Hajdú TSE")</f>
        <v>Hajdú TSE</v>
      </c>
      <c r="B49" s="1" t="str">
        <f ca="1">IFERROR(__xludf.DUMMYFUNCTION("""COMPUTED_VALUE"""),"Mészáros Petra")</f>
        <v>Mészáros Petra</v>
      </c>
      <c r="C49" s="1"/>
      <c r="D49" s="1" t="str">
        <f ca="1">IFERROR(__xludf.DUMMYFUNCTION("""COMPUTED_VALUE"""),"Nő")</f>
        <v>Nő</v>
      </c>
      <c r="E49" s="1"/>
      <c r="F49" s="1">
        <f ca="1">IFERROR(__xludf.DUMMYFUNCTION("""COMPUTED_VALUE"""),2003)</f>
        <v>2003</v>
      </c>
      <c r="G49" s="1">
        <f ca="1">IFERROR(__xludf.DUMMYFUNCTION("""COMPUTED_VALUE"""),2403)</f>
        <v>2403</v>
      </c>
      <c r="H49" s="1" t="str">
        <f ca="1">IFERROR(__xludf.DUMMYFUNCTION("""COMPUTED_VALUE"""),"MTLSZ002403A22")</f>
        <v>MTLSZ002403A22</v>
      </c>
      <c r="I49" s="2">
        <f ca="1">IFERROR(__xludf.DUMMYFUNCTION("""COMPUTED_VALUE"""),44812)</f>
        <v>44812</v>
      </c>
      <c r="J49" s="2">
        <f ca="1">IFERROR(__xludf.DUMMYFUNCTION("""COMPUTED_VALUE"""),45176)</f>
        <v>45176</v>
      </c>
    </row>
    <row r="50" spans="1:10" x14ac:dyDescent="0.25">
      <c r="A50" s="1" t="str">
        <f ca="1">IFERROR(__xludf.DUMMYFUNCTION("""COMPUTED_VALUE"""),"Hajdú TSE")</f>
        <v>Hajdú TSE</v>
      </c>
      <c r="B50" s="1" t="str">
        <f ca="1">IFERROR(__xludf.DUMMYFUNCTION("""COMPUTED_VALUE"""),"Tóth Levente")</f>
        <v>Tóth Levente</v>
      </c>
      <c r="C50" s="1"/>
      <c r="D50" s="1" t="str">
        <f ca="1">IFERROR(__xludf.DUMMYFUNCTION("""COMPUTED_VALUE"""),"Férfi")</f>
        <v>Férfi</v>
      </c>
      <c r="E50" s="1"/>
      <c r="F50" s="1">
        <f ca="1">IFERROR(__xludf.DUMMYFUNCTION("""COMPUTED_VALUE"""),2003)</f>
        <v>2003</v>
      </c>
      <c r="G50" s="1">
        <f ca="1">IFERROR(__xludf.DUMMYFUNCTION("""COMPUTED_VALUE"""),2402)</f>
        <v>2402</v>
      </c>
      <c r="H50" s="1" t="str">
        <f ca="1">IFERROR(__xludf.DUMMYFUNCTION("""COMPUTED_VALUE"""),"MTLSZ002402A22")</f>
        <v>MTLSZ002402A22</v>
      </c>
      <c r="I50" s="2">
        <f ca="1">IFERROR(__xludf.DUMMYFUNCTION("""COMPUTED_VALUE"""),44812)</f>
        <v>44812</v>
      </c>
      <c r="J50" s="2">
        <f ca="1">IFERROR(__xludf.DUMMYFUNCTION("""COMPUTED_VALUE"""),45176)</f>
        <v>45176</v>
      </c>
    </row>
    <row r="51" spans="1:10" x14ac:dyDescent="0.25">
      <c r="A51" s="1" t="str">
        <f ca="1">IFERROR(__xludf.DUMMYFUNCTION("""COMPUTED_VALUE"""),"VSD")</f>
        <v>VSD</v>
      </c>
      <c r="B51" s="1" t="str">
        <f ca="1">IFERROR(__xludf.DUMMYFUNCTION("""COMPUTED_VALUE"""),"Pataki Alex")</f>
        <v>Pataki Alex</v>
      </c>
      <c r="C51" s="1"/>
      <c r="D51" s="1" t="str">
        <f ca="1">IFERROR(__xludf.DUMMYFUNCTION("""COMPUTED_VALUE"""),"Férfi")</f>
        <v>Férfi</v>
      </c>
      <c r="E51" s="1"/>
      <c r="F51" s="1">
        <f ca="1">IFERROR(__xludf.DUMMYFUNCTION("""COMPUTED_VALUE"""),2010)</f>
        <v>2010</v>
      </c>
      <c r="G51" s="1">
        <f ca="1">IFERROR(__xludf.DUMMYFUNCTION("""COMPUTED_VALUE"""),4566)</f>
        <v>4566</v>
      </c>
      <c r="H51" s="1" t="str">
        <f ca="1">IFERROR(__xludf.DUMMYFUNCTION("""COMPUTED_VALUE"""),"MTLSZ004566A22")</f>
        <v>MTLSZ004566A22</v>
      </c>
      <c r="I51" s="2">
        <f ca="1">IFERROR(__xludf.DUMMYFUNCTION("""COMPUTED_VALUE"""),44812)</f>
        <v>44812</v>
      </c>
      <c r="J51" s="2">
        <f ca="1">IFERROR(__xludf.DUMMYFUNCTION("""COMPUTED_VALUE"""),45176)</f>
        <v>45176</v>
      </c>
    </row>
    <row r="52" spans="1:10" x14ac:dyDescent="0.25">
      <c r="A52" s="1" t="str">
        <f ca="1">IFERROR(__xludf.DUMMYFUNCTION("""COMPUTED_VALUE"""),"BEAC")</f>
        <v>BEAC</v>
      </c>
      <c r="B52" s="1" t="str">
        <f ca="1">IFERROR(__xludf.DUMMYFUNCTION("""COMPUTED_VALUE"""),"Muzelák Bálint")</f>
        <v>Muzelák Bálint</v>
      </c>
      <c r="C52" s="1"/>
      <c r="D52" s="1" t="str">
        <f ca="1">IFERROR(__xludf.DUMMYFUNCTION("""COMPUTED_VALUE"""),"Férfi")</f>
        <v>Férfi</v>
      </c>
      <c r="E52" s="1"/>
      <c r="F52" s="1">
        <f ca="1">IFERROR(__xludf.DUMMYFUNCTION("""COMPUTED_VALUE"""),1984)</f>
        <v>1984</v>
      </c>
      <c r="G52" s="1">
        <f ca="1">IFERROR(__xludf.DUMMYFUNCTION("""COMPUTED_VALUE"""),3095)</f>
        <v>3095</v>
      </c>
      <c r="H52" s="1" t="str">
        <f ca="1">IFERROR(__xludf.DUMMYFUNCTION("""COMPUTED_VALUE"""),"MTLSZ003095A22")</f>
        <v>MTLSZ003095A22</v>
      </c>
      <c r="I52" s="2">
        <f ca="1">IFERROR(__xludf.DUMMYFUNCTION("""COMPUTED_VALUE"""),44811)</f>
        <v>44811</v>
      </c>
      <c r="J52" s="2">
        <f ca="1">IFERROR(__xludf.DUMMYFUNCTION("""COMPUTED_VALUE"""),45175)</f>
        <v>45175</v>
      </c>
    </row>
    <row r="53" spans="1:10" x14ac:dyDescent="0.25">
      <c r="A53" s="1" t="str">
        <f ca="1">IFERROR(__xludf.DUMMYFUNCTION("""COMPUTED_VALUE"""),"FBSE")</f>
        <v>FBSE</v>
      </c>
      <c r="B53" s="1" t="str">
        <f ca="1">IFERROR(__xludf.DUMMYFUNCTION("""COMPUTED_VALUE"""),"Gyenge Laura")</f>
        <v>Gyenge Laura</v>
      </c>
      <c r="C53" s="1"/>
      <c r="D53" s="1" t="str">
        <f ca="1">IFERROR(__xludf.DUMMYFUNCTION("""COMPUTED_VALUE"""),"Nő")</f>
        <v>Nő</v>
      </c>
      <c r="E53" s="1"/>
      <c r="F53" s="1">
        <f ca="1">IFERROR(__xludf.DUMMYFUNCTION("""COMPUTED_VALUE"""),2008)</f>
        <v>2008</v>
      </c>
      <c r="G53" s="1">
        <f ca="1">IFERROR(__xludf.DUMMYFUNCTION("""COMPUTED_VALUE"""),3012)</f>
        <v>3012</v>
      </c>
      <c r="H53" s="1" t="str">
        <f ca="1">IFERROR(__xludf.DUMMYFUNCTION("""COMPUTED_VALUE"""),"MTLSZ003012A22")</f>
        <v>MTLSZ003012A22</v>
      </c>
      <c r="I53" s="2">
        <f ca="1">IFERROR(__xludf.DUMMYFUNCTION("""COMPUTED_VALUE"""),44810)</f>
        <v>44810</v>
      </c>
      <c r="J53" s="2">
        <f ca="1">IFERROR(__xludf.DUMMYFUNCTION("""COMPUTED_VALUE"""),45174)</f>
        <v>45174</v>
      </c>
    </row>
    <row r="54" spans="1:10" x14ac:dyDescent="0.25">
      <c r="A54" s="1" t="str">
        <f ca="1">IFERROR(__xludf.DUMMYFUNCTION("""COMPUTED_VALUE"""),"Ludovika SE")</f>
        <v>Ludovika SE</v>
      </c>
      <c r="B54" s="1" t="str">
        <f ca="1">IFERROR(__xludf.DUMMYFUNCTION("""COMPUTED_VALUE"""),"Farkas Viktória")</f>
        <v>Farkas Viktória</v>
      </c>
      <c r="C54" s="1"/>
      <c r="D54" s="1" t="str">
        <f ca="1">IFERROR(__xludf.DUMMYFUNCTION("""COMPUTED_VALUE"""),"Nő")</f>
        <v>Nő</v>
      </c>
      <c r="E54" s="1"/>
      <c r="F54" s="1">
        <f ca="1">IFERROR(__xludf.DUMMYFUNCTION("""COMPUTED_VALUE"""),1977)</f>
        <v>1977</v>
      </c>
      <c r="G54" s="1">
        <f ca="1">IFERROR(__xludf.DUMMYFUNCTION("""COMPUTED_VALUE"""),234)</f>
        <v>234</v>
      </c>
      <c r="H54" s="1" t="str">
        <f ca="1">IFERROR(__xludf.DUMMYFUNCTION("""COMPUTED_VALUE"""),"MTLSZ000234A22")</f>
        <v>MTLSZ000234A22</v>
      </c>
      <c r="I54" s="2">
        <f ca="1">IFERROR(__xludf.DUMMYFUNCTION("""COMPUTED_VALUE"""),44810)</f>
        <v>44810</v>
      </c>
      <c r="J54" s="2">
        <f ca="1">IFERROR(__xludf.DUMMYFUNCTION("""COMPUTED_VALUE"""),45174)</f>
        <v>45174</v>
      </c>
    </row>
    <row r="55" spans="1:10" x14ac:dyDescent="0.25">
      <c r="A55" s="1" t="str">
        <f ca="1">IFERROR(__xludf.DUMMYFUNCTION("""COMPUTED_VALUE"""),"Seregélyesi PDSE")</f>
        <v>Seregélyesi PDSE</v>
      </c>
      <c r="B55" s="1" t="str">
        <f ca="1">IFERROR(__xludf.DUMMYFUNCTION("""COMPUTED_VALUE"""),"Pinke Anna")</f>
        <v>Pinke Anna</v>
      </c>
      <c r="C55" s="1"/>
      <c r="D55" s="1" t="str">
        <f ca="1">IFERROR(__xludf.DUMMYFUNCTION("""COMPUTED_VALUE"""),"Nő")</f>
        <v>Nő</v>
      </c>
      <c r="E55" s="1"/>
      <c r="F55" s="1">
        <f ca="1">IFERROR(__xludf.DUMMYFUNCTION("""COMPUTED_VALUE"""),2008)</f>
        <v>2008</v>
      </c>
      <c r="G55" s="1">
        <f ca="1">IFERROR(__xludf.DUMMYFUNCTION("""COMPUTED_VALUE"""),3011)</f>
        <v>3011</v>
      </c>
      <c r="H55" s="1" t="str">
        <f ca="1">IFERROR(__xludf.DUMMYFUNCTION("""COMPUTED_VALUE"""),"MTLSZ003011A22")</f>
        <v>MTLSZ003011A22</v>
      </c>
      <c r="I55" s="2">
        <f ca="1">IFERROR(__xludf.DUMMYFUNCTION("""COMPUTED_VALUE"""),44810)</f>
        <v>44810</v>
      </c>
      <c r="J55" s="2">
        <f ca="1">IFERROR(__xludf.DUMMYFUNCTION("""COMPUTED_VALUE"""),45174)</f>
        <v>45174</v>
      </c>
    </row>
    <row r="56" spans="1:10" x14ac:dyDescent="0.25">
      <c r="A56" s="1" t="str">
        <f ca="1">IFERROR(__xludf.DUMMYFUNCTION("""COMPUTED_VALUE"""),"Seregélyesi PDSE")</f>
        <v>Seregélyesi PDSE</v>
      </c>
      <c r="B56" s="1" t="str">
        <f ca="1">IFERROR(__xludf.DUMMYFUNCTION("""COMPUTED_VALUE"""),"Pinke Dénes")</f>
        <v>Pinke Dénes</v>
      </c>
      <c r="C56" s="1"/>
      <c r="D56" s="1" t="str">
        <f ca="1">IFERROR(__xludf.DUMMYFUNCTION("""COMPUTED_VALUE"""),"Férfi")</f>
        <v>Férfi</v>
      </c>
      <c r="E56" s="1"/>
      <c r="F56" s="1">
        <f ca="1">IFERROR(__xludf.DUMMYFUNCTION("""COMPUTED_VALUE"""),2013)</f>
        <v>2013</v>
      </c>
      <c r="G56" s="1">
        <f ca="1">IFERROR(__xludf.DUMMYFUNCTION("""COMPUTED_VALUE"""),4015)</f>
        <v>4015</v>
      </c>
      <c r="H56" s="1" t="str">
        <f ca="1">IFERROR(__xludf.DUMMYFUNCTION("""COMPUTED_VALUE"""),"MTLSZ004015A22")</f>
        <v>MTLSZ004015A22</v>
      </c>
      <c r="I56" s="2">
        <f ca="1">IFERROR(__xludf.DUMMYFUNCTION("""COMPUTED_VALUE"""),44810)</f>
        <v>44810</v>
      </c>
      <c r="J56" s="2">
        <f ca="1">IFERROR(__xludf.DUMMYFUNCTION("""COMPUTED_VALUE"""),45174)</f>
        <v>45174</v>
      </c>
    </row>
    <row r="57" spans="1:10" x14ac:dyDescent="0.25">
      <c r="A57" s="1" t="str">
        <f ca="1">IFERROR(__xludf.DUMMYFUNCTION("""COMPUTED_VALUE"""),"Újpest TSE")</f>
        <v>Újpest TSE</v>
      </c>
      <c r="B57" s="1" t="str">
        <f ca="1">IFERROR(__xludf.DUMMYFUNCTION("""COMPUTED_VALUE"""),"Szabó Kamilla")</f>
        <v>Szabó Kamilla</v>
      </c>
      <c r="C57" s="1"/>
      <c r="D57" s="1" t="str">
        <f ca="1">IFERROR(__xludf.DUMMYFUNCTION("""COMPUTED_VALUE"""),"Nő")</f>
        <v>Nő</v>
      </c>
      <c r="E57" s="1"/>
      <c r="F57" s="1">
        <f ca="1">IFERROR(__xludf.DUMMYFUNCTION("""COMPUTED_VALUE"""),2009)</f>
        <v>2009</v>
      </c>
      <c r="G57" s="1">
        <f ca="1">IFERROR(__xludf.DUMMYFUNCTION("""COMPUTED_VALUE"""),3530)</f>
        <v>3530</v>
      </c>
      <c r="H57" s="1" t="str">
        <f ca="1">IFERROR(__xludf.DUMMYFUNCTION("""COMPUTED_VALUE"""),"MTLSZ003530A22")</f>
        <v>MTLSZ003530A22</v>
      </c>
      <c r="I57" s="2">
        <f ca="1">IFERROR(__xludf.DUMMYFUNCTION("""COMPUTED_VALUE"""),44810)</f>
        <v>44810</v>
      </c>
      <c r="J57" s="2">
        <f ca="1">IFERROR(__xludf.DUMMYFUNCTION("""COMPUTED_VALUE"""),45174)</f>
        <v>45174</v>
      </c>
    </row>
    <row r="58" spans="1:10" x14ac:dyDescent="0.25">
      <c r="A58" s="1" t="str">
        <f ca="1">IFERROR(__xludf.DUMMYFUNCTION("""COMPUTED_VALUE"""),"Ludovika SE")</f>
        <v>Ludovika SE</v>
      </c>
      <c r="B58" s="1" t="str">
        <f ca="1">IFERROR(__xludf.DUMMYFUNCTION("""COMPUTED_VALUE"""),"Kollár Tamás")</f>
        <v>Kollár Tamás</v>
      </c>
      <c r="C58" s="1"/>
      <c r="D58" s="1" t="str">
        <f ca="1">IFERROR(__xludf.DUMMYFUNCTION("""COMPUTED_VALUE"""),"Férfi")</f>
        <v>Férfi</v>
      </c>
      <c r="E58" s="1"/>
      <c r="F58" s="1">
        <f ca="1">IFERROR(__xludf.DUMMYFUNCTION("""COMPUTED_VALUE"""),2004)</f>
        <v>2004</v>
      </c>
      <c r="G58" s="1">
        <f ca="1">IFERROR(__xludf.DUMMYFUNCTION("""COMPUTED_VALUE"""),2791)</f>
        <v>2791</v>
      </c>
      <c r="H58" s="1" t="str">
        <f ca="1">IFERROR(__xludf.DUMMYFUNCTION("""COMPUTED_VALUE"""),"MTLSZ002791A22")</f>
        <v>MTLSZ002791A22</v>
      </c>
      <c r="I58" s="2">
        <f ca="1">IFERROR(__xludf.DUMMYFUNCTION("""COMPUTED_VALUE"""),44806)</f>
        <v>44806</v>
      </c>
      <c r="J58" s="2">
        <f ca="1">IFERROR(__xludf.DUMMYFUNCTION("""COMPUTED_VALUE"""),45170)</f>
        <v>45170</v>
      </c>
    </row>
    <row r="59" spans="1:10" x14ac:dyDescent="0.25">
      <c r="A59" s="1" t="str">
        <f ca="1">IFERROR(__xludf.DUMMYFUNCTION("""COMPUTED_VALUE"""),"Ludovika SE")</f>
        <v>Ludovika SE</v>
      </c>
      <c r="B59" s="1" t="str">
        <f ca="1">IFERROR(__xludf.DUMMYFUNCTION("""COMPUTED_VALUE"""),"Francia Balázs Dr.")</f>
        <v>Francia Balázs Dr.</v>
      </c>
      <c r="C59" s="1"/>
      <c r="D59" s="1" t="str">
        <f ca="1">IFERROR(__xludf.DUMMYFUNCTION("""COMPUTED_VALUE"""),"Férfi")</f>
        <v>Férfi</v>
      </c>
      <c r="E59" s="1"/>
      <c r="F59" s="1">
        <f ca="1">IFERROR(__xludf.DUMMYFUNCTION("""COMPUTED_VALUE"""),1974)</f>
        <v>1974</v>
      </c>
      <c r="G59" s="1">
        <f ca="1">IFERROR(__xludf.DUMMYFUNCTION("""COMPUTED_VALUE"""),4812)</f>
        <v>4812</v>
      </c>
      <c r="H59" s="1" t="str">
        <f ca="1">IFERROR(__xludf.DUMMYFUNCTION("""COMPUTED_VALUE"""),"MTLSZ004812A22")</f>
        <v>MTLSZ004812A22</v>
      </c>
      <c r="I59" s="2">
        <f ca="1">IFERROR(__xludf.DUMMYFUNCTION("""COMPUTED_VALUE"""),44733)</f>
        <v>44733</v>
      </c>
      <c r="J59" s="2">
        <f ca="1">IFERROR(__xludf.DUMMYFUNCTION("""COMPUTED_VALUE"""),45097)</f>
        <v>45097</v>
      </c>
    </row>
    <row r="60" spans="1:10" x14ac:dyDescent="0.25">
      <c r="A60" s="1" t="str">
        <f ca="1">IFERROR(__xludf.DUMMYFUNCTION("""COMPUTED_VALUE"""),"Klébi DSE")</f>
        <v>Klébi DSE</v>
      </c>
      <c r="B60" s="1" t="str">
        <f ca="1">IFERROR(__xludf.DUMMYFUNCTION("""COMPUTED_VALUE"""),"Nagy Filip")</f>
        <v>Nagy Filip</v>
      </c>
      <c r="C60" s="1"/>
      <c r="D60" s="1" t="str">
        <f ca="1">IFERROR(__xludf.DUMMYFUNCTION("""COMPUTED_VALUE"""),"Férfi")</f>
        <v>Férfi</v>
      </c>
      <c r="E60" s="1"/>
      <c r="F60" s="1">
        <f ca="1">IFERROR(__xludf.DUMMYFUNCTION("""COMPUTED_VALUE"""),2007)</f>
        <v>2007</v>
      </c>
      <c r="G60" s="1">
        <f ca="1">IFERROR(__xludf.DUMMYFUNCTION("""COMPUTED_VALUE"""),4821)</f>
        <v>4821</v>
      </c>
      <c r="H60" s="1" t="str">
        <f ca="1">IFERROR(__xludf.DUMMYFUNCTION("""COMPUTED_VALUE"""),"MTLSZ004821A22")</f>
        <v>MTLSZ004821A22</v>
      </c>
      <c r="I60" s="2">
        <f ca="1">IFERROR(__xludf.DUMMYFUNCTION("""COMPUTED_VALUE"""),44707)</f>
        <v>44707</v>
      </c>
      <c r="J60" s="2">
        <f ca="1">IFERROR(__xludf.DUMMYFUNCTION("""COMPUTED_VALUE"""),45071)</f>
        <v>45071</v>
      </c>
    </row>
    <row r="61" spans="1:10" x14ac:dyDescent="0.25">
      <c r="A61" s="1" t="str">
        <f ca="1">IFERROR(__xludf.DUMMYFUNCTION("""COMPUTED_VALUE"""),"Klébi DSE")</f>
        <v>Klébi DSE</v>
      </c>
      <c r="B61" s="1" t="str">
        <f ca="1">IFERROR(__xludf.DUMMYFUNCTION("""COMPUTED_VALUE"""),"Popovics Dániel")</f>
        <v>Popovics Dániel</v>
      </c>
      <c r="C61" s="1"/>
      <c r="D61" s="1" t="str">
        <f ca="1">IFERROR(__xludf.DUMMYFUNCTION("""COMPUTED_VALUE"""),"Férfi")</f>
        <v>Férfi</v>
      </c>
      <c r="E61" s="1"/>
      <c r="F61" s="1">
        <f ca="1">IFERROR(__xludf.DUMMYFUNCTION("""COMPUTED_VALUE"""),2008)</f>
        <v>2008</v>
      </c>
      <c r="G61" s="1">
        <f ca="1">IFERROR(__xludf.DUMMYFUNCTION("""COMPUTED_VALUE"""),4820)</f>
        <v>4820</v>
      </c>
      <c r="H61" s="1" t="str">
        <f ca="1">IFERROR(__xludf.DUMMYFUNCTION("""COMPUTED_VALUE"""),"MTLSZ004820A22")</f>
        <v>MTLSZ004820A22</v>
      </c>
      <c r="I61" s="2">
        <f ca="1">IFERROR(__xludf.DUMMYFUNCTION("""COMPUTED_VALUE"""),44707)</f>
        <v>44707</v>
      </c>
      <c r="J61" s="2">
        <f ca="1">IFERROR(__xludf.DUMMYFUNCTION("""COMPUTED_VALUE"""),45071)</f>
        <v>45071</v>
      </c>
    </row>
    <row r="62" spans="1:10" x14ac:dyDescent="0.25">
      <c r="A62" s="1" t="str">
        <f ca="1">IFERROR(__xludf.DUMMYFUNCTION("""COMPUTED_VALUE"""),"Főtaxi SC")</f>
        <v>Főtaxi SC</v>
      </c>
      <c r="B62" s="1" t="str">
        <f ca="1">IFERROR(__xludf.DUMMYFUNCTION("""COMPUTED_VALUE"""),"Zára Hédi")</f>
        <v>Zára Hédi</v>
      </c>
      <c r="C62" s="1"/>
      <c r="D62" s="1" t="str">
        <f ca="1">IFERROR(__xludf.DUMMYFUNCTION("""COMPUTED_VALUE"""),"Nő")</f>
        <v>Nő</v>
      </c>
      <c r="E62" s="1"/>
      <c r="F62" s="1">
        <f ca="1">IFERROR(__xludf.DUMMYFUNCTION("""COMPUTED_VALUE"""),2007)</f>
        <v>2007</v>
      </c>
      <c r="G62" s="1">
        <f ca="1">IFERROR(__xludf.DUMMYFUNCTION("""COMPUTED_VALUE"""),3825)</f>
        <v>3825</v>
      </c>
      <c r="H62" s="1" t="str">
        <f ca="1">IFERROR(__xludf.DUMMYFUNCTION("""COMPUTED_VALUE"""),"MTLSZ003825A22")</f>
        <v>MTLSZ003825A22</v>
      </c>
      <c r="I62" s="2">
        <f ca="1">IFERROR(__xludf.DUMMYFUNCTION("""COMPUTED_VALUE"""),44699)</f>
        <v>44699</v>
      </c>
      <c r="J62" s="2">
        <f ca="1">IFERROR(__xludf.DUMMYFUNCTION("""COMPUTED_VALUE"""),45063)</f>
        <v>45063</v>
      </c>
    </row>
    <row r="63" spans="1:10" x14ac:dyDescent="0.25">
      <c r="A63" s="1" t="str">
        <f ca="1">IFERROR(__xludf.DUMMYFUNCTION("""COMPUTED_VALUE"""),"Főtaxi SC")</f>
        <v>Főtaxi SC</v>
      </c>
      <c r="B63" s="1" t="str">
        <f ca="1">IFERROR(__xludf.DUMMYFUNCTION("""COMPUTED_VALUE"""),"Zára Kincső")</f>
        <v>Zára Kincső</v>
      </c>
      <c r="C63" s="1"/>
      <c r="D63" s="1" t="str">
        <f ca="1">IFERROR(__xludf.DUMMYFUNCTION("""COMPUTED_VALUE"""),"Nő")</f>
        <v>Nő</v>
      </c>
      <c r="E63" s="1"/>
      <c r="F63" s="1">
        <f ca="1">IFERROR(__xludf.DUMMYFUNCTION("""COMPUTED_VALUE"""),2007)</f>
        <v>2007</v>
      </c>
      <c r="G63" s="1">
        <f ca="1">IFERROR(__xludf.DUMMYFUNCTION("""COMPUTED_VALUE"""),3826)</f>
        <v>3826</v>
      </c>
      <c r="H63" s="1" t="str">
        <f ca="1">IFERROR(__xludf.DUMMYFUNCTION("""COMPUTED_VALUE"""),"MTLSZ003826A22")</f>
        <v>MTLSZ003826A22</v>
      </c>
      <c r="I63" s="2">
        <f ca="1">IFERROR(__xludf.DUMMYFUNCTION("""COMPUTED_VALUE"""),44699)</f>
        <v>44699</v>
      </c>
      <c r="J63" s="2">
        <f ca="1">IFERROR(__xludf.DUMMYFUNCTION("""COMPUTED_VALUE"""),45063)</f>
        <v>45063</v>
      </c>
    </row>
    <row r="64" spans="1:10" x14ac:dyDescent="0.25">
      <c r="A64" s="1" t="str">
        <f ca="1">IFERROR(__xludf.DUMMYFUNCTION("""COMPUTED_VALUE"""),"Talentum TSE")</f>
        <v>Talentum TSE</v>
      </c>
      <c r="B64" s="1" t="str">
        <f ca="1">IFERROR(__xludf.DUMMYFUNCTION("""COMPUTED_VALUE"""),"Demeter Dávid Ferenc")</f>
        <v>Demeter Dávid Ferenc</v>
      </c>
      <c r="C64" s="1"/>
      <c r="D64" s="1" t="str">
        <f ca="1">IFERROR(__xludf.DUMMYFUNCTION("""COMPUTED_VALUE"""),"Férfi")</f>
        <v>Férfi</v>
      </c>
      <c r="E64" s="1"/>
      <c r="F64" s="1">
        <f ca="1">IFERROR(__xludf.DUMMYFUNCTION("""COMPUTED_VALUE"""),2009)</f>
        <v>2009</v>
      </c>
      <c r="G64" s="1">
        <f ca="1">IFERROR(__xludf.DUMMYFUNCTION("""COMPUTED_VALUE"""),4818)</f>
        <v>4818</v>
      </c>
      <c r="H64" s="1" t="str">
        <f ca="1">IFERROR(__xludf.DUMMYFUNCTION("""COMPUTED_VALUE"""),"MTLSZ004818A22")</f>
        <v>MTLSZ004818A22</v>
      </c>
      <c r="I64" s="2">
        <f ca="1">IFERROR(__xludf.DUMMYFUNCTION("""COMPUTED_VALUE"""),44699)</f>
        <v>44699</v>
      </c>
      <c r="J64" s="2">
        <f ca="1">IFERROR(__xludf.DUMMYFUNCTION("""COMPUTED_VALUE"""),45063)</f>
        <v>45063</v>
      </c>
    </row>
    <row r="65" spans="1:10" x14ac:dyDescent="0.25">
      <c r="A65" s="1" t="str">
        <f ca="1">IFERROR(__xludf.DUMMYFUNCTION("""COMPUTED_VALUE"""),"Tollas Gólyák SE")</f>
        <v>Tollas Gólyák SE</v>
      </c>
      <c r="B65" s="1" t="str">
        <f ca="1">IFERROR(__xludf.DUMMYFUNCTION("""COMPUTED_VALUE"""),"Sós Bianka Kiara")</f>
        <v>Sós Bianka Kiara</v>
      </c>
      <c r="C65" s="1"/>
      <c r="D65" s="1" t="str">
        <f ca="1">IFERROR(__xludf.DUMMYFUNCTION("""COMPUTED_VALUE"""),"Nő")</f>
        <v>Nő</v>
      </c>
      <c r="E65" s="1"/>
      <c r="F65" s="1">
        <f ca="1">IFERROR(__xludf.DUMMYFUNCTION("""COMPUTED_VALUE"""),2006)</f>
        <v>2006</v>
      </c>
      <c r="G65" s="1">
        <f ca="1">IFERROR(__xludf.DUMMYFUNCTION("""COMPUTED_VALUE"""),4819)</f>
        <v>4819</v>
      </c>
      <c r="H65" s="1" t="str">
        <f ca="1">IFERROR(__xludf.DUMMYFUNCTION("""COMPUTED_VALUE"""),"MTLSZ004819A22")</f>
        <v>MTLSZ004819A22</v>
      </c>
      <c r="I65" s="2">
        <f ca="1">IFERROR(__xludf.DUMMYFUNCTION("""COMPUTED_VALUE"""),44699)</f>
        <v>44699</v>
      </c>
      <c r="J65" s="2">
        <f ca="1">IFERROR(__xludf.DUMMYFUNCTION("""COMPUTED_VALUE"""),45063)</f>
        <v>45063</v>
      </c>
    </row>
    <row r="66" spans="1:10" x14ac:dyDescent="0.25">
      <c r="A66" s="1" t="str">
        <f ca="1">IFERROR(__xludf.DUMMYFUNCTION("""COMPUTED_VALUE"""),"Formás SE")</f>
        <v>Formás SE</v>
      </c>
      <c r="B66" s="1" t="str">
        <f ca="1">IFERROR(__xludf.DUMMYFUNCTION("""COMPUTED_VALUE"""),"Mayer Róbert")</f>
        <v>Mayer Róbert</v>
      </c>
      <c r="C66" s="1"/>
      <c r="D66" s="1" t="str">
        <f ca="1">IFERROR(__xludf.DUMMYFUNCTION("""COMPUTED_VALUE"""),"Férfi")</f>
        <v>Férfi</v>
      </c>
      <c r="E66" s="1"/>
      <c r="F66" s="1">
        <f ca="1">IFERROR(__xludf.DUMMYFUNCTION("""COMPUTED_VALUE"""),1981)</f>
        <v>1981</v>
      </c>
      <c r="G66" s="1">
        <f ca="1">IFERROR(__xludf.DUMMYFUNCTION("""COMPUTED_VALUE"""),628)</f>
        <v>628</v>
      </c>
      <c r="H66" s="1" t="str">
        <f ca="1">IFERROR(__xludf.DUMMYFUNCTION("""COMPUTED_VALUE"""),"MTLSZ000628A22")</f>
        <v>MTLSZ000628A22</v>
      </c>
      <c r="I66" s="2">
        <f ca="1">IFERROR(__xludf.DUMMYFUNCTION("""COMPUTED_VALUE"""),44697)</f>
        <v>44697</v>
      </c>
      <c r="J66" s="2">
        <f ca="1">IFERROR(__xludf.DUMMYFUNCTION("""COMPUTED_VALUE"""),45061)</f>
        <v>45061</v>
      </c>
    </row>
    <row r="67" spans="1:10" x14ac:dyDescent="0.25">
      <c r="A67" s="1" t="str">
        <f ca="1">IFERROR(__xludf.DUMMYFUNCTION("""COMPUTED_VALUE"""),"Újpest TSE")</f>
        <v>Újpest TSE</v>
      </c>
      <c r="B67" s="1" t="str">
        <f ca="1">IFERROR(__xludf.DUMMYFUNCTION("""COMPUTED_VALUE"""),"Erdős Fanni")</f>
        <v>Erdős Fanni</v>
      </c>
      <c r="C67" s="1"/>
      <c r="D67" s="1" t="str">
        <f ca="1">IFERROR(__xludf.DUMMYFUNCTION("""COMPUTED_VALUE"""),"Nő")</f>
        <v>Nő</v>
      </c>
      <c r="E67" s="1"/>
      <c r="F67" s="1">
        <f ca="1">IFERROR(__xludf.DUMMYFUNCTION("""COMPUTED_VALUE"""),2006)</f>
        <v>2006</v>
      </c>
      <c r="G67" s="1">
        <f ca="1">IFERROR(__xludf.DUMMYFUNCTION("""COMPUTED_VALUE"""),3588)</f>
        <v>3588</v>
      </c>
      <c r="H67" s="1" t="str">
        <f ca="1">IFERROR(__xludf.DUMMYFUNCTION("""COMPUTED_VALUE"""),"MTLSZ003588A22")</f>
        <v>MTLSZ003588A22</v>
      </c>
      <c r="I67" s="2">
        <f ca="1">IFERROR(__xludf.DUMMYFUNCTION("""COMPUTED_VALUE"""),44692)</f>
        <v>44692</v>
      </c>
      <c r="J67" s="2">
        <f ca="1">IFERROR(__xludf.DUMMYFUNCTION("""COMPUTED_VALUE"""),45056)</f>
        <v>45056</v>
      </c>
    </row>
    <row r="68" spans="1:10" x14ac:dyDescent="0.25">
      <c r="A68" s="1" t="str">
        <f ca="1">IFERROR(__xludf.DUMMYFUNCTION("""COMPUTED_VALUE"""),"Újpest TSE")</f>
        <v>Újpest TSE</v>
      </c>
      <c r="B68" s="1" t="str">
        <f ca="1">IFERROR(__xludf.DUMMYFUNCTION("""COMPUTED_VALUE"""),"Kerekes Márton")</f>
        <v>Kerekes Márton</v>
      </c>
      <c r="C68" s="1"/>
      <c r="D68" s="1" t="str">
        <f ca="1">IFERROR(__xludf.DUMMYFUNCTION("""COMPUTED_VALUE"""),"Férfi")</f>
        <v>Férfi</v>
      </c>
      <c r="E68" s="1"/>
      <c r="F68" s="1">
        <f ca="1">IFERROR(__xludf.DUMMYFUNCTION("""COMPUTED_VALUE"""),2013)</f>
        <v>2013</v>
      </c>
      <c r="G68" s="1">
        <f ca="1">IFERROR(__xludf.DUMMYFUNCTION("""COMPUTED_VALUE"""),4433)</f>
        <v>4433</v>
      </c>
      <c r="H68" s="1" t="str">
        <f ca="1">IFERROR(__xludf.DUMMYFUNCTION("""COMPUTED_VALUE"""),"MTLSZ004433A22")</f>
        <v>MTLSZ004433A22</v>
      </c>
      <c r="I68" s="2">
        <f ca="1">IFERROR(__xludf.DUMMYFUNCTION("""COMPUTED_VALUE"""),44691)</f>
        <v>44691</v>
      </c>
      <c r="J68" s="2">
        <f ca="1">IFERROR(__xludf.DUMMYFUNCTION("""COMPUTED_VALUE"""),45055)</f>
        <v>45055</v>
      </c>
    </row>
    <row r="69" spans="1:10" x14ac:dyDescent="0.25">
      <c r="A69" s="1" t="str">
        <f ca="1">IFERROR(__xludf.DUMMYFUNCTION("""COMPUTED_VALUE"""),"Újpest TSE")</f>
        <v>Újpest TSE</v>
      </c>
      <c r="B69" s="1" t="str">
        <f ca="1">IFERROR(__xludf.DUMMYFUNCTION("""COMPUTED_VALUE"""),"Wang Shou")</f>
        <v>Wang Shou</v>
      </c>
      <c r="C69" s="1"/>
      <c r="D69" s="1" t="str">
        <f ca="1">IFERROR(__xludf.DUMMYFUNCTION("""COMPUTED_VALUE"""),"Férfi")</f>
        <v>Férfi</v>
      </c>
      <c r="E69" s="1"/>
      <c r="F69" s="1">
        <f ca="1">IFERROR(__xludf.DUMMYFUNCTION("""COMPUTED_VALUE"""),2009)</f>
        <v>2009</v>
      </c>
      <c r="G69" s="1">
        <f ca="1">IFERROR(__xludf.DUMMYFUNCTION("""COMPUTED_VALUE"""),3079)</f>
        <v>3079</v>
      </c>
      <c r="H69" s="1" t="str">
        <f ca="1">IFERROR(__xludf.DUMMYFUNCTION("""COMPUTED_VALUE"""),"MTLSZ003079A22")</f>
        <v>MTLSZ003079A22</v>
      </c>
      <c r="I69" s="2">
        <f ca="1">IFERROR(__xludf.DUMMYFUNCTION("""COMPUTED_VALUE"""),44691)</f>
        <v>44691</v>
      </c>
      <c r="J69" s="2">
        <f ca="1">IFERROR(__xludf.DUMMYFUNCTION("""COMPUTED_VALUE"""),45055)</f>
        <v>45055</v>
      </c>
    </row>
    <row r="70" spans="1:10" x14ac:dyDescent="0.25">
      <c r="A70" s="1" t="str">
        <f ca="1">IFERROR(__xludf.DUMMYFUNCTION("""COMPUTED_VALUE"""),"Seregélyesi PDSE")</f>
        <v>Seregélyesi PDSE</v>
      </c>
      <c r="B70" s="1" t="str">
        <f ca="1">IFERROR(__xludf.DUMMYFUNCTION("""COMPUTED_VALUE"""),"Rapai Martin")</f>
        <v>Rapai Martin</v>
      </c>
      <c r="C70" s="1"/>
      <c r="D70" s="1" t="str">
        <f ca="1">IFERROR(__xludf.DUMMYFUNCTION("""COMPUTED_VALUE"""),"Férfi")</f>
        <v>Férfi</v>
      </c>
      <c r="E70" s="1"/>
      <c r="F70" s="1">
        <f ca="1">IFERROR(__xludf.DUMMYFUNCTION("""COMPUTED_VALUE"""),1997)</f>
        <v>1997</v>
      </c>
      <c r="G70" s="1">
        <f ca="1">IFERROR(__xludf.DUMMYFUNCTION("""COMPUTED_VALUE"""),2101)</f>
        <v>2101</v>
      </c>
      <c r="H70" s="1" t="str">
        <f ca="1">IFERROR(__xludf.DUMMYFUNCTION("""COMPUTED_VALUE"""),"MTLSZ002101A22")</f>
        <v>MTLSZ002101A22</v>
      </c>
      <c r="I70" s="2">
        <f ca="1">IFERROR(__xludf.DUMMYFUNCTION("""COMPUTED_VALUE"""),44686)</f>
        <v>44686</v>
      </c>
      <c r="J70" s="2">
        <f ca="1">IFERROR(__xludf.DUMMYFUNCTION("""COMPUTED_VALUE"""),45050)</f>
        <v>45050</v>
      </c>
    </row>
    <row r="71" spans="1:10" x14ac:dyDescent="0.25">
      <c r="A71" s="1" t="str">
        <f ca="1">IFERROR(__xludf.DUMMYFUNCTION("""COMPUTED_VALUE"""),"Seregélyesi PDSE")</f>
        <v>Seregélyesi PDSE</v>
      </c>
      <c r="B71" s="1" t="str">
        <f ca="1">IFERROR(__xludf.DUMMYFUNCTION("""COMPUTED_VALUE"""),"Zsilovics Dávid")</f>
        <v>Zsilovics Dávid</v>
      </c>
      <c r="C71" s="1"/>
      <c r="D71" s="1" t="str">
        <f ca="1">IFERROR(__xludf.DUMMYFUNCTION("""COMPUTED_VALUE"""),"Férfi")</f>
        <v>Férfi</v>
      </c>
      <c r="E71" s="1"/>
      <c r="F71" s="1">
        <f ca="1">IFERROR(__xludf.DUMMYFUNCTION("""COMPUTED_VALUE"""),1993)</f>
        <v>1993</v>
      </c>
      <c r="G71" s="1">
        <f ca="1">IFERROR(__xludf.DUMMYFUNCTION("""COMPUTED_VALUE"""),1883)</f>
        <v>1883</v>
      </c>
      <c r="H71" s="1" t="str">
        <f ca="1">IFERROR(__xludf.DUMMYFUNCTION("""COMPUTED_VALUE"""),"MTLSZ001883A22")</f>
        <v>MTLSZ001883A22</v>
      </c>
      <c r="I71" s="2">
        <f ca="1">IFERROR(__xludf.DUMMYFUNCTION("""COMPUTED_VALUE"""),44686)</f>
        <v>44686</v>
      </c>
      <c r="J71" s="2">
        <f ca="1">IFERROR(__xludf.DUMMYFUNCTION("""COMPUTED_VALUE"""),45050)</f>
        <v>45050</v>
      </c>
    </row>
    <row r="72" spans="1:10" x14ac:dyDescent="0.25">
      <c r="A72" s="1" t="str">
        <f ca="1">IFERROR(__xludf.DUMMYFUNCTION("""COMPUTED_VALUE"""),"Újpest TSE")</f>
        <v>Újpest TSE</v>
      </c>
      <c r="B72" s="1" t="str">
        <f ca="1">IFERROR(__xludf.DUMMYFUNCTION("""COMPUTED_VALUE"""),"Mészáros Attila")</f>
        <v>Mészáros Attila</v>
      </c>
      <c r="C72" s="1"/>
      <c r="D72" s="1" t="str">
        <f ca="1">IFERROR(__xludf.DUMMYFUNCTION("""COMPUTED_VALUE"""),"Férfi")</f>
        <v>Férfi</v>
      </c>
      <c r="E72" s="1"/>
      <c r="F72" s="1">
        <f ca="1">IFERROR(__xludf.DUMMYFUNCTION("""COMPUTED_VALUE"""),1969)</f>
        <v>1969</v>
      </c>
      <c r="G72" s="1">
        <f ca="1">IFERROR(__xludf.DUMMYFUNCTION("""COMPUTED_VALUE"""),1956)</f>
        <v>1956</v>
      </c>
      <c r="H72" s="1" t="str">
        <f ca="1">IFERROR(__xludf.DUMMYFUNCTION("""COMPUTED_VALUE"""),"MTLSZ001956A22")</f>
        <v>MTLSZ001956A22</v>
      </c>
      <c r="I72" s="2">
        <f ca="1">IFERROR(__xludf.DUMMYFUNCTION("""COMPUTED_VALUE"""),44686)</f>
        <v>44686</v>
      </c>
      <c r="J72" s="2">
        <f ca="1">IFERROR(__xludf.DUMMYFUNCTION("""COMPUTED_VALUE"""),45050)</f>
        <v>45050</v>
      </c>
    </row>
    <row r="73" spans="1:10" x14ac:dyDescent="0.25">
      <c r="A73" s="1" t="str">
        <f ca="1">IFERROR(__xludf.DUMMYFUNCTION("""COMPUTED_VALUE"""),"Danubius KSE")</f>
        <v>Danubius KSE</v>
      </c>
      <c r="B73" s="1" t="str">
        <f ca="1">IFERROR(__xludf.DUMMYFUNCTION("""COMPUTED_VALUE"""),"Kiss Angéla")</f>
        <v>Kiss Angéla</v>
      </c>
      <c r="C73" s="1"/>
      <c r="D73" s="1" t="str">
        <f ca="1">IFERROR(__xludf.DUMMYFUNCTION("""COMPUTED_VALUE"""),"Nő")</f>
        <v>Nő</v>
      </c>
      <c r="E73" s="1"/>
      <c r="F73" s="1">
        <f ca="1">IFERROR(__xludf.DUMMYFUNCTION("""COMPUTED_VALUE"""),2009)</f>
        <v>2009</v>
      </c>
      <c r="G73" s="1">
        <f ca="1">IFERROR(__xludf.DUMMYFUNCTION("""COMPUTED_VALUE"""),4816)</f>
        <v>4816</v>
      </c>
      <c r="H73" s="1" t="str">
        <f ca="1">IFERROR(__xludf.DUMMYFUNCTION("""COMPUTED_VALUE"""),"MTLSZ004816A22")</f>
        <v>MTLSZ004816A22</v>
      </c>
      <c r="I73" s="2">
        <f ca="1">IFERROR(__xludf.DUMMYFUNCTION("""COMPUTED_VALUE"""),44683)</f>
        <v>44683</v>
      </c>
      <c r="J73" s="2">
        <f ca="1">IFERROR(__xludf.DUMMYFUNCTION("""COMPUTED_VALUE"""),45047)</f>
        <v>45047</v>
      </c>
    </row>
    <row r="74" spans="1:10" x14ac:dyDescent="0.25">
      <c r="A74" s="1" t="str">
        <f ca="1">IFERROR(__xludf.DUMMYFUNCTION("""COMPUTED_VALUE"""),"Talentum TSE")</f>
        <v>Talentum TSE</v>
      </c>
      <c r="B74" s="1" t="str">
        <f ca="1">IFERROR(__xludf.DUMMYFUNCTION("""COMPUTED_VALUE"""),"Jócsik Balázs Máté")</f>
        <v>Jócsik Balázs Máté</v>
      </c>
      <c r="C74" s="1"/>
      <c r="D74" s="1" t="str">
        <f ca="1">IFERROR(__xludf.DUMMYFUNCTION("""COMPUTED_VALUE"""),"Férfi")</f>
        <v>Férfi</v>
      </c>
      <c r="E74" s="1"/>
      <c r="F74" s="1">
        <f ca="1">IFERROR(__xludf.DUMMYFUNCTION("""COMPUTED_VALUE"""),2011)</f>
        <v>2011</v>
      </c>
      <c r="G74" s="1">
        <f ca="1">IFERROR(__xludf.DUMMYFUNCTION("""COMPUTED_VALUE"""),4817)</f>
        <v>4817</v>
      </c>
      <c r="H74" s="1" t="str">
        <f ca="1">IFERROR(__xludf.DUMMYFUNCTION("""COMPUTED_VALUE"""),"MTLSZ004817A22")</f>
        <v>MTLSZ004817A22</v>
      </c>
      <c r="I74" s="2">
        <f ca="1">IFERROR(__xludf.DUMMYFUNCTION("""COMPUTED_VALUE"""),44683)</f>
        <v>44683</v>
      </c>
      <c r="J74" s="2">
        <f ca="1">IFERROR(__xludf.DUMMYFUNCTION("""COMPUTED_VALUE"""),45047)</f>
        <v>45047</v>
      </c>
    </row>
    <row r="75" spans="1:10" x14ac:dyDescent="0.25">
      <c r="A75" s="1" t="str">
        <f ca="1">IFERROR(__xludf.DUMMYFUNCTION("""COMPUTED_VALUE"""),"CET SE")</f>
        <v>CET SE</v>
      </c>
      <c r="B75" s="1" t="str">
        <f ca="1">IFERROR(__xludf.DUMMYFUNCTION("""COMPUTED_VALUE"""),"Papp Emma Rebeka")</f>
        <v>Papp Emma Rebeka</v>
      </c>
      <c r="C75" s="1"/>
      <c r="D75" s="1" t="str">
        <f ca="1">IFERROR(__xludf.DUMMYFUNCTION("""COMPUTED_VALUE"""),"Nő")</f>
        <v>Nő</v>
      </c>
      <c r="E75" s="1"/>
      <c r="F75" s="1">
        <f ca="1">IFERROR(__xludf.DUMMYFUNCTION("""COMPUTED_VALUE"""),2010)</f>
        <v>2010</v>
      </c>
      <c r="G75" s="1">
        <f ca="1">IFERROR(__xludf.DUMMYFUNCTION("""COMPUTED_VALUE"""),3502)</f>
        <v>3502</v>
      </c>
      <c r="H75" s="1" t="str">
        <f ca="1">IFERROR(__xludf.DUMMYFUNCTION("""COMPUTED_VALUE"""),"MTLSZ003502A22")</f>
        <v>MTLSZ003502A22</v>
      </c>
      <c r="I75" s="2">
        <f ca="1">IFERROR(__xludf.DUMMYFUNCTION("""COMPUTED_VALUE"""),44677)</f>
        <v>44677</v>
      </c>
      <c r="J75" s="2">
        <f ca="1">IFERROR(__xludf.DUMMYFUNCTION("""COMPUTED_VALUE"""),45041)</f>
        <v>45041</v>
      </c>
    </row>
    <row r="76" spans="1:10" x14ac:dyDescent="0.25">
      <c r="A76" s="1" t="str">
        <f ca="1">IFERROR(__xludf.DUMMYFUNCTION("""COMPUTED_VALUE"""),"Érdi VSE")</f>
        <v>Érdi VSE</v>
      </c>
      <c r="B76" s="1" t="str">
        <f ca="1">IFERROR(__xludf.DUMMYFUNCTION("""COMPUTED_VALUE"""),"Dancs Olivér")</f>
        <v>Dancs Olivér</v>
      </c>
      <c r="C76" s="1"/>
      <c r="D76" s="1" t="str">
        <f ca="1">IFERROR(__xludf.DUMMYFUNCTION("""COMPUTED_VALUE"""),"Férfi")</f>
        <v>Férfi</v>
      </c>
      <c r="E76" s="1"/>
      <c r="F76" s="1">
        <f ca="1">IFERROR(__xludf.DUMMYFUNCTION("""COMPUTED_VALUE"""),2010)</f>
        <v>2010</v>
      </c>
      <c r="G76" s="1">
        <f ca="1">IFERROR(__xludf.DUMMYFUNCTION("""COMPUTED_VALUE"""),3528)</f>
        <v>3528</v>
      </c>
      <c r="H76" s="1" t="str">
        <f ca="1">IFERROR(__xludf.DUMMYFUNCTION("""COMPUTED_VALUE"""),"MTLSZ003528A22")</f>
        <v>MTLSZ003528A22</v>
      </c>
      <c r="I76" s="2">
        <f ca="1">IFERROR(__xludf.DUMMYFUNCTION("""COMPUTED_VALUE"""),44677)</f>
        <v>44677</v>
      </c>
      <c r="J76" s="2">
        <f ca="1">IFERROR(__xludf.DUMMYFUNCTION("""COMPUTED_VALUE"""),45041)</f>
        <v>45041</v>
      </c>
    </row>
    <row r="77" spans="1:10" x14ac:dyDescent="0.25">
      <c r="A77" s="1" t="str">
        <f ca="1">IFERROR(__xludf.DUMMYFUNCTION("""COMPUTED_VALUE"""),"Érdi VSE")</f>
        <v>Érdi VSE</v>
      </c>
      <c r="B77" s="1" t="str">
        <f ca="1">IFERROR(__xludf.DUMMYFUNCTION("""COMPUTED_VALUE"""),"Kovács Marcell")</f>
        <v>Kovács Marcell</v>
      </c>
      <c r="C77" s="1"/>
      <c r="D77" s="1" t="str">
        <f ca="1">IFERROR(__xludf.DUMMYFUNCTION("""COMPUTED_VALUE"""),"Férfi")</f>
        <v>Férfi</v>
      </c>
      <c r="E77" s="1"/>
      <c r="F77" s="1">
        <f ca="1">IFERROR(__xludf.DUMMYFUNCTION("""COMPUTED_VALUE"""),2008)</f>
        <v>2008</v>
      </c>
      <c r="G77" s="1">
        <f ca="1">IFERROR(__xludf.DUMMYFUNCTION("""COMPUTED_VALUE"""),2893)</f>
        <v>2893</v>
      </c>
      <c r="H77" s="1" t="str">
        <f ca="1">IFERROR(__xludf.DUMMYFUNCTION("""COMPUTED_VALUE"""),"MTLSZ002893A22")</f>
        <v>MTLSZ002893A22</v>
      </c>
      <c r="I77" s="2">
        <f ca="1">IFERROR(__xludf.DUMMYFUNCTION("""COMPUTED_VALUE"""),44677)</f>
        <v>44677</v>
      </c>
      <c r="J77" s="2">
        <f ca="1">IFERROR(__xludf.DUMMYFUNCTION("""COMPUTED_VALUE"""),45041)</f>
        <v>45041</v>
      </c>
    </row>
    <row r="78" spans="1:10" x14ac:dyDescent="0.25">
      <c r="A78" s="1" t="str">
        <f ca="1">IFERROR(__xludf.DUMMYFUNCTION("""COMPUTED_VALUE"""),"Győri TSE")</f>
        <v>Győri TSE</v>
      </c>
      <c r="B78" s="1" t="str">
        <f ca="1">IFERROR(__xludf.DUMMYFUNCTION("""COMPUTED_VALUE"""),"Kuti Dominik")</f>
        <v>Kuti Dominik</v>
      </c>
      <c r="C78" s="1"/>
      <c r="D78" s="1" t="str">
        <f ca="1">IFERROR(__xludf.DUMMYFUNCTION("""COMPUTED_VALUE"""),"Férfi")</f>
        <v>Férfi</v>
      </c>
      <c r="E78" s="1"/>
      <c r="F78" s="1">
        <f ca="1">IFERROR(__xludf.DUMMYFUNCTION("""COMPUTED_VALUE"""),2001)</f>
        <v>2001</v>
      </c>
      <c r="G78" s="1">
        <f ca="1">IFERROR(__xludf.DUMMYFUNCTION("""COMPUTED_VALUE"""),2146)</f>
        <v>2146</v>
      </c>
      <c r="H78" s="1" t="str">
        <f ca="1">IFERROR(__xludf.DUMMYFUNCTION("""COMPUTED_VALUE"""),"MTLSZ002146A22")</f>
        <v>MTLSZ002146A22</v>
      </c>
      <c r="I78" s="2">
        <f ca="1">IFERROR(__xludf.DUMMYFUNCTION("""COMPUTED_VALUE"""),44677)</f>
        <v>44677</v>
      </c>
      <c r="J78" s="2">
        <f ca="1">IFERROR(__xludf.DUMMYFUNCTION("""COMPUTED_VALUE"""),45041)</f>
        <v>45041</v>
      </c>
    </row>
    <row r="79" spans="1:10" x14ac:dyDescent="0.25">
      <c r="A79" s="1" t="str">
        <f ca="1">IFERROR(__xludf.DUMMYFUNCTION("""COMPUTED_VALUE"""),"NYVSC")</f>
        <v>NYVSC</v>
      </c>
      <c r="B79" s="1" t="str">
        <f ca="1">IFERROR(__xludf.DUMMYFUNCTION("""COMPUTED_VALUE"""),"Dankó Bercel")</f>
        <v>Dankó Bercel</v>
      </c>
      <c r="C79" s="1"/>
      <c r="D79" s="1" t="str">
        <f ca="1">IFERROR(__xludf.DUMMYFUNCTION("""COMPUTED_VALUE"""),"Férfi")</f>
        <v>Férfi</v>
      </c>
      <c r="E79" s="1"/>
      <c r="F79" s="1">
        <f ca="1">IFERROR(__xludf.DUMMYFUNCTION("""COMPUTED_VALUE"""),2009)</f>
        <v>2009</v>
      </c>
      <c r="G79" s="1">
        <f ca="1">IFERROR(__xludf.DUMMYFUNCTION("""COMPUTED_VALUE"""),3260)</f>
        <v>3260</v>
      </c>
      <c r="H79" s="1" t="str">
        <f ca="1">IFERROR(__xludf.DUMMYFUNCTION("""COMPUTED_VALUE"""),"MTLSZ003260A22")</f>
        <v>MTLSZ003260A22</v>
      </c>
      <c r="I79" s="2">
        <f ca="1">IFERROR(__xludf.DUMMYFUNCTION("""COMPUTED_VALUE"""),44677)</f>
        <v>44677</v>
      </c>
      <c r="J79" s="2">
        <f ca="1">IFERROR(__xludf.DUMMYFUNCTION("""COMPUTED_VALUE"""),45041)</f>
        <v>45041</v>
      </c>
    </row>
    <row r="80" spans="1:10" x14ac:dyDescent="0.25">
      <c r="A80" s="1" t="str">
        <f ca="1">IFERROR(__xludf.DUMMYFUNCTION("""COMPUTED_VALUE"""),"NYVSC")</f>
        <v>NYVSC</v>
      </c>
      <c r="B80" s="1" t="str">
        <f ca="1">IFERROR(__xludf.DUMMYFUNCTION("""COMPUTED_VALUE"""),"Vadai Renáta")</f>
        <v>Vadai Renáta</v>
      </c>
      <c r="C80" s="1"/>
      <c r="D80" s="1" t="str">
        <f ca="1">IFERROR(__xludf.DUMMYFUNCTION("""COMPUTED_VALUE"""),"Nő")</f>
        <v>Nő</v>
      </c>
      <c r="E80" s="1"/>
      <c r="F80" s="1">
        <f ca="1">IFERROR(__xludf.DUMMYFUNCTION("""COMPUTED_VALUE"""),1975)</f>
        <v>1975</v>
      </c>
      <c r="G80" s="1">
        <f ca="1">IFERROR(__xludf.DUMMYFUNCTION("""COMPUTED_VALUE"""),3523)</f>
        <v>3523</v>
      </c>
      <c r="H80" s="1" t="str">
        <f ca="1">IFERROR(__xludf.DUMMYFUNCTION("""COMPUTED_VALUE"""),"MTLSZ003523A22")</f>
        <v>MTLSZ003523A22</v>
      </c>
      <c r="I80" s="2">
        <f ca="1">IFERROR(__xludf.DUMMYFUNCTION("""COMPUTED_VALUE"""),44677)</f>
        <v>44677</v>
      </c>
      <c r="J80" s="2">
        <f ca="1">IFERROR(__xludf.DUMMYFUNCTION("""COMPUTED_VALUE"""),45041)</f>
        <v>45041</v>
      </c>
    </row>
    <row r="81" spans="1:10" x14ac:dyDescent="0.25">
      <c r="A81" s="1" t="str">
        <f ca="1">IFERROR(__xludf.DUMMYFUNCTION("""COMPUTED_VALUE"""),"Seregélyesi PDSE")</f>
        <v>Seregélyesi PDSE</v>
      </c>
      <c r="B81" s="1" t="str">
        <f ca="1">IFERROR(__xludf.DUMMYFUNCTION("""COMPUTED_VALUE"""),"Kántor Bertalan")</f>
        <v>Kántor Bertalan</v>
      </c>
      <c r="C81" s="1"/>
      <c r="D81" s="1" t="str">
        <f ca="1">IFERROR(__xludf.DUMMYFUNCTION("""COMPUTED_VALUE"""),"Férfi")</f>
        <v>Férfi</v>
      </c>
      <c r="E81" s="1"/>
      <c r="F81" s="1">
        <f ca="1">IFERROR(__xludf.DUMMYFUNCTION("""COMPUTED_VALUE"""),2013)</f>
        <v>2013</v>
      </c>
      <c r="G81" s="1">
        <f ca="1">IFERROR(__xludf.DUMMYFUNCTION("""COMPUTED_VALUE"""),4014)</f>
        <v>4014</v>
      </c>
      <c r="H81" s="1" t="str">
        <f ca="1">IFERROR(__xludf.DUMMYFUNCTION("""COMPUTED_VALUE"""),"MTLSZ004014A22")</f>
        <v>MTLSZ004014A22</v>
      </c>
      <c r="I81" s="2">
        <f ca="1">IFERROR(__xludf.DUMMYFUNCTION("""COMPUTED_VALUE"""),44677)</f>
        <v>44677</v>
      </c>
      <c r="J81" s="2">
        <f ca="1">IFERROR(__xludf.DUMMYFUNCTION("""COMPUTED_VALUE"""),45041)</f>
        <v>45041</v>
      </c>
    </row>
    <row r="82" spans="1:10" x14ac:dyDescent="0.25">
      <c r="A82" s="1" t="str">
        <f ca="1">IFERROR(__xludf.DUMMYFUNCTION("""COMPUTED_VALUE"""),"Tisza TSE")</f>
        <v>Tisza TSE</v>
      </c>
      <c r="B82" s="1" t="str">
        <f ca="1">IFERROR(__xludf.DUMMYFUNCTION("""COMPUTED_VALUE"""),"Raznatovic Mila")</f>
        <v>Raznatovic Mila</v>
      </c>
      <c r="C82" s="1"/>
      <c r="D82" s="1" t="str">
        <f ca="1">IFERROR(__xludf.DUMMYFUNCTION("""COMPUTED_VALUE"""),"Nő")</f>
        <v>Nő</v>
      </c>
      <c r="E82" s="1"/>
      <c r="F82" s="1">
        <f ca="1">IFERROR(__xludf.DUMMYFUNCTION("""COMPUTED_VALUE"""),2006)</f>
        <v>2006</v>
      </c>
      <c r="G82" s="1">
        <f ca="1">IFERROR(__xludf.DUMMYFUNCTION("""COMPUTED_VALUE"""),4529)</f>
        <v>4529</v>
      </c>
      <c r="H82" s="1" t="str">
        <f ca="1">IFERROR(__xludf.DUMMYFUNCTION("""COMPUTED_VALUE"""),"MTLSZ004529A22")</f>
        <v>MTLSZ004529A22</v>
      </c>
      <c r="I82" s="2">
        <f ca="1">IFERROR(__xludf.DUMMYFUNCTION("""COMPUTED_VALUE"""),44677)</f>
        <v>44677</v>
      </c>
      <c r="J82" s="2">
        <f ca="1">IFERROR(__xludf.DUMMYFUNCTION("""COMPUTED_VALUE"""),45041)</f>
        <v>45041</v>
      </c>
    </row>
    <row r="83" spans="1:10" x14ac:dyDescent="0.25">
      <c r="A83" s="1" t="str">
        <f ca="1">IFERROR(__xludf.DUMMYFUNCTION("""COMPUTED_VALUE"""),"VSD")</f>
        <v>VSD</v>
      </c>
      <c r="B83" s="1" t="str">
        <f ca="1">IFERROR(__xludf.DUMMYFUNCTION("""COMPUTED_VALUE"""),"Csécsei Máté")</f>
        <v>Csécsei Máté</v>
      </c>
      <c r="C83" s="1"/>
      <c r="D83" s="1" t="str">
        <f ca="1">IFERROR(__xludf.DUMMYFUNCTION("""COMPUTED_VALUE"""),"Férfi")</f>
        <v>Férfi</v>
      </c>
      <c r="E83" s="1"/>
      <c r="F83" s="1">
        <f ca="1">IFERROR(__xludf.DUMMYFUNCTION("""COMPUTED_VALUE"""),2009)</f>
        <v>2009</v>
      </c>
      <c r="G83" s="1">
        <f ca="1">IFERROR(__xludf.DUMMYFUNCTION("""COMPUTED_VALUE"""),4265)</f>
        <v>4265</v>
      </c>
      <c r="H83" s="1" t="str">
        <f ca="1">IFERROR(__xludf.DUMMYFUNCTION("""COMPUTED_VALUE"""),"MTLSZ004265A22")</f>
        <v>MTLSZ004265A22</v>
      </c>
      <c r="I83" s="2">
        <f ca="1">IFERROR(__xludf.DUMMYFUNCTION("""COMPUTED_VALUE"""),44677)</f>
        <v>44677</v>
      </c>
      <c r="J83" s="2">
        <f ca="1">IFERROR(__xludf.DUMMYFUNCTION("""COMPUTED_VALUE"""),45041)</f>
        <v>45041</v>
      </c>
    </row>
    <row r="84" spans="1:10" x14ac:dyDescent="0.25">
      <c r="A84" s="1" t="str">
        <f ca="1">IFERROR(__xludf.DUMMYFUNCTION("""COMPUTED_VALUE"""),"Újpest TSE")</f>
        <v>Újpest TSE</v>
      </c>
      <c r="B84" s="1" t="str">
        <f ca="1">IFERROR(__xludf.DUMMYFUNCTION("""COMPUTED_VALUE"""),"Szentgyörgyi Panna")</f>
        <v>Szentgyörgyi Panna</v>
      </c>
      <c r="C84" s="1"/>
      <c r="D84" s="1" t="str">
        <f ca="1">IFERROR(__xludf.DUMMYFUNCTION("""COMPUTED_VALUE"""),"Nő")</f>
        <v>Nő</v>
      </c>
      <c r="E84" s="1"/>
      <c r="F84" s="1">
        <f ca="1">IFERROR(__xludf.DUMMYFUNCTION("""COMPUTED_VALUE"""),2006)</f>
        <v>2006</v>
      </c>
      <c r="G84" s="1">
        <f ca="1">IFERROR(__xludf.DUMMYFUNCTION("""COMPUTED_VALUE"""),3479)</f>
        <v>3479</v>
      </c>
      <c r="H84" s="1" t="str">
        <f ca="1">IFERROR(__xludf.DUMMYFUNCTION("""COMPUTED_VALUE"""),"MTLSZ003479A22")</f>
        <v>MTLSZ003479A22</v>
      </c>
      <c r="I84" s="2">
        <f ca="1">IFERROR(__xludf.DUMMYFUNCTION("""COMPUTED_VALUE"""),44676)</f>
        <v>44676</v>
      </c>
      <c r="J84" s="2">
        <f ca="1">IFERROR(__xludf.DUMMYFUNCTION("""COMPUTED_VALUE"""),45040)</f>
        <v>45040</v>
      </c>
    </row>
    <row r="85" spans="1:10" x14ac:dyDescent="0.25">
      <c r="A85" s="1" t="str">
        <f ca="1">IFERROR(__xludf.DUMMYFUNCTION("""COMPUTED_VALUE"""),"MEAFC")</f>
        <v>MEAFC</v>
      </c>
      <c r="B85" s="1" t="str">
        <f ca="1">IFERROR(__xludf.DUMMYFUNCTION("""COMPUTED_VALUE"""),"Csonka Borbála")</f>
        <v>Csonka Borbála</v>
      </c>
      <c r="C85" s="1"/>
      <c r="D85" s="1" t="str">
        <f ca="1">IFERROR(__xludf.DUMMYFUNCTION("""COMPUTED_VALUE"""),"Nő")</f>
        <v>Nő</v>
      </c>
      <c r="E85" s="1"/>
      <c r="F85" s="1">
        <f ca="1">IFERROR(__xludf.DUMMYFUNCTION("""COMPUTED_VALUE"""),2005)</f>
        <v>2005</v>
      </c>
      <c r="G85" s="1">
        <f ca="1">IFERROR(__xludf.DUMMYFUNCTION("""COMPUTED_VALUE"""),4269)</f>
        <v>4269</v>
      </c>
      <c r="H85" s="1" t="str">
        <f ca="1">IFERROR(__xludf.DUMMYFUNCTION("""COMPUTED_VALUE"""),"MTLSZ004269A22")</f>
        <v>MTLSZ004269A22</v>
      </c>
      <c r="I85" s="2">
        <f ca="1">IFERROR(__xludf.DUMMYFUNCTION("""COMPUTED_VALUE"""),44672)</f>
        <v>44672</v>
      </c>
      <c r="J85" s="2">
        <f ca="1">IFERROR(__xludf.DUMMYFUNCTION("""COMPUTED_VALUE"""),45036)</f>
        <v>45036</v>
      </c>
    </row>
    <row r="86" spans="1:10" x14ac:dyDescent="0.25">
      <c r="A86" s="1" t="str">
        <f ca="1">IFERROR(__xludf.DUMMYFUNCTION("""COMPUTED_VALUE"""),"MEAFC")</f>
        <v>MEAFC</v>
      </c>
      <c r="B86" s="1" t="str">
        <f ca="1">IFERROR(__xludf.DUMMYFUNCTION("""COMPUTED_VALUE"""),"Guba Gergely")</f>
        <v>Guba Gergely</v>
      </c>
      <c r="C86" s="1"/>
      <c r="D86" s="1" t="str">
        <f ca="1">IFERROR(__xludf.DUMMYFUNCTION("""COMPUTED_VALUE"""),"Férfi")</f>
        <v>Férfi</v>
      </c>
      <c r="E86" s="1"/>
      <c r="F86" s="1">
        <f ca="1">IFERROR(__xludf.DUMMYFUNCTION("""COMPUTED_VALUE"""),2006)</f>
        <v>2006</v>
      </c>
      <c r="G86" s="1">
        <f ca="1">IFERROR(__xludf.DUMMYFUNCTION("""COMPUTED_VALUE"""),4810)</f>
        <v>4810</v>
      </c>
      <c r="H86" s="1" t="str">
        <f ca="1">IFERROR(__xludf.DUMMYFUNCTION("""COMPUTED_VALUE"""),"MTLSZ004810A22")</f>
        <v>MTLSZ004810A22</v>
      </c>
      <c r="I86" s="2">
        <f ca="1">IFERROR(__xludf.DUMMYFUNCTION("""COMPUTED_VALUE"""),44672)</f>
        <v>44672</v>
      </c>
      <c r="J86" s="2">
        <f ca="1">IFERROR(__xludf.DUMMYFUNCTION("""COMPUTED_VALUE"""),45036)</f>
        <v>45036</v>
      </c>
    </row>
    <row r="87" spans="1:10" x14ac:dyDescent="0.25">
      <c r="A87" s="1" t="str">
        <f ca="1">IFERROR(__xludf.DUMMYFUNCTION("""COMPUTED_VALUE"""),"MEAFC")</f>
        <v>MEAFC</v>
      </c>
      <c r="B87" s="1" t="str">
        <f ca="1">IFERROR(__xludf.DUMMYFUNCTION("""COMPUTED_VALUE"""),"Imri Hanna Lili")</f>
        <v>Imri Hanna Lili</v>
      </c>
      <c r="C87" s="1"/>
      <c r="D87" s="1" t="str">
        <f ca="1">IFERROR(__xludf.DUMMYFUNCTION("""COMPUTED_VALUE"""),"Nő")</f>
        <v>Nő</v>
      </c>
      <c r="E87" s="1"/>
      <c r="F87" s="1">
        <f ca="1">IFERROR(__xludf.DUMMYFUNCTION("""COMPUTED_VALUE"""),2005)</f>
        <v>2005</v>
      </c>
      <c r="G87" s="1">
        <f ca="1">IFERROR(__xludf.DUMMYFUNCTION("""COMPUTED_VALUE"""),3476)</f>
        <v>3476</v>
      </c>
      <c r="H87" s="1" t="str">
        <f ca="1">IFERROR(__xludf.DUMMYFUNCTION("""COMPUTED_VALUE"""),"MTLSZ003476A22")</f>
        <v>MTLSZ003476A22</v>
      </c>
      <c r="I87" s="2">
        <f ca="1">IFERROR(__xludf.DUMMYFUNCTION("""COMPUTED_VALUE"""),44672)</f>
        <v>44672</v>
      </c>
      <c r="J87" s="2">
        <f ca="1">IFERROR(__xludf.DUMMYFUNCTION("""COMPUTED_VALUE"""),45036)</f>
        <v>45036</v>
      </c>
    </row>
    <row r="88" spans="1:10" x14ac:dyDescent="0.25">
      <c r="A88" s="1" t="str">
        <f ca="1">IFERROR(__xludf.DUMMYFUNCTION("""COMPUTED_VALUE"""),"MEAFC")</f>
        <v>MEAFC</v>
      </c>
      <c r="B88" s="1" t="str">
        <f ca="1">IFERROR(__xludf.DUMMYFUNCTION("""COMPUTED_VALUE"""),"Köteles Anna")</f>
        <v>Köteles Anna</v>
      </c>
      <c r="C88" s="1"/>
      <c r="D88" s="1" t="str">
        <f ca="1">IFERROR(__xludf.DUMMYFUNCTION("""COMPUTED_VALUE"""),"Nő")</f>
        <v>Nő</v>
      </c>
      <c r="E88" s="1"/>
      <c r="F88" s="1">
        <f ca="1">IFERROR(__xludf.DUMMYFUNCTION("""COMPUTED_VALUE"""),2004)</f>
        <v>2004</v>
      </c>
      <c r="G88" s="1">
        <f ca="1">IFERROR(__xludf.DUMMYFUNCTION("""COMPUTED_VALUE"""),4270)</f>
        <v>4270</v>
      </c>
      <c r="H88" s="1" t="str">
        <f ca="1">IFERROR(__xludf.DUMMYFUNCTION("""COMPUTED_VALUE"""),"MTLSZ004270A22")</f>
        <v>MTLSZ004270A22</v>
      </c>
      <c r="I88" s="2">
        <f ca="1">IFERROR(__xludf.DUMMYFUNCTION("""COMPUTED_VALUE"""),44672)</f>
        <v>44672</v>
      </c>
      <c r="J88" s="2">
        <f ca="1">IFERROR(__xludf.DUMMYFUNCTION("""COMPUTED_VALUE"""),45036)</f>
        <v>45036</v>
      </c>
    </row>
    <row r="89" spans="1:10" x14ac:dyDescent="0.25">
      <c r="A89" s="1" t="str">
        <f ca="1">IFERROR(__xludf.DUMMYFUNCTION("""COMPUTED_VALUE"""),"MEAFC")</f>
        <v>MEAFC</v>
      </c>
      <c r="B89" s="1" t="str">
        <f ca="1">IFERROR(__xludf.DUMMYFUNCTION("""COMPUTED_VALUE"""),"Szabó Hanna Borbála")</f>
        <v>Szabó Hanna Borbála</v>
      </c>
      <c r="C89" s="1"/>
      <c r="D89" s="1" t="str">
        <f ca="1">IFERROR(__xludf.DUMMYFUNCTION("""COMPUTED_VALUE"""),"Nő")</f>
        <v>Nő</v>
      </c>
      <c r="E89" s="1"/>
      <c r="F89" s="1">
        <f ca="1">IFERROR(__xludf.DUMMYFUNCTION("""COMPUTED_VALUE"""),2003)</f>
        <v>2003</v>
      </c>
      <c r="G89" s="1">
        <f ca="1">IFERROR(__xludf.DUMMYFUNCTION("""COMPUTED_VALUE"""),4809)</f>
        <v>4809</v>
      </c>
      <c r="H89" s="1" t="str">
        <f ca="1">IFERROR(__xludf.DUMMYFUNCTION("""COMPUTED_VALUE"""),"MTLSZ004809A22")</f>
        <v>MTLSZ004809A22</v>
      </c>
      <c r="I89" s="2">
        <f ca="1">IFERROR(__xludf.DUMMYFUNCTION("""COMPUTED_VALUE"""),44672)</f>
        <v>44672</v>
      </c>
      <c r="J89" s="2">
        <f ca="1">IFERROR(__xludf.DUMMYFUNCTION("""COMPUTED_VALUE"""),45036)</f>
        <v>45036</v>
      </c>
    </row>
    <row r="90" spans="1:10" x14ac:dyDescent="0.25">
      <c r="A90" s="1" t="str">
        <f ca="1">IFERROR(__xludf.DUMMYFUNCTION("""COMPUTED_VALUE"""),"MEAFC")</f>
        <v>MEAFC</v>
      </c>
      <c r="B90" s="1" t="str">
        <f ca="1">IFERROR(__xludf.DUMMYFUNCTION("""COMPUTED_VALUE"""),"Tari Tamás Milán")</f>
        <v>Tari Tamás Milán</v>
      </c>
      <c r="C90" s="1"/>
      <c r="D90" s="1" t="str">
        <f ca="1">IFERROR(__xludf.DUMMYFUNCTION("""COMPUTED_VALUE"""),"Férfi")</f>
        <v>Férfi</v>
      </c>
      <c r="E90" s="1"/>
      <c r="F90" s="1">
        <f ca="1">IFERROR(__xludf.DUMMYFUNCTION("""COMPUTED_VALUE"""),2004)</f>
        <v>2004</v>
      </c>
      <c r="G90" s="1">
        <f ca="1">IFERROR(__xludf.DUMMYFUNCTION("""COMPUTED_VALUE"""),4273)</f>
        <v>4273</v>
      </c>
      <c r="H90" s="1" t="str">
        <f ca="1">IFERROR(__xludf.DUMMYFUNCTION("""COMPUTED_VALUE"""),"MTLSZ004273A22")</f>
        <v>MTLSZ004273A22</v>
      </c>
      <c r="I90" s="2">
        <f ca="1">IFERROR(__xludf.DUMMYFUNCTION("""COMPUTED_VALUE"""),44672)</f>
        <v>44672</v>
      </c>
      <c r="J90" s="2">
        <f ca="1">IFERROR(__xludf.DUMMYFUNCTION("""COMPUTED_VALUE"""),45036)</f>
        <v>45036</v>
      </c>
    </row>
    <row r="91" spans="1:10" x14ac:dyDescent="0.25">
      <c r="A91" s="1" t="str">
        <f ca="1">IFERROR(__xludf.DUMMYFUNCTION("""COMPUTED_VALUE"""),"CET SE")</f>
        <v>CET SE</v>
      </c>
      <c r="B91" s="1" t="str">
        <f ca="1">IFERROR(__xludf.DUMMYFUNCTION("""COMPUTED_VALUE"""),"Árgyelán Alíz")</f>
        <v>Árgyelán Alíz</v>
      </c>
      <c r="C91" s="1"/>
      <c r="D91" s="1" t="str">
        <f ca="1">IFERROR(__xludf.DUMMYFUNCTION("""COMPUTED_VALUE"""),"Nő")</f>
        <v>Nő</v>
      </c>
      <c r="E91" s="1"/>
      <c r="F91" s="1">
        <f ca="1">IFERROR(__xludf.DUMMYFUNCTION("""COMPUTED_VALUE"""),2010)</f>
        <v>2010</v>
      </c>
      <c r="G91" s="1">
        <f ca="1">IFERROR(__xludf.DUMMYFUNCTION("""COMPUTED_VALUE"""),4806)</f>
        <v>4806</v>
      </c>
      <c r="H91" s="1" t="str">
        <f ca="1">IFERROR(__xludf.DUMMYFUNCTION("""COMPUTED_VALUE"""),"MTLSZ004806A22")</f>
        <v>MTLSZ004806A22</v>
      </c>
      <c r="I91" s="2">
        <f ca="1">IFERROR(__xludf.DUMMYFUNCTION("""COMPUTED_VALUE"""),44666)</f>
        <v>44666</v>
      </c>
      <c r="J91" s="2">
        <f ca="1">IFERROR(__xludf.DUMMYFUNCTION("""COMPUTED_VALUE"""),45030)</f>
        <v>45030</v>
      </c>
    </row>
    <row r="92" spans="1:10" x14ac:dyDescent="0.25">
      <c r="A92" s="1" t="str">
        <f ca="1">IFERROR(__xludf.DUMMYFUNCTION("""COMPUTED_VALUE"""),"DSK")</f>
        <v>DSK</v>
      </c>
      <c r="B92" s="1" t="str">
        <f ca="1">IFERROR(__xludf.DUMMYFUNCTION("""COMPUTED_VALUE"""),"Jeruska Bianka Panka")</f>
        <v>Jeruska Bianka Panka</v>
      </c>
      <c r="C92" s="1"/>
      <c r="D92" s="1" t="str">
        <f ca="1">IFERROR(__xludf.DUMMYFUNCTION("""COMPUTED_VALUE"""),"Nő")</f>
        <v>Nő</v>
      </c>
      <c r="E92" s="1"/>
      <c r="F92" s="1">
        <f ca="1">IFERROR(__xludf.DUMMYFUNCTION("""COMPUTED_VALUE"""),2007)</f>
        <v>2007</v>
      </c>
      <c r="G92" s="1">
        <f ca="1">IFERROR(__xludf.DUMMYFUNCTION("""COMPUTED_VALUE"""),4804)</f>
        <v>4804</v>
      </c>
      <c r="H92" s="1" t="str">
        <f ca="1">IFERROR(__xludf.DUMMYFUNCTION("""COMPUTED_VALUE"""),"MTLSZ004804A22")</f>
        <v>MTLSZ004804A22</v>
      </c>
      <c r="I92" s="2">
        <f ca="1">IFERROR(__xludf.DUMMYFUNCTION("""COMPUTED_VALUE"""),44666)</f>
        <v>44666</v>
      </c>
      <c r="J92" s="2">
        <f ca="1">IFERROR(__xludf.DUMMYFUNCTION("""COMPUTED_VALUE"""),45030)</f>
        <v>45030</v>
      </c>
    </row>
    <row r="93" spans="1:10" x14ac:dyDescent="0.25">
      <c r="A93" s="1" t="str">
        <f ca="1">IFERROR(__xludf.DUMMYFUNCTION("""COMPUTED_VALUE"""),"DSK")</f>
        <v>DSK</v>
      </c>
      <c r="B93" s="1" t="str">
        <f ca="1">IFERROR(__xludf.DUMMYFUNCTION("""COMPUTED_VALUE"""),"Kiss Virág")</f>
        <v>Kiss Virág</v>
      </c>
      <c r="C93" s="1"/>
      <c r="D93" s="1" t="str">
        <f ca="1">IFERROR(__xludf.DUMMYFUNCTION("""COMPUTED_VALUE"""),"Nő")</f>
        <v>Nő</v>
      </c>
      <c r="E93" s="1"/>
      <c r="F93" s="1">
        <f ca="1">IFERROR(__xludf.DUMMYFUNCTION("""COMPUTED_VALUE"""),2010)</f>
        <v>2010</v>
      </c>
      <c r="G93" s="1">
        <f ca="1">IFERROR(__xludf.DUMMYFUNCTION("""COMPUTED_VALUE"""),4799)</f>
        <v>4799</v>
      </c>
      <c r="H93" s="1" t="str">
        <f ca="1">IFERROR(__xludf.DUMMYFUNCTION("""COMPUTED_VALUE"""),"MTLSZ004799A22")</f>
        <v>MTLSZ004799A22</v>
      </c>
      <c r="I93" s="2">
        <f ca="1">IFERROR(__xludf.DUMMYFUNCTION("""COMPUTED_VALUE"""),44666)</f>
        <v>44666</v>
      </c>
      <c r="J93" s="2">
        <f ca="1">IFERROR(__xludf.DUMMYFUNCTION("""COMPUTED_VALUE"""),45030)</f>
        <v>45030</v>
      </c>
    </row>
    <row r="94" spans="1:10" x14ac:dyDescent="0.25">
      <c r="A94" s="1" t="str">
        <f ca="1">IFERROR(__xludf.DUMMYFUNCTION("""COMPUTED_VALUE"""),"DSK")</f>
        <v>DSK</v>
      </c>
      <c r="B94" s="1" t="str">
        <f ca="1">IFERROR(__xludf.DUMMYFUNCTION("""COMPUTED_VALUE"""),"Sedró Martin")</f>
        <v>Sedró Martin</v>
      </c>
      <c r="C94" s="1"/>
      <c r="D94" s="1" t="str">
        <f ca="1">IFERROR(__xludf.DUMMYFUNCTION("""COMPUTED_VALUE"""),"Férfi")</f>
        <v>Férfi</v>
      </c>
      <c r="E94" s="1"/>
      <c r="F94" s="1">
        <f ca="1">IFERROR(__xludf.DUMMYFUNCTION("""COMPUTED_VALUE"""),2011)</f>
        <v>2011</v>
      </c>
      <c r="G94" s="1">
        <f ca="1">IFERROR(__xludf.DUMMYFUNCTION("""COMPUTED_VALUE"""),4803)</f>
        <v>4803</v>
      </c>
      <c r="H94" s="1" t="str">
        <f ca="1">IFERROR(__xludf.DUMMYFUNCTION("""COMPUTED_VALUE"""),"MTLSZ004803A22")</f>
        <v>MTLSZ004803A22</v>
      </c>
      <c r="I94" s="2">
        <f ca="1">IFERROR(__xludf.DUMMYFUNCTION("""COMPUTED_VALUE"""),44666)</f>
        <v>44666</v>
      </c>
      <c r="J94" s="2">
        <f ca="1">IFERROR(__xludf.DUMMYFUNCTION("""COMPUTED_VALUE"""),45030)</f>
        <v>45030</v>
      </c>
    </row>
    <row r="95" spans="1:10" x14ac:dyDescent="0.25">
      <c r="A95" s="1" t="str">
        <f ca="1">IFERROR(__xludf.DUMMYFUNCTION("""COMPUTED_VALUE"""),"FBSE")</f>
        <v>FBSE</v>
      </c>
      <c r="B95" s="1" t="str">
        <f ca="1">IFERROR(__xludf.DUMMYFUNCTION("""COMPUTED_VALUE"""),"Feind Rozi")</f>
        <v>Feind Rozi</v>
      </c>
      <c r="C95" s="1"/>
      <c r="D95" s="1" t="str">
        <f ca="1">IFERROR(__xludf.DUMMYFUNCTION("""COMPUTED_VALUE"""),"Nő")</f>
        <v>Nő</v>
      </c>
      <c r="E95" s="1"/>
      <c r="F95" s="1">
        <f ca="1">IFERROR(__xludf.DUMMYFUNCTION("""COMPUTED_VALUE"""),2013)</f>
        <v>2013</v>
      </c>
      <c r="G95" s="1">
        <f ca="1">IFERROR(__xludf.DUMMYFUNCTION("""COMPUTED_VALUE"""),4815)</f>
        <v>4815</v>
      </c>
      <c r="H95" s="1" t="str">
        <f ca="1">IFERROR(__xludf.DUMMYFUNCTION("""COMPUTED_VALUE"""),"MTLSZ004815A22")</f>
        <v>MTLSZ004815A22</v>
      </c>
      <c r="I95" s="2">
        <f ca="1">IFERROR(__xludf.DUMMYFUNCTION("""COMPUTED_VALUE"""),44666)</f>
        <v>44666</v>
      </c>
      <c r="J95" s="2">
        <f ca="1">IFERROR(__xludf.DUMMYFUNCTION("""COMPUTED_VALUE"""),45030)</f>
        <v>45030</v>
      </c>
    </row>
    <row r="96" spans="1:10" x14ac:dyDescent="0.25">
      <c r="A96" s="1" t="str">
        <f ca="1">IFERROR(__xludf.DUMMYFUNCTION("""COMPUTED_VALUE"""),"Pillangó TK")</f>
        <v>Pillangó TK</v>
      </c>
      <c r="B96" s="1" t="str">
        <f ca="1">IFERROR(__xludf.DUMMYFUNCTION("""COMPUTED_VALUE"""),"Muhammad Yunas Fitra")</f>
        <v>Muhammad Yunas Fitra</v>
      </c>
      <c r="C96" s="1"/>
      <c r="D96" s="1" t="str">
        <f ca="1">IFERROR(__xludf.DUMMYFUNCTION("""COMPUTED_VALUE"""),"Férfi")</f>
        <v>Férfi</v>
      </c>
      <c r="E96" s="1"/>
      <c r="F96" s="1">
        <f ca="1">IFERROR(__xludf.DUMMYFUNCTION("""COMPUTED_VALUE"""),1995)</f>
        <v>1995</v>
      </c>
      <c r="G96" s="1">
        <f ca="1">IFERROR(__xludf.DUMMYFUNCTION("""COMPUTED_VALUE"""),4814)</f>
        <v>4814</v>
      </c>
      <c r="H96" s="1" t="str">
        <f ca="1">IFERROR(__xludf.DUMMYFUNCTION("""COMPUTED_VALUE"""),"MTLSZ004814A22")</f>
        <v>MTLSZ004814A22</v>
      </c>
      <c r="I96" s="2">
        <f ca="1">IFERROR(__xludf.DUMMYFUNCTION("""COMPUTED_VALUE"""),44666)</f>
        <v>44666</v>
      </c>
      <c r="J96" s="2">
        <f ca="1">IFERROR(__xludf.DUMMYFUNCTION("""COMPUTED_VALUE"""),45030)</f>
        <v>45030</v>
      </c>
    </row>
    <row r="97" spans="1:10" x14ac:dyDescent="0.25">
      <c r="A97" s="1" t="str">
        <f ca="1">IFERROR(__xludf.DUMMYFUNCTION("""COMPUTED_VALUE"""),"Pillangó TK")</f>
        <v>Pillangó TK</v>
      </c>
      <c r="B97" s="1" t="str">
        <f ca="1">IFERROR(__xludf.DUMMYFUNCTION("""COMPUTED_VALUE"""),"Várallai Áron")</f>
        <v>Várallai Áron</v>
      </c>
      <c r="C97" s="1"/>
      <c r="D97" s="1" t="str">
        <f ca="1">IFERROR(__xludf.DUMMYFUNCTION("""COMPUTED_VALUE"""),"Férfi")</f>
        <v>Férfi</v>
      </c>
      <c r="E97" s="1"/>
      <c r="F97" s="1">
        <f ca="1">IFERROR(__xludf.DUMMYFUNCTION("""COMPUTED_VALUE"""),2005)</f>
        <v>2005</v>
      </c>
      <c r="G97" s="1">
        <f ca="1">IFERROR(__xludf.DUMMYFUNCTION("""COMPUTED_VALUE"""),4525)</f>
        <v>4525</v>
      </c>
      <c r="H97" s="1" t="str">
        <f ca="1">IFERROR(__xludf.DUMMYFUNCTION("""COMPUTED_VALUE"""),"MTLSZ004525A22")</f>
        <v>MTLSZ004525A22</v>
      </c>
      <c r="I97" s="2">
        <f ca="1">IFERROR(__xludf.DUMMYFUNCTION("""COMPUTED_VALUE"""),44666)</f>
        <v>44666</v>
      </c>
      <c r="J97" s="2">
        <f ca="1">IFERROR(__xludf.DUMMYFUNCTION("""COMPUTED_VALUE"""),45030)</f>
        <v>45030</v>
      </c>
    </row>
    <row r="98" spans="1:10" x14ac:dyDescent="0.25">
      <c r="A98" s="1" t="str">
        <f ca="1">IFERROR(__xludf.DUMMYFUNCTION("""COMPUTED_VALUE"""),"Verőcei DE")</f>
        <v>Verőcei DE</v>
      </c>
      <c r="B98" s="1" t="str">
        <f ca="1">IFERROR(__xludf.DUMMYFUNCTION("""COMPUTED_VALUE"""),"Balogh Petra")</f>
        <v>Balogh Petra</v>
      </c>
      <c r="C98" s="1"/>
      <c r="D98" s="1" t="str">
        <f ca="1">IFERROR(__xludf.DUMMYFUNCTION("""COMPUTED_VALUE"""),"Nő")</f>
        <v>Nő</v>
      </c>
      <c r="E98" s="1"/>
      <c r="F98" s="1">
        <f ca="1">IFERROR(__xludf.DUMMYFUNCTION("""COMPUTED_VALUE"""),2005)</f>
        <v>2005</v>
      </c>
      <c r="G98" s="1">
        <f ca="1">IFERROR(__xludf.DUMMYFUNCTION("""COMPUTED_VALUE"""),4427)</f>
        <v>4427</v>
      </c>
      <c r="H98" s="1" t="str">
        <f ca="1">IFERROR(__xludf.DUMMYFUNCTION("""COMPUTED_VALUE"""),"MTLSZ004427A22")</f>
        <v>MTLSZ004427A22</v>
      </c>
      <c r="I98" s="2">
        <f ca="1">IFERROR(__xludf.DUMMYFUNCTION("""COMPUTED_VALUE"""),44666)</f>
        <v>44666</v>
      </c>
      <c r="J98" s="2">
        <f ca="1">IFERROR(__xludf.DUMMYFUNCTION("""COMPUTED_VALUE"""),45030)</f>
        <v>45030</v>
      </c>
    </row>
    <row r="99" spans="1:10" x14ac:dyDescent="0.25">
      <c r="A99" s="1" t="str">
        <f ca="1">IFERROR(__xludf.DUMMYFUNCTION("""COMPUTED_VALUE"""),"Ludovika SE")</f>
        <v>Ludovika SE</v>
      </c>
      <c r="B99" s="1" t="str">
        <f ca="1">IFERROR(__xludf.DUMMYFUNCTION("""COMPUTED_VALUE"""),"Dr. Francia Balázs")</f>
        <v>Dr. Francia Balázs</v>
      </c>
      <c r="C99" s="1"/>
      <c r="D99" s="1" t="str">
        <f ca="1">IFERROR(__xludf.DUMMYFUNCTION("""COMPUTED_VALUE"""),"Férfi")</f>
        <v>Férfi</v>
      </c>
      <c r="E99" s="1"/>
      <c r="F99" s="1">
        <f ca="1">IFERROR(__xludf.DUMMYFUNCTION("""COMPUTED_VALUE"""),1974)</f>
        <v>1974</v>
      </c>
      <c r="G99" s="1">
        <f ca="1">IFERROR(__xludf.DUMMYFUNCTION("""COMPUTED_VALUE"""),4452)</f>
        <v>4452</v>
      </c>
      <c r="H99" s="1" t="str">
        <f ca="1">IFERROR(__xludf.DUMMYFUNCTION("""COMPUTED_VALUE"""),"MTLSZ004452A22")</f>
        <v>MTLSZ004452A22</v>
      </c>
      <c r="I99" s="2">
        <f ca="1">IFERROR(__xludf.DUMMYFUNCTION("""COMPUTED_VALUE"""),44663)</f>
        <v>44663</v>
      </c>
      <c r="J99" s="2">
        <f ca="1">IFERROR(__xludf.DUMMYFUNCTION("""COMPUTED_VALUE"""),45027)</f>
        <v>45027</v>
      </c>
    </row>
    <row r="100" spans="1:10" x14ac:dyDescent="0.25">
      <c r="A100" s="1" t="str">
        <f ca="1">IFERROR(__xludf.DUMMYFUNCTION("""COMPUTED_VALUE"""),"Pillangó TK")</f>
        <v>Pillangó TK</v>
      </c>
      <c r="B100" s="1" t="str">
        <f ca="1">IFERROR(__xludf.DUMMYFUNCTION("""COMPUTED_VALUE"""),"Dán Ádám dr.")</f>
        <v>Dán Ádám dr.</v>
      </c>
      <c r="C100" s="1"/>
      <c r="D100" s="1" t="str">
        <f ca="1">IFERROR(__xludf.DUMMYFUNCTION("""COMPUTED_VALUE"""),"Férfi")</f>
        <v>Férfi</v>
      </c>
      <c r="E100" s="1"/>
      <c r="F100" s="1">
        <f ca="1">IFERROR(__xludf.DUMMYFUNCTION("""COMPUTED_VALUE"""),1967)</f>
        <v>1967</v>
      </c>
      <c r="G100" s="1">
        <f ca="1">IFERROR(__xludf.DUMMYFUNCTION("""COMPUTED_VALUE"""),172)</f>
        <v>172</v>
      </c>
      <c r="H100" s="1" t="str">
        <f ca="1">IFERROR(__xludf.DUMMYFUNCTION("""COMPUTED_VALUE"""),"MTLSZ000172A22")</f>
        <v>MTLSZ000172A22</v>
      </c>
      <c r="I100" s="2">
        <f ca="1">IFERROR(__xludf.DUMMYFUNCTION("""COMPUTED_VALUE"""),44663)</f>
        <v>44663</v>
      </c>
      <c r="J100" s="2">
        <f ca="1">IFERROR(__xludf.DUMMYFUNCTION("""COMPUTED_VALUE"""),45027)</f>
        <v>45027</v>
      </c>
    </row>
    <row r="101" spans="1:10" x14ac:dyDescent="0.25">
      <c r="A101" s="1" t="str">
        <f ca="1">IFERROR(__xludf.DUMMYFUNCTION("""COMPUTED_VALUE"""),"Pillangó TK")</f>
        <v>Pillangó TK</v>
      </c>
      <c r="B101" s="1" t="str">
        <f ca="1">IFERROR(__xludf.DUMMYFUNCTION("""COMPUTED_VALUE"""),"Utkarsh Shalikram Rawar")</f>
        <v>Utkarsh Shalikram Rawar</v>
      </c>
      <c r="C101" s="1"/>
      <c r="D101" s="1" t="str">
        <f ca="1">IFERROR(__xludf.DUMMYFUNCTION("""COMPUTED_VALUE"""),"Férfi")</f>
        <v>Férfi</v>
      </c>
      <c r="E101" s="1"/>
      <c r="F101" s="1">
        <f ca="1">IFERROR(__xludf.DUMMYFUNCTION("""COMPUTED_VALUE"""),2000)</f>
        <v>2000</v>
      </c>
      <c r="G101" s="1">
        <f ca="1">IFERROR(__xludf.DUMMYFUNCTION("""COMPUTED_VALUE"""),4813)</f>
        <v>4813</v>
      </c>
      <c r="H101" s="1" t="str">
        <f ca="1">IFERROR(__xludf.DUMMYFUNCTION("""COMPUTED_VALUE"""),"MTLSZ004813A22")</f>
        <v>MTLSZ004813A22</v>
      </c>
      <c r="I101" s="2">
        <f ca="1">IFERROR(__xludf.DUMMYFUNCTION("""COMPUTED_VALUE"""),44663)</f>
        <v>44663</v>
      </c>
      <c r="J101" s="2">
        <f ca="1">IFERROR(__xludf.DUMMYFUNCTION("""COMPUTED_VALUE"""),45027)</f>
        <v>45027</v>
      </c>
    </row>
    <row r="102" spans="1:10" x14ac:dyDescent="0.25">
      <c r="A102" s="1" t="str">
        <f ca="1">IFERROR(__xludf.DUMMYFUNCTION("""COMPUTED_VALUE"""),"Tollas Gólyák SE")</f>
        <v>Tollas Gólyák SE</v>
      </c>
      <c r="B102" s="1" t="str">
        <f ca="1">IFERROR(__xludf.DUMMYFUNCTION("""COMPUTED_VALUE"""),"Deszk Panna")</f>
        <v>Deszk Panna</v>
      </c>
      <c r="C102" s="1"/>
      <c r="D102" s="1" t="str">
        <f ca="1">IFERROR(__xludf.DUMMYFUNCTION("""COMPUTED_VALUE"""),"Nő")</f>
        <v>Nő</v>
      </c>
      <c r="E102" s="1"/>
      <c r="F102" s="1">
        <f ca="1">IFERROR(__xludf.DUMMYFUNCTION("""COMPUTED_VALUE"""),2009)</f>
        <v>2009</v>
      </c>
      <c r="G102" s="1">
        <f ca="1">IFERROR(__xludf.DUMMYFUNCTION("""COMPUTED_VALUE"""),4811)</f>
        <v>4811</v>
      </c>
      <c r="H102" s="1" t="str">
        <f ca="1">IFERROR(__xludf.DUMMYFUNCTION("""COMPUTED_VALUE"""),"MTLSZ004811A22")</f>
        <v>MTLSZ004811A22</v>
      </c>
      <c r="I102" s="2">
        <f ca="1">IFERROR(__xludf.DUMMYFUNCTION("""COMPUTED_VALUE"""),44663)</f>
        <v>44663</v>
      </c>
      <c r="J102" s="2">
        <f ca="1">IFERROR(__xludf.DUMMYFUNCTION("""COMPUTED_VALUE"""),45027)</f>
        <v>45027</v>
      </c>
    </row>
    <row r="103" spans="1:10" x14ac:dyDescent="0.25">
      <c r="A103" s="1" t="str">
        <f ca="1">IFERROR(__xludf.DUMMYFUNCTION("""COMPUTED_VALUE"""),"DSK")</f>
        <v>DSK</v>
      </c>
      <c r="B103" s="1" t="str">
        <f ca="1">IFERROR(__xludf.DUMMYFUNCTION("""COMPUTED_VALUE"""),"Gergi Dániel")</f>
        <v>Gergi Dániel</v>
      </c>
      <c r="C103" s="1"/>
      <c r="D103" s="1" t="str">
        <f ca="1">IFERROR(__xludf.DUMMYFUNCTION("""COMPUTED_VALUE"""),"Férfi")</f>
        <v>Férfi</v>
      </c>
      <c r="E103" s="1"/>
      <c r="F103" s="1">
        <f ca="1">IFERROR(__xludf.DUMMYFUNCTION("""COMPUTED_VALUE"""),2011)</f>
        <v>2011</v>
      </c>
      <c r="G103" s="1">
        <f ca="1">IFERROR(__xludf.DUMMYFUNCTION("""COMPUTED_VALUE"""),4802)</f>
        <v>4802</v>
      </c>
      <c r="H103" s="1" t="str">
        <f ca="1">IFERROR(__xludf.DUMMYFUNCTION("""COMPUTED_VALUE"""),"MTLSZ004802A22")</f>
        <v>MTLSZ004802A22</v>
      </c>
      <c r="I103" s="2">
        <f ca="1">IFERROR(__xludf.DUMMYFUNCTION("""COMPUTED_VALUE"""),44657)</f>
        <v>44657</v>
      </c>
      <c r="J103" s="2">
        <f ca="1">IFERROR(__xludf.DUMMYFUNCTION("""COMPUTED_VALUE"""),45021)</f>
        <v>45021</v>
      </c>
    </row>
    <row r="104" spans="1:10" x14ac:dyDescent="0.25">
      <c r="A104" s="1" t="str">
        <f ca="1">IFERROR(__xludf.DUMMYFUNCTION("""COMPUTED_VALUE"""),"DSK")</f>
        <v>DSK</v>
      </c>
      <c r="B104" s="1" t="str">
        <f ca="1">IFERROR(__xludf.DUMMYFUNCTION("""COMPUTED_VALUE"""),"Kalász Gergő")</f>
        <v>Kalász Gergő</v>
      </c>
      <c r="C104" s="1"/>
      <c r="D104" s="1" t="str">
        <f ca="1">IFERROR(__xludf.DUMMYFUNCTION("""COMPUTED_VALUE"""),"Férfi")</f>
        <v>Férfi</v>
      </c>
      <c r="E104" s="1"/>
      <c r="F104" s="1">
        <f ca="1">IFERROR(__xludf.DUMMYFUNCTION("""COMPUTED_VALUE"""),2011)</f>
        <v>2011</v>
      </c>
      <c r="G104" s="1">
        <f ca="1">IFERROR(__xludf.DUMMYFUNCTION("""COMPUTED_VALUE"""),4808)</f>
        <v>4808</v>
      </c>
      <c r="H104" s="1" t="str">
        <f ca="1">IFERROR(__xludf.DUMMYFUNCTION("""COMPUTED_VALUE"""),"MTLSZ004808A22")</f>
        <v>MTLSZ004808A22</v>
      </c>
      <c r="I104" s="2">
        <f ca="1">IFERROR(__xludf.DUMMYFUNCTION("""COMPUTED_VALUE"""),44657)</f>
        <v>44657</v>
      </c>
      <c r="J104" s="2">
        <f ca="1">IFERROR(__xludf.DUMMYFUNCTION("""COMPUTED_VALUE"""),45021)</f>
        <v>45021</v>
      </c>
    </row>
    <row r="105" spans="1:10" x14ac:dyDescent="0.25">
      <c r="A105" s="1" t="str">
        <f ca="1">IFERROR(__xludf.DUMMYFUNCTION("""COMPUTED_VALUE"""),"DSK")</f>
        <v>DSK</v>
      </c>
      <c r="B105" s="1" t="str">
        <f ca="1">IFERROR(__xludf.DUMMYFUNCTION("""COMPUTED_VALUE"""),"Kiss Csaba")</f>
        <v>Kiss Csaba</v>
      </c>
      <c r="C105" s="1"/>
      <c r="D105" s="1" t="str">
        <f ca="1">IFERROR(__xludf.DUMMYFUNCTION("""COMPUTED_VALUE"""),"Férfi")</f>
        <v>Férfi</v>
      </c>
      <c r="E105" s="1"/>
      <c r="F105" s="1">
        <f ca="1">IFERROR(__xludf.DUMMYFUNCTION("""COMPUTED_VALUE"""),2011)</f>
        <v>2011</v>
      </c>
      <c r="G105" s="1">
        <f ca="1">IFERROR(__xludf.DUMMYFUNCTION("""COMPUTED_VALUE"""),4807)</f>
        <v>4807</v>
      </c>
      <c r="H105" s="1" t="str">
        <f ca="1">IFERROR(__xludf.DUMMYFUNCTION("""COMPUTED_VALUE"""),"MTLSZ004807A22")</f>
        <v>MTLSZ004807A22</v>
      </c>
      <c r="I105" s="2">
        <f ca="1">IFERROR(__xludf.DUMMYFUNCTION("""COMPUTED_VALUE"""),44657)</f>
        <v>44657</v>
      </c>
      <c r="J105" s="2">
        <f ca="1">IFERROR(__xludf.DUMMYFUNCTION("""COMPUTED_VALUE"""),45021)</f>
        <v>45021</v>
      </c>
    </row>
    <row r="106" spans="1:10" x14ac:dyDescent="0.25">
      <c r="A106" s="1" t="str">
        <f ca="1">IFERROR(__xludf.DUMMYFUNCTION("""COMPUTED_VALUE"""),"DSK")</f>
        <v>DSK</v>
      </c>
      <c r="B106" s="1" t="str">
        <f ca="1">IFERROR(__xludf.DUMMYFUNCTION("""COMPUTED_VALUE"""),"Kiss Emese")</f>
        <v>Kiss Emese</v>
      </c>
      <c r="C106" s="1"/>
      <c r="D106" s="1" t="str">
        <f ca="1">IFERROR(__xludf.DUMMYFUNCTION("""COMPUTED_VALUE"""),"Nő")</f>
        <v>Nő</v>
      </c>
      <c r="E106" s="1"/>
      <c r="F106" s="1">
        <f ca="1">IFERROR(__xludf.DUMMYFUNCTION("""COMPUTED_VALUE"""),2013)</f>
        <v>2013</v>
      </c>
      <c r="G106" s="1">
        <f ca="1">IFERROR(__xludf.DUMMYFUNCTION("""COMPUTED_VALUE"""),4805)</f>
        <v>4805</v>
      </c>
      <c r="H106" s="1" t="str">
        <f ca="1">IFERROR(__xludf.DUMMYFUNCTION("""COMPUTED_VALUE"""),"MTLSZ004805A22")</f>
        <v>MTLSZ004805A22</v>
      </c>
      <c r="I106" s="2">
        <f ca="1">IFERROR(__xludf.DUMMYFUNCTION("""COMPUTED_VALUE"""),44657)</f>
        <v>44657</v>
      </c>
      <c r="J106" s="2">
        <f ca="1">IFERROR(__xludf.DUMMYFUNCTION("""COMPUTED_VALUE"""),45021)</f>
        <v>45021</v>
      </c>
    </row>
    <row r="107" spans="1:10" x14ac:dyDescent="0.25">
      <c r="A107" s="1" t="str">
        <f ca="1">IFERROR(__xludf.DUMMYFUNCTION("""COMPUTED_VALUE"""),"DSK")</f>
        <v>DSK</v>
      </c>
      <c r="B107" s="1" t="str">
        <f ca="1">IFERROR(__xludf.DUMMYFUNCTION("""COMPUTED_VALUE"""),"Sándor Petra")</f>
        <v>Sándor Petra</v>
      </c>
      <c r="C107" s="1"/>
      <c r="D107" s="1" t="str">
        <f ca="1">IFERROR(__xludf.DUMMYFUNCTION("""COMPUTED_VALUE"""),"Nő")</f>
        <v>Nő</v>
      </c>
      <c r="E107" s="1"/>
      <c r="F107" s="1">
        <f ca="1">IFERROR(__xludf.DUMMYFUNCTION("""COMPUTED_VALUE"""),2005)</f>
        <v>2005</v>
      </c>
      <c r="G107" s="1">
        <f ca="1">IFERROR(__xludf.DUMMYFUNCTION("""COMPUTED_VALUE"""),4801)</f>
        <v>4801</v>
      </c>
      <c r="H107" s="1" t="str">
        <f ca="1">IFERROR(__xludf.DUMMYFUNCTION("""COMPUTED_VALUE"""),"MTLSZ004801A22")</f>
        <v>MTLSZ004801A22</v>
      </c>
      <c r="I107" s="2">
        <f ca="1">IFERROR(__xludf.DUMMYFUNCTION("""COMPUTED_VALUE"""),44656)</f>
        <v>44656</v>
      </c>
      <c r="J107" s="2">
        <f ca="1">IFERROR(__xludf.DUMMYFUNCTION("""COMPUTED_VALUE"""),45020)</f>
        <v>45020</v>
      </c>
    </row>
    <row r="108" spans="1:10" x14ac:dyDescent="0.25">
      <c r="A108" s="1" t="str">
        <f ca="1">IFERROR(__xludf.DUMMYFUNCTION("""COMPUTED_VALUE"""),"DSK")</f>
        <v>DSK</v>
      </c>
      <c r="B108" s="1" t="str">
        <f ca="1">IFERROR(__xludf.DUMMYFUNCTION("""COMPUTED_VALUE"""),"Szebelédi Panka")</f>
        <v>Szebelédi Panka</v>
      </c>
      <c r="C108" s="1"/>
      <c r="D108" s="1" t="str">
        <f ca="1">IFERROR(__xludf.DUMMYFUNCTION("""COMPUTED_VALUE"""),"Nő")</f>
        <v>Nő</v>
      </c>
      <c r="E108" s="1"/>
      <c r="F108" s="1">
        <f ca="1">IFERROR(__xludf.DUMMYFUNCTION("""COMPUTED_VALUE"""),2011)</f>
        <v>2011</v>
      </c>
      <c r="G108" s="1">
        <f ca="1">IFERROR(__xludf.DUMMYFUNCTION("""COMPUTED_VALUE"""),4800)</f>
        <v>4800</v>
      </c>
      <c r="H108" s="1" t="str">
        <f ca="1">IFERROR(__xludf.DUMMYFUNCTION("""COMPUTED_VALUE"""),"MTLSZ004800A22")</f>
        <v>MTLSZ004800A22</v>
      </c>
      <c r="I108" s="2">
        <f ca="1">IFERROR(__xludf.DUMMYFUNCTION("""COMPUTED_VALUE"""),44656)</f>
        <v>44656</v>
      </c>
      <c r="J108" s="2">
        <f ca="1">IFERROR(__xludf.DUMMYFUNCTION("""COMPUTED_VALUE"""),45020)</f>
        <v>45020</v>
      </c>
    </row>
    <row r="109" spans="1:10" x14ac:dyDescent="0.25">
      <c r="A109" s="1" t="str">
        <f ca="1">IFERROR(__xludf.DUMMYFUNCTION("""COMPUTED_VALUE"""),"Talentum TSE")</f>
        <v>Talentum TSE</v>
      </c>
      <c r="B109" s="1" t="str">
        <f ca="1">IFERROR(__xludf.DUMMYFUNCTION("""COMPUTED_VALUE"""),"Ujházi Zsófia")</f>
        <v>Ujházi Zsófia</v>
      </c>
      <c r="C109" s="1"/>
      <c r="D109" s="1" t="str">
        <f ca="1">IFERROR(__xludf.DUMMYFUNCTION("""COMPUTED_VALUE"""),"Nő")</f>
        <v>Nő</v>
      </c>
      <c r="E109" s="1"/>
      <c r="F109" s="1">
        <f ca="1">IFERROR(__xludf.DUMMYFUNCTION("""COMPUTED_VALUE"""),2014)</f>
        <v>2014</v>
      </c>
      <c r="G109" s="1">
        <f ca="1">IFERROR(__xludf.DUMMYFUNCTION("""COMPUTED_VALUE"""),4486)</f>
        <v>4486</v>
      </c>
      <c r="H109" s="1" t="str">
        <f ca="1">IFERROR(__xludf.DUMMYFUNCTION("""COMPUTED_VALUE"""),"MTLSZ004486A22")</f>
        <v>MTLSZ004486A22</v>
      </c>
      <c r="I109" s="2">
        <f ca="1">IFERROR(__xludf.DUMMYFUNCTION("""COMPUTED_VALUE"""),44651)</f>
        <v>44651</v>
      </c>
      <c r="J109" s="2">
        <f ca="1">IFERROR(__xludf.DUMMYFUNCTION("""COMPUTED_VALUE"""),45015)</f>
        <v>45015</v>
      </c>
    </row>
    <row r="110" spans="1:10" x14ac:dyDescent="0.25">
      <c r="A110" s="1" t="str">
        <f ca="1">IFERROR(__xludf.DUMMYFUNCTION("""COMPUTED_VALUE"""),"Seregélyesi PDSE")</f>
        <v>Seregélyesi PDSE</v>
      </c>
      <c r="B110" s="1" t="str">
        <f ca="1">IFERROR(__xludf.DUMMYFUNCTION("""COMPUTED_VALUE"""),"Harsányi László")</f>
        <v>Harsányi László</v>
      </c>
      <c r="C110" s="1"/>
      <c r="D110" s="1" t="str">
        <f ca="1">IFERROR(__xludf.DUMMYFUNCTION("""COMPUTED_VALUE"""),"Férfi")</f>
        <v>Férfi</v>
      </c>
      <c r="E110" s="1"/>
      <c r="F110" s="1">
        <f ca="1">IFERROR(__xludf.DUMMYFUNCTION("""COMPUTED_VALUE"""),2012)</f>
        <v>2012</v>
      </c>
      <c r="G110" s="1">
        <f ca="1">IFERROR(__xludf.DUMMYFUNCTION("""COMPUTED_VALUE"""),4798)</f>
        <v>4798</v>
      </c>
      <c r="H110" s="1" t="str">
        <f ca="1">IFERROR(__xludf.DUMMYFUNCTION("""COMPUTED_VALUE"""),"MTLSZ004798A22")</f>
        <v>MTLSZ004798A22</v>
      </c>
      <c r="I110" s="2">
        <f ca="1">IFERROR(__xludf.DUMMYFUNCTION("""COMPUTED_VALUE"""),44645)</f>
        <v>44645</v>
      </c>
      <c r="J110" s="2">
        <f ca="1">IFERROR(__xludf.DUMMYFUNCTION("""COMPUTED_VALUE"""),45009)</f>
        <v>45009</v>
      </c>
    </row>
    <row r="111" spans="1:10" x14ac:dyDescent="0.25">
      <c r="A111" s="1" t="str">
        <f ca="1">IFERROR(__xludf.DUMMYFUNCTION("""COMPUTED_VALUE"""),"Seregélyesi PDSE")</f>
        <v>Seregélyesi PDSE</v>
      </c>
      <c r="B111" s="1" t="str">
        <f ca="1">IFERROR(__xludf.DUMMYFUNCTION("""COMPUTED_VALUE"""),"Sándor Luca")</f>
        <v>Sándor Luca</v>
      </c>
      <c r="C111" s="1"/>
      <c r="D111" s="1" t="str">
        <f ca="1">IFERROR(__xludf.DUMMYFUNCTION("""COMPUTED_VALUE"""),"Nő")</f>
        <v>Nő</v>
      </c>
      <c r="E111" s="1"/>
      <c r="F111" s="1">
        <f ca="1">IFERROR(__xludf.DUMMYFUNCTION("""COMPUTED_VALUE"""),2008)</f>
        <v>2008</v>
      </c>
      <c r="G111" s="1">
        <f ca="1">IFERROR(__xludf.DUMMYFUNCTION("""COMPUTED_VALUE"""),3021)</f>
        <v>3021</v>
      </c>
      <c r="H111" s="1" t="str">
        <f ca="1">IFERROR(__xludf.DUMMYFUNCTION("""COMPUTED_VALUE"""),"MTLSZ003021A22")</f>
        <v>MTLSZ003021A22</v>
      </c>
      <c r="I111" s="2">
        <f ca="1">IFERROR(__xludf.DUMMYFUNCTION("""COMPUTED_VALUE"""),44645)</f>
        <v>44645</v>
      </c>
      <c r="J111" s="2">
        <f ca="1">IFERROR(__xludf.DUMMYFUNCTION("""COMPUTED_VALUE"""),45009)</f>
        <v>45009</v>
      </c>
    </row>
    <row r="112" spans="1:10" x14ac:dyDescent="0.25">
      <c r="A112" s="1" t="str">
        <f ca="1">IFERROR(__xludf.DUMMYFUNCTION("""COMPUTED_VALUE"""),"SZGYE SZE")</f>
        <v>SZGYE SZE</v>
      </c>
      <c r="B112" s="1" t="str">
        <f ca="1">IFERROR(__xludf.DUMMYFUNCTION("""COMPUTED_VALUE"""),"Farkas Vince")</f>
        <v>Farkas Vince</v>
      </c>
      <c r="C112" s="1"/>
      <c r="D112" s="1" t="str">
        <f ca="1">IFERROR(__xludf.DUMMYFUNCTION("""COMPUTED_VALUE"""),"Férfi")</f>
        <v>Férfi</v>
      </c>
      <c r="E112" s="1"/>
      <c r="F112" s="1">
        <f ca="1">IFERROR(__xludf.DUMMYFUNCTION("""COMPUTED_VALUE"""),1973)</f>
        <v>1973</v>
      </c>
      <c r="G112" s="1">
        <f ca="1">IFERROR(__xludf.DUMMYFUNCTION("""COMPUTED_VALUE"""),4776)</f>
        <v>4776</v>
      </c>
      <c r="H112" s="1" t="str">
        <f ca="1">IFERROR(__xludf.DUMMYFUNCTION("""COMPUTED_VALUE"""),"MTLSZ004776A22")</f>
        <v>MTLSZ004776A22</v>
      </c>
      <c r="I112" s="2">
        <f ca="1">IFERROR(__xludf.DUMMYFUNCTION("""COMPUTED_VALUE"""),44645)</f>
        <v>44645</v>
      </c>
      <c r="J112" s="2">
        <f ca="1">IFERROR(__xludf.DUMMYFUNCTION("""COMPUTED_VALUE"""),45009)</f>
        <v>45009</v>
      </c>
    </row>
    <row r="113" spans="1:10" x14ac:dyDescent="0.25">
      <c r="A113" s="1" t="str">
        <f ca="1">IFERROR(__xludf.DUMMYFUNCTION("""COMPUTED_VALUE"""),"SZGYE SZE")</f>
        <v>SZGYE SZE</v>
      </c>
      <c r="B113" s="1" t="str">
        <f ca="1">IFERROR(__xludf.DUMMYFUNCTION("""COMPUTED_VALUE"""),"Illés Zsolt")</f>
        <v>Illés Zsolt</v>
      </c>
      <c r="C113" s="1"/>
      <c r="D113" s="1" t="str">
        <f ca="1">IFERROR(__xludf.DUMMYFUNCTION("""COMPUTED_VALUE"""),"Férfi")</f>
        <v>Férfi</v>
      </c>
      <c r="E113" s="1"/>
      <c r="F113" s="1">
        <f ca="1">IFERROR(__xludf.DUMMYFUNCTION("""COMPUTED_VALUE"""),1976)</f>
        <v>1976</v>
      </c>
      <c r="G113" s="1">
        <f ca="1">IFERROR(__xludf.DUMMYFUNCTION("""COMPUTED_VALUE"""),4775)</f>
        <v>4775</v>
      </c>
      <c r="H113" s="1" t="str">
        <f ca="1">IFERROR(__xludf.DUMMYFUNCTION("""COMPUTED_VALUE"""),"MTLSZ004775A22")</f>
        <v>MTLSZ004775A22</v>
      </c>
      <c r="I113" s="2">
        <f ca="1">IFERROR(__xludf.DUMMYFUNCTION("""COMPUTED_VALUE"""),44645)</f>
        <v>44645</v>
      </c>
      <c r="J113" s="2">
        <f ca="1">IFERROR(__xludf.DUMMYFUNCTION("""COMPUTED_VALUE"""),45009)</f>
        <v>45009</v>
      </c>
    </row>
    <row r="114" spans="1:10" x14ac:dyDescent="0.25">
      <c r="A114" s="1" t="str">
        <f ca="1">IFERROR(__xludf.DUMMYFUNCTION("""COMPUTED_VALUE"""),"Veszprémi TE")</f>
        <v>Veszprémi TE</v>
      </c>
      <c r="B114" s="1" t="str">
        <f ca="1">IFERROR(__xludf.DUMMYFUNCTION("""COMPUTED_VALUE"""),"Czirbus Zoltán")</f>
        <v>Czirbus Zoltán</v>
      </c>
      <c r="C114" s="1"/>
      <c r="D114" s="1" t="str">
        <f ca="1">IFERROR(__xludf.DUMMYFUNCTION("""COMPUTED_VALUE"""),"Férfi")</f>
        <v>Férfi</v>
      </c>
      <c r="E114" s="1"/>
      <c r="F114" s="1">
        <f ca="1">IFERROR(__xludf.DUMMYFUNCTION("""COMPUTED_VALUE"""),1971)</f>
        <v>1971</v>
      </c>
      <c r="G114" s="1">
        <f ca="1">IFERROR(__xludf.DUMMYFUNCTION("""COMPUTED_VALUE"""),1775)</f>
        <v>1775</v>
      </c>
      <c r="H114" s="1" t="str">
        <f ca="1">IFERROR(__xludf.DUMMYFUNCTION("""COMPUTED_VALUE"""),"MTLSZ001775A22")</f>
        <v>MTLSZ001775A22</v>
      </c>
      <c r="I114" s="2">
        <f ca="1">IFERROR(__xludf.DUMMYFUNCTION("""COMPUTED_VALUE"""),44642)</f>
        <v>44642</v>
      </c>
      <c r="J114" s="2">
        <f ca="1">IFERROR(__xludf.DUMMYFUNCTION("""COMPUTED_VALUE"""),45006)</f>
        <v>45006</v>
      </c>
    </row>
    <row r="115" spans="1:10" x14ac:dyDescent="0.25">
      <c r="A115" s="1" t="str">
        <f ca="1">IFERROR(__xludf.DUMMYFUNCTION("""COMPUTED_VALUE"""),"VSD")</f>
        <v>VSD</v>
      </c>
      <c r="B115" s="1" t="str">
        <f ca="1">IFERROR(__xludf.DUMMYFUNCTION("""COMPUTED_VALUE"""),"McFegan Dave")</f>
        <v>McFegan Dave</v>
      </c>
      <c r="C115" s="1"/>
      <c r="D115" s="1" t="str">
        <f ca="1">IFERROR(__xludf.DUMMYFUNCTION("""COMPUTED_VALUE"""),"Férfi")</f>
        <v>Férfi</v>
      </c>
      <c r="E115" s="1"/>
      <c r="F115" s="1">
        <f ca="1">IFERROR(__xludf.DUMMYFUNCTION("""COMPUTED_VALUE"""),1965)</f>
        <v>1965</v>
      </c>
      <c r="G115" s="1">
        <f ca="1">IFERROR(__xludf.DUMMYFUNCTION("""COMPUTED_VALUE"""),630)</f>
        <v>630</v>
      </c>
      <c r="H115" s="1" t="str">
        <f ca="1">IFERROR(__xludf.DUMMYFUNCTION("""COMPUTED_VALUE"""),"MTLSZ000630A22")</f>
        <v>MTLSZ000630A22</v>
      </c>
      <c r="I115" s="2">
        <f ca="1">IFERROR(__xludf.DUMMYFUNCTION("""COMPUTED_VALUE"""),44642)</f>
        <v>44642</v>
      </c>
      <c r="J115" s="2">
        <f ca="1">IFERROR(__xludf.DUMMYFUNCTION("""COMPUTED_VALUE"""),45006)</f>
        <v>45006</v>
      </c>
    </row>
    <row r="116" spans="1:10" x14ac:dyDescent="0.25">
      <c r="A116" s="1" t="str">
        <f ca="1">IFERROR(__xludf.DUMMYFUNCTION("""COMPUTED_VALUE"""),"DSC-SI")</f>
        <v>DSC-SI</v>
      </c>
      <c r="B116" s="1" t="str">
        <f ca="1">IFERROR(__xludf.DUMMYFUNCTION("""COMPUTED_VALUE"""),"Besenyei Nándor")</f>
        <v>Besenyei Nándor</v>
      </c>
      <c r="C116" s="1"/>
      <c r="D116" s="1" t="str">
        <f ca="1">IFERROR(__xludf.DUMMYFUNCTION("""COMPUTED_VALUE"""),"Férfi")</f>
        <v>Férfi</v>
      </c>
      <c r="E116" s="1"/>
      <c r="F116" s="1">
        <f ca="1">IFERROR(__xludf.DUMMYFUNCTION("""COMPUTED_VALUE"""),2006)</f>
        <v>2006</v>
      </c>
      <c r="G116" s="1">
        <f ca="1">IFERROR(__xludf.DUMMYFUNCTION("""COMPUTED_VALUE"""),4778)</f>
        <v>4778</v>
      </c>
      <c r="H116" s="1" t="str">
        <f ca="1">IFERROR(__xludf.DUMMYFUNCTION("""COMPUTED_VALUE"""),"MTLSZ004778A22")</f>
        <v>MTLSZ004778A22</v>
      </c>
      <c r="I116" s="2">
        <f ca="1">IFERROR(__xludf.DUMMYFUNCTION("""COMPUTED_VALUE"""),44638)</f>
        <v>44638</v>
      </c>
      <c r="J116" s="2">
        <f ca="1">IFERROR(__xludf.DUMMYFUNCTION("""COMPUTED_VALUE"""),45002)</f>
        <v>45002</v>
      </c>
    </row>
    <row r="117" spans="1:10" x14ac:dyDescent="0.25">
      <c r="A117" s="1" t="str">
        <f ca="1">IFERROR(__xludf.DUMMYFUNCTION("""COMPUTED_VALUE"""),"DSC-SI")</f>
        <v>DSC-SI</v>
      </c>
      <c r="B117" s="1" t="str">
        <f ca="1">IFERROR(__xludf.DUMMYFUNCTION("""COMPUTED_VALUE"""),"Bíró Hanna")</f>
        <v>Bíró Hanna</v>
      </c>
      <c r="C117" s="1"/>
      <c r="D117" s="1" t="str">
        <f ca="1">IFERROR(__xludf.DUMMYFUNCTION("""COMPUTED_VALUE"""),"Nő")</f>
        <v>Nő</v>
      </c>
      <c r="E117" s="1"/>
      <c r="F117" s="1">
        <f ca="1">IFERROR(__xludf.DUMMYFUNCTION("""COMPUTED_VALUE"""),2009)</f>
        <v>2009</v>
      </c>
      <c r="G117" s="1">
        <f ca="1">IFERROR(__xludf.DUMMYFUNCTION("""COMPUTED_VALUE"""),4779)</f>
        <v>4779</v>
      </c>
      <c r="H117" s="1" t="str">
        <f ca="1">IFERROR(__xludf.DUMMYFUNCTION("""COMPUTED_VALUE"""),"MTLSZ004779A22")</f>
        <v>MTLSZ004779A22</v>
      </c>
      <c r="I117" s="2">
        <f ca="1">IFERROR(__xludf.DUMMYFUNCTION("""COMPUTED_VALUE"""),44638)</f>
        <v>44638</v>
      </c>
      <c r="J117" s="2">
        <f ca="1">IFERROR(__xludf.DUMMYFUNCTION("""COMPUTED_VALUE"""),45002)</f>
        <v>45002</v>
      </c>
    </row>
    <row r="118" spans="1:10" x14ac:dyDescent="0.25">
      <c r="A118" s="1" t="str">
        <f ca="1">IFERROR(__xludf.DUMMYFUNCTION("""COMPUTED_VALUE"""),"DSC-SI")</f>
        <v>DSC-SI</v>
      </c>
      <c r="B118" s="1" t="str">
        <f ca="1">IFERROR(__xludf.DUMMYFUNCTION("""COMPUTED_VALUE"""),"Dallos-Papp Anna")</f>
        <v>Dallos-Papp Anna</v>
      </c>
      <c r="C118" s="1"/>
      <c r="D118" s="1" t="str">
        <f ca="1">IFERROR(__xludf.DUMMYFUNCTION("""COMPUTED_VALUE"""),"Nő")</f>
        <v>Nő</v>
      </c>
      <c r="E118" s="1"/>
      <c r="F118" s="1">
        <f ca="1">IFERROR(__xludf.DUMMYFUNCTION("""COMPUTED_VALUE"""),2011)</f>
        <v>2011</v>
      </c>
      <c r="G118" s="1">
        <f ca="1">IFERROR(__xludf.DUMMYFUNCTION("""COMPUTED_VALUE"""),4780)</f>
        <v>4780</v>
      </c>
      <c r="H118" s="1" t="str">
        <f ca="1">IFERROR(__xludf.DUMMYFUNCTION("""COMPUTED_VALUE"""),"MTLSZ004780A22")</f>
        <v>MTLSZ004780A22</v>
      </c>
      <c r="I118" s="2">
        <f ca="1">IFERROR(__xludf.DUMMYFUNCTION("""COMPUTED_VALUE"""),44638)</f>
        <v>44638</v>
      </c>
      <c r="J118" s="2">
        <f ca="1">IFERROR(__xludf.DUMMYFUNCTION("""COMPUTED_VALUE"""),45002)</f>
        <v>45002</v>
      </c>
    </row>
    <row r="119" spans="1:10" x14ac:dyDescent="0.25">
      <c r="A119" s="1" t="str">
        <f ca="1">IFERROR(__xludf.DUMMYFUNCTION("""COMPUTED_VALUE"""),"DSC-SI")</f>
        <v>DSC-SI</v>
      </c>
      <c r="B119" s="1" t="str">
        <f ca="1">IFERROR(__xludf.DUMMYFUNCTION("""COMPUTED_VALUE"""),"Eke Máté")</f>
        <v>Eke Máté</v>
      </c>
      <c r="C119" s="1"/>
      <c r="D119" s="1" t="str">
        <f ca="1">IFERROR(__xludf.DUMMYFUNCTION("""COMPUTED_VALUE"""),"Férfi")</f>
        <v>Férfi</v>
      </c>
      <c r="E119" s="1"/>
      <c r="F119" s="1">
        <f ca="1">IFERROR(__xludf.DUMMYFUNCTION("""COMPUTED_VALUE"""),2011)</f>
        <v>2011</v>
      </c>
      <c r="G119" s="1">
        <f ca="1">IFERROR(__xludf.DUMMYFUNCTION("""COMPUTED_VALUE"""),4781)</f>
        <v>4781</v>
      </c>
      <c r="H119" s="1" t="str">
        <f ca="1">IFERROR(__xludf.DUMMYFUNCTION("""COMPUTED_VALUE"""),"MTLSZ004781A22")</f>
        <v>MTLSZ004781A22</v>
      </c>
      <c r="I119" s="2">
        <f ca="1">IFERROR(__xludf.DUMMYFUNCTION("""COMPUTED_VALUE"""),44638)</f>
        <v>44638</v>
      </c>
      <c r="J119" s="2">
        <f ca="1">IFERROR(__xludf.DUMMYFUNCTION("""COMPUTED_VALUE"""),45002)</f>
        <v>45002</v>
      </c>
    </row>
    <row r="120" spans="1:10" x14ac:dyDescent="0.25">
      <c r="A120" s="1" t="str">
        <f ca="1">IFERROR(__xludf.DUMMYFUNCTION("""COMPUTED_VALUE"""),"DSC-SI")</f>
        <v>DSC-SI</v>
      </c>
      <c r="B120" s="1" t="str">
        <f ca="1">IFERROR(__xludf.DUMMYFUNCTION("""COMPUTED_VALUE"""),"Gutman Tibor Leó")</f>
        <v>Gutman Tibor Leó</v>
      </c>
      <c r="C120" s="1"/>
      <c r="D120" s="1" t="str">
        <f ca="1">IFERROR(__xludf.DUMMYFUNCTION("""COMPUTED_VALUE"""),"Férfi")</f>
        <v>Férfi</v>
      </c>
      <c r="E120" s="1"/>
      <c r="F120" s="1">
        <f ca="1">IFERROR(__xludf.DUMMYFUNCTION("""COMPUTED_VALUE"""),2011)</f>
        <v>2011</v>
      </c>
      <c r="G120" s="1">
        <f ca="1">IFERROR(__xludf.DUMMYFUNCTION("""COMPUTED_VALUE"""),4782)</f>
        <v>4782</v>
      </c>
      <c r="H120" s="1" t="str">
        <f ca="1">IFERROR(__xludf.DUMMYFUNCTION("""COMPUTED_VALUE"""),"MTLSZ004782A22")</f>
        <v>MTLSZ004782A22</v>
      </c>
      <c r="I120" s="2">
        <f ca="1">IFERROR(__xludf.DUMMYFUNCTION("""COMPUTED_VALUE"""),44638)</f>
        <v>44638</v>
      </c>
      <c r="J120" s="2">
        <f ca="1">IFERROR(__xludf.DUMMYFUNCTION("""COMPUTED_VALUE"""),45002)</f>
        <v>45002</v>
      </c>
    </row>
    <row r="121" spans="1:10" x14ac:dyDescent="0.25">
      <c r="A121" s="1" t="str">
        <f ca="1">IFERROR(__xludf.DUMMYFUNCTION("""COMPUTED_VALUE"""),"DSC-SI")</f>
        <v>DSC-SI</v>
      </c>
      <c r="B121" s="1" t="str">
        <f ca="1">IFERROR(__xludf.DUMMYFUNCTION("""COMPUTED_VALUE"""),"Hajdu Botond")</f>
        <v>Hajdu Botond</v>
      </c>
      <c r="C121" s="1"/>
      <c r="D121" s="1" t="str">
        <f ca="1">IFERROR(__xludf.DUMMYFUNCTION("""COMPUTED_VALUE"""),"Férfi")</f>
        <v>Férfi</v>
      </c>
      <c r="E121" s="1"/>
      <c r="F121" s="1">
        <f ca="1">IFERROR(__xludf.DUMMYFUNCTION("""COMPUTED_VALUE"""),2012)</f>
        <v>2012</v>
      </c>
      <c r="G121" s="1">
        <f ca="1">IFERROR(__xludf.DUMMYFUNCTION("""COMPUTED_VALUE"""),4783)</f>
        <v>4783</v>
      </c>
      <c r="H121" s="1" t="str">
        <f ca="1">IFERROR(__xludf.DUMMYFUNCTION("""COMPUTED_VALUE"""),"MTLSZ004783A22")</f>
        <v>MTLSZ004783A22</v>
      </c>
      <c r="I121" s="2">
        <f ca="1">IFERROR(__xludf.DUMMYFUNCTION("""COMPUTED_VALUE"""),44638)</f>
        <v>44638</v>
      </c>
      <c r="J121" s="2">
        <f ca="1">IFERROR(__xludf.DUMMYFUNCTION("""COMPUTED_VALUE"""),45002)</f>
        <v>45002</v>
      </c>
    </row>
    <row r="122" spans="1:10" x14ac:dyDescent="0.25">
      <c r="A122" s="1" t="str">
        <f ca="1">IFERROR(__xludf.DUMMYFUNCTION("""COMPUTED_VALUE"""),"DSC-SI")</f>
        <v>DSC-SI</v>
      </c>
      <c r="B122" s="1" t="str">
        <f ca="1">IFERROR(__xludf.DUMMYFUNCTION("""COMPUTED_VALUE"""),"Hajdu Zoltán")</f>
        <v>Hajdu Zoltán</v>
      </c>
      <c r="C122" s="1"/>
      <c r="D122" s="1" t="str">
        <f ca="1">IFERROR(__xludf.DUMMYFUNCTION("""COMPUTED_VALUE"""),"Férfi")</f>
        <v>Férfi</v>
      </c>
      <c r="E122" s="1"/>
      <c r="F122" s="1">
        <f ca="1">IFERROR(__xludf.DUMMYFUNCTION("""COMPUTED_VALUE"""),2009)</f>
        <v>2009</v>
      </c>
      <c r="G122" s="1">
        <f ca="1">IFERROR(__xludf.DUMMYFUNCTION("""COMPUTED_VALUE"""),4784)</f>
        <v>4784</v>
      </c>
      <c r="H122" s="1" t="str">
        <f ca="1">IFERROR(__xludf.DUMMYFUNCTION("""COMPUTED_VALUE"""),"MTLSZ004784A22")</f>
        <v>MTLSZ004784A22</v>
      </c>
      <c r="I122" s="2">
        <f ca="1">IFERROR(__xludf.DUMMYFUNCTION("""COMPUTED_VALUE"""),44638)</f>
        <v>44638</v>
      </c>
      <c r="J122" s="2">
        <f ca="1">IFERROR(__xludf.DUMMYFUNCTION("""COMPUTED_VALUE"""),45002)</f>
        <v>45002</v>
      </c>
    </row>
    <row r="123" spans="1:10" x14ac:dyDescent="0.25">
      <c r="A123" s="1" t="str">
        <f ca="1">IFERROR(__xludf.DUMMYFUNCTION("""COMPUTED_VALUE"""),"DSC-SI")</f>
        <v>DSC-SI</v>
      </c>
      <c r="B123" s="1" t="str">
        <f ca="1">IFERROR(__xludf.DUMMYFUNCTION("""COMPUTED_VALUE"""),"Iváncsits Márk")</f>
        <v>Iváncsits Márk</v>
      </c>
      <c r="C123" s="1"/>
      <c r="D123" s="1" t="str">
        <f ca="1">IFERROR(__xludf.DUMMYFUNCTION("""COMPUTED_VALUE"""),"Férfi")</f>
        <v>Férfi</v>
      </c>
      <c r="E123" s="1"/>
      <c r="F123" s="1">
        <f ca="1">IFERROR(__xludf.DUMMYFUNCTION("""COMPUTED_VALUE"""),2012)</f>
        <v>2012</v>
      </c>
      <c r="G123" s="1">
        <f ca="1">IFERROR(__xludf.DUMMYFUNCTION("""COMPUTED_VALUE"""),4785)</f>
        <v>4785</v>
      </c>
      <c r="H123" s="1" t="str">
        <f ca="1">IFERROR(__xludf.DUMMYFUNCTION("""COMPUTED_VALUE"""),"MTLSZ004785A22")</f>
        <v>MTLSZ004785A22</v>
      </c>
      <c r="I123" s="2">
        <f ca="1">IFERROR(__xludf.DUMMYFUNCTION("""COMPUTED_VALUE"""),44638)</f>
        <v>44638</v>
      </c>
      <c r="J123" s="2">
        <f ca="1">IFERROR(__xludf.DUMMYFUNCTION("""COMPUTED_VALUE"""),45002)</f>
        <v>45002</v>
      </c>
    </row>
    <row r="124" spans="1:10" x14ac:dyDescent="0.25">
      <c r="A124" s="1" t="str">
        <f ca="1">IFERROR(__xludf.DUMMYFUNCTION("""COMPUTED_VALUE"""),"DSC-SI")</f>
        <v>DSC-SI</v>
      </c>
      <c r="B124" s="1" t="str">
        <f ca="1">IFERROR(__xludf.DUMMYFUNCTION("""COMPUTED_VALUE"""),"Jóga Zalán Kristóf")</f>
        <v>Jóga Zalán Kristóf</v>
      </c>
      <c r="C124" s="1"/>
      <c r="D124" s="1" t="str">
        <f ca="1">IFERROR(__xludf.DUMMYFUNCTION("""COMPUTED_VALUE"""),"Férfi")</f>
        <v>Férfi</v>
      </c>
      <c r="E124" s="1"/>
      <c r="F124" s="1">
        <f ca="1">IFERROR(__xludf.DUMMYFUNCTION("""COMPUTED_VALUE"""),2010)</f>
        <v>2010</v>
      </c>
      <c r="G124" s="1">
        <f ca="1">IFERROR(__xludf.DUMMYFUNCTION("""COMPUTED_VALUE"""),4786)</f>
        <v>4786</v>
      </c>
      <c r="H124" s="1" t="str">
        <f ca="1">IFERROR(__xludf.DUMMYFUNCTION("""COMPUTED_VALUE"""),"MTLSZ004786A22")</f>
        <v>MTLSZ004786A22</v>
      </c>
      <c r="I124" s="2">
        <f ca="1">IFERROR(__xludf.DUMMYFUNCTION("""COMPUTED_VALUE"""),44638)</f>
        <v>44638</v>
      </c>
      <c r="J124" s="2">
        <f ca="1">IFERROR(__xludf.DUMMYFUNCTION("""COMPUTED_VALUE"""),45002)</f>
        <v>45002</v>
      </c>
    </row>
    <row r="125" spans="1:10" x14ac:dyDescent="0.25">
      <c r="A125" s="1" t="str">
        <f ca="1">IFERROR(__xludf.DUMMYFUNCTION("""COMPUTED_VALUE"""),"DSC-SI")</f>
        <v>DSC-SI</v>
      </c>
      <c r="B125" s="1" t="str">
        <f ca="1">IFERROR(__xludf.DUMMYFUNCTION("""COMPUTED_VALUE"""),"Jungvirth Jázon")</f>
        <v>Jungvirth Jázon</v>
      </c>
      <c r="C125" s="1"/>
      <c r="D125" s="1" t="str">
        <f ca="1">IFERROR(__xludf.DUMMYFUNCTION("""COMPUTED_VALUE"""),"Férfi")</f>
        <v>Férfi</v>
      </c>
      <c r="E125" s="1"/>
      <c r="F125" s="1">
        <f ca="1">IFERROR(__xludf.DUMMYFUNCTION("""COMPUTED_VALUE"""),2009)</f>
        <v>2009</v>
      </c>
      <c r="G125" s="1">
        <f ca="1">IFERROR(__xludf.DUMMYFUNCTION("""COMPUTED_VALUE"""),4787)</f>
        <v>4787</v>
      </c>
      <c r="H125" s="1" t="str">
        <f ca="1">IFERROR(__xludf.DUMMYFUNCTION("""COMPUTED_VALUE"""),"MTLSZ004787A22")</f>
        <v>MTLSZ004787A22</v>
      </c>
      <c r="I125" s="2">
        <f ca="1">IFERROR(__xludf.DUMMYFUNCTION("""COMPUTED_VALUE"""),44638)</f>
        <v>44638</v>
      </c>
      <c r="J125" s="2">
        <f ca="1">IFERROR(__xludf.DUMMYFUNCTION("""COMPUTED_VALUE"""),45002)</f>
        <v>45002</v>
      </c>
    </row>
    <row r="126" spans="1:10" x14ac:dyDescent="0.25">
      <c r="A126" s="1" t="str">
        <f ca="1">IFERROR(__xludf.DUMMYFUNCTION("""COMPUTED_VALUE"""),"DSC-SI")</f>
        <v>DSC-SI</v>
      </c>
      <c r="B126" s="1" t="str">
        <f ca="1">IFERROR(__xludf.DUMMYFUNCTION("""COMPUTED_VALUE"""),"Kenézi Dóra")</f>
        <v>Kenézi Dóra</v>
      </c>
      <c r="C126" s="1"/>
      <c r="D126" s="1" t="str">
        <f ca="1">IFERROR(__xludf.DUMMYFUNCTION("""COMPUTED_VALUE"""),"Nő")</f>
        <v>Nő</v>
      </c>
      <c r="E126" s="1"/>
      <c r="F126" s="1">
        <f ca="1">IFERROR(__xludf.DUMMYFUNCTION("""COMPUTED_VALUE"""),2011)</f>
        <v>2011</v>
      </c>
      <c r="G126" s="1">
        <f ca="1">IFERROR(__xludf.DUMMYFUNCTION("""COMPUTED_VALUE"""),4788)</f>
        <v>4788</v>
      </c>
      <c r="H126" s="1" t="str">
        <f ca="1">IFERROR(__xludf.DUMMYFUNCTION("""COMPUTED_VALUE"""),"MTLSZ004788A22")</f>
        <v>MTLSZ004788A22</v>
      </c>
      <c r="I126" s="2">
        <f ca="1">IFERROR(__xludf.DUMMYFUNCTION("""COMPUTED_VALUE"""),44638)</f>
        <v>44638</v>
      </c>
      <c r="J126" s="2">
        <f ca="1">IFERROR(__xludf.DUMMYFUNCTION("""COMPUTED_VALUE"""),45002)</f>
        <v>45002</v>
      </c>
    </row>
    <row r="127" spans="1:10" x14ac:dyDescent="0.25">
      <c r="A127" s="1" t="str">
        <f ca="1">IFERROR(__xludf.DUMMYFUNCTION("""COMPUTED_VALUE"""),"DSC-SI")</f>
        <v>DSC-SI</v>
      </c>
      <c r="B127" s="1" t="str">
        <f ca="1">IFERROR(__xludf.DUMMYFUNCTION("""COMPUTED_VALUE"""),"Kovács Ágnes Anna")</f>
        <v>Kovács Ágnes Anna</v>
      </c>
      <c r="C127" s="1"/>
      <c r="D127" s="1" t="str">
        <f ca="1">IFERROR(__xludf.DUMMYFUNCTION("""COMPUTED_VALUE"""),"Nő")</f>
        <v>Nő</v>
      </c>
      <c r="E127" s="1"/>
      <c r="F127" s="1">
        <f ca="1">IFERROR(__xludf.DUMMYFUNCTION("""COMPUTED_VALUE"""),2010)</f>
        <v>2010</v>
      </c>
      <c r="G127" s="1">
        <f ca="1">IFERROR(__xludf.DUMMYFUNCTION("""COMPUTED_VALUE"""),4789)</f>
        <v>4789</v>
      </c>
      <c r="H127" s="1" t="str">
        <f ca="1">IFERROR(__xludf.DUMMYFUNCTION("""COMPUTED_VALUE"""),"MTLSZ004789A22")</f>
        <v>MTLSZ004789A22</v>
      </c>
      <c r="I127" s="2">
        <f ca="1">IFERROR(__xludf.DUMMYFUNCTION("""COMPUTED_VALUE"""),44638)</f>
        <v>44638</v>
      </c>
      <c r="J127" s="2">
        <f ca="1">IFERROR(__xludf.DUMMYFUNCTION("""COMPUTED_VALUE"""),45002)</f>
        <v>45002</v>
      </c>
    </row>
    <row r="128" spans="1:10" x14ac:dyDescent="0.25">
      <c r="A128" s="1" t="str">
        <f ca="1">IFERROR(__xludf.DUMMYFUNCTION("""COMPUTED_VALUE"""),"DSC-SI")</f>
        <v>DSC-SI</v>
      </c>
      <c r="B128" s="1" t="str">
        <f ca="1">IFERROR(__xludf.DUMMYFUNCTION("""COMPUTED_VALUE"""),"Kovács Dóra Viktória")</f>
        <v>Kovács Dóra Viktória</v>
      </c>
      <c r="C128" s="1"/>
      <c r="D128" s="1" t="str">
        <f ca="1">IFERROR(__xludf.DUMMYFUNCTION("""COMPUTED_VALUE"""),"Nő")</f>
        <v>Nő</v>
      </c>
      <c r="E128" s="1"/>
      <c r="F128" s="1">
        <f ca="1">IFERROR(__xludf.DUMMYFUNCTION("""COMPUTED_VALUE"""),2008)</f>
        <v>2008</v>
      </c>
      <c r="G128" s="1">
        <f ca="1">IFERROR(__xludf.DUMMYFUNCTION("""COMPUTED_VALUE"""),4790)</f>
        <v>4790</v>
      </c>
      <c r="H128" s="1" t="str">
        <f ca="1">IFERROR(__xludf.DUMMYFUNCTION("""COMPUTED_VALUE"""),"MTLSZ004790A22")</f>
        <v>MTLSZ004790A22</v>
      </c>
      <c r="I128" s="2">
        <f ca="1">IFERROR(__xludf.DUMMYFUNCTION("""COMPUTED_VALUE"""),44638)</f>
        <v>44638</v>
      </c>
      <c r="J128" s="2">
        <f ca="1">IFERROR(__xludf.DUMMYFUNCTION("""COMPUTED_VALUE"""),45002)</f>
        <v>45002</v>
      </c>
    </row>
    <row r="129" spans="1:10" x14ac:dyDescent="0.25">
      <c r="A129" s="1" t="str">
        <f ca="1">IFERROR(__xludf.DUMMYFUNCTION("""COMPUTED_VALUE"""),"DSC-SI")</f>
        <v>DSC-SI</v>
      </c>
      <c r="B129" s="1" t="str">
        <f ca="1">IFERROR(__xludf.DUMMYFUNCTION("""COMPUTED_VALUE"""),"Nagy Erik")</f>
        <v>Nagy Erik</v>
      </c>
      <c r="C129" s="1"/>
      <c r="D129" s="1" t="str">
        <f ca="1">IFERROR(__xludf.DUMMYFUNCTION("""COMPUTED_VALUE"""),"Férfi")</f>
        <v>Férfi</v>
      </c>
      <c r="E129" s="1"/>
      <c r="F129" s="1">
        <f ca="1">IFERROR(__xludf.DUMMYFUNCTION("""COMPUTED_VALUE"""),2014)</f>
        <v>2014</v>
      </c>
      <c r="G129" s="1">
        <f ca="1">IFERROR(__xludf.DUMMYFUNCTION("""COMPUTED_VALUE"""),4791)</f>
        <v>4791</v>
      </c>
      <c r="H129" s="1" t="str">
        <f ca="1">IFERROR(__xludf.DUMMYFUNCTION("""COMPUTED_VALUE"""),"MTLSZ004791A22")</f>
        <v>MTLSZ004791A22</v>
      </c>
      <c r="I129" s="2">
        <f ca="1">IFERROR(__xludf.DUMMYFUNCTION("""COMPUTED_VALUE"""),44638)</f>
        <v>44638</v>
      </c>
      <c r="J129" s="2">
        <f ca="1">IFERROR(__xludf.DUMMYFUNCTION("""COMPUTED_VALUE"""),45002)</f>
        <v>45002</v>
      </c>
    </row>
    <row r="130" spans="1:10" x14ac:dyDescent="0.25">
      <c r="A130" s="1" t="str">
        <f ca="1">IFERROR(__xludf.DUMMYFUNCTION("""COMPUTED_VALUE"""),"DSC-SI")</f>
        <v>DSC-SI</v>
      </c>
      <c r="B130" s="1" t="str">
        <f ca="1">IFERROR(__xludf.DUMMYFUNCTION("""COMPUTED_VALUE"""),"Nagy Petra Erika")</f>
        <v>Nagy Petra Erika</v>
      </c>
      <c r="C130" s="1"/>
      <c r="D130" s="1" t="str">
        <f ca="1">IFERROR(__xludf.DUMMYFUNCTION("""COMPUTED_VALUE"""),"Nő")</f>
        <v>Nő</v>
      </c>
      <c r="E130" s="1"/>
      <c r="F130" s="1">
        <f ca="1">IFERROR(__xludf.DUMMYFUNCTION("""COMPUTED_VALUE"""),2009)</f>
        <v>2009</v>
      </c>
      <c r="G130" s="1">
        <f ca="1">IFERROR(__xludf.DUMMYFUNCTION("""COMPUTED_VALUE"""),4792)</f>
        <v>4792</v>
      </c>
      <c r="H130" s="1" t="str">
        <f ca="1">IFERROR(__xludf.DUMMYFUNCTION("""COMPUTED_VALUE"""),"MTLSZ004792A22")</f>
        <v>MTLSZ004792A22</v>
      </c>
      <c r="I130" s="2">
        <f ca="1">IFERROR(__xludf.DUMMYFUNCTION("""COMPUTED_VALUE"""),44638)</f>
        <v>44638</v>
      </c>
      <c r="J130" s="2">
        <f ca="1">IFERROR(__xludf.DUMMYFUNCTION("""COMPUTED_VALUE"""),45002)</f>
        <v>45002</v>
      </c>
    </row>
    <row r="131" spans="1:10" x14ac:dyDescent="0.25">
      <c r="A131" s="1" t="str">
        <f ca="1">IFERROR(__xludf.DUMMYFUNCTION("""COMPUTED_VALUE"""),"DSC-SI")</f>
        <v>DSC-SI</v>
      </c>
      <c r="B131" s="1" t="str">
        <f ca="1">IFERROR(__xludf.DUMMYFUNCTION("""COMPUTED_VALUE"""),"Nagy Simon Gergely")</f>
        <v>Nagy Simon Gergely</v>
      </c>
      <c r="C131" s="1"/>
      <c r="D131" s="1" t="str">
        <f ca="1">IFERROR(__xludf.DUMMYFUNCTION("""COMPUTED_VALUE"""),"Férfi")</f>
        <v>Férfi</v>
      </c>
      <c r="E131" s="1"/>
      <c r="F131" s="1">
        <f ca="1">IFERROR(__xludf.DUMMYFUNCTION("""COMPUTED_VALUE"""),2011)</f>
        <v>2011</v>
      </c>
      <c r="G131" s="1">
        <f ca="1">IFERROR(__xludf.DUMMYFUNCTION("""COMPUTED_VALUE"""),4793)</f>
        <v>4793</v>
      </c>
      <c r="H131" s="1" t="str">
        <f ca="1">IFERROR(__xludf.DUMMYFUNCTION("""COMPUTED_VALUE"""),"MTLSZ004793A22")</f>
        <v>MTLSZ004793A22</v>
      </c>
      <c r="I131" s="2">
        <f ca="1">IFERROR(__xludf.DUMMYFUNCTION("""COMPUTED_VALUE"""),44638)</f>
        <v>44638</v>
      </c>
      <c r="J131" s="2">
        <f ca="1">IFERROR(__xludf.DUMMYFUNCTION("""COMPUTED_VALUE"""),45002)</f>
        <v>45002</v>
      </c>
    </row>
    <row r="132" spans="1:10" x14ac:dyDescent="0.25">
      <c r="A132" s="1" t="str">
        <f ca="1">IFERROR(__xludf.DUMMYFUNCTION("""COMPUTED_VALUE"""),"DSC-SI")</f>
        <v>DSC-SI</v>
      </c>
      <c r="B132" s="1" t="str">
        <f ca="1">IFERROR(__xludf.DUMMYFUNCTION("""COMPUTED_VALUE"""),"Tóth Boglárka")</f>
        <v>Tóth Boglárka</v>
      </c>
      <c r="C132" s="1"/>
      <c r="D132" s="1" t="str">
        <f ca="1">IFERROR(__xludf.DUMMYFUNCTION("""COMPUTED_VALUE"""),"Nő")</f>
        <v>Nő</v>
      </c>
      <c r="E132" s="1"/>
      <c r="F132" s="1">
        <f ca="1">IFERROR(__xludf.DUMMYFUNCTION("""COMPUTED_VALUE"""),2007)</f>
        <v>2007</v>
      </c>
      <c r="G132" s="1">
        <f ca="1">IFERROR(__xludf.DUMMYFUNCTION("""COMPUTED_VALUE"""),4794)</f>
        <v>4794</v>
      </c>
      <c r="H132" s="1" t="str">
        <f ca="1">IFERROR(__xludf.DUMMYFUNCTION("""COMPUTED_VALUE"""),"MTLSZ004794A22")</f>
        <v>MTLSZ004794A22</v>
      </c>
      <c r="I132" s="2">
        <f ca="1">IFERROR(__xludf.DUMMYFUNCTION("""COMPUTED_VALUE"""),44638)</f>
        <v>44638</v>
      </c>
      <c r="J132" s="2">
        <f ca="1">IFERROR(__xludf.DUMMYFUNCTION("""COMPUTED_VALUE"""),45002)</f>
        <v>45002</v>
      </c>
    </row>
    <row r="133" spans="1:10" x14ac:dyDescent="0.25">
      <c r="A133" s="1" t="str">
        <f ca="1">IFERROR(__xludf.DUMMYFUNCTION("""COMPUTED_VALUE"""),"DSC-SI")</f>
        <v>DSC-SI</v>
      </c>
      <c r="B133" s="1" t="str">
        <f ca="1">IFERROR(__xludf.DUMMYFUNCTION("""COMPUTED_VALUE"""),"Vasas Jázmin")</f>
        <v>Vasas Jázmin</v>
      </c>
      <c r="C133" s="1"/>
      <c r="D133" s="1" t="str">
        <f ca="1">IFERROR(__xludf.DUMMYFUNCTION("""COMPUTED_VALUE"""),"Nő")</f>
        <v>Nő</v>
      </c>
      <c r="E133" s="1"/>
      <c r="F133" s="1">
        <f ca="1">IFERROR(__xludf.DUMMYFUNCTION("""COMPUTED_VALUE"""),2009)</f>
        <v>2009</v>
      </c>
      <c r="G133" s="1">
        <f ca="1">IFERROR(__xludf.DUMMYFUNCTION("""COMPUTED_VALUE"""),4795)</f>
        <v>4795</v>
      </c>
      <c r="H133" s="1" t="str">
        <f ca="1">IFERROR(__xludf.DUMMYFUNCTION("""COMPUTED_VALUE"""),"MTLSZ004795A22")</f>
        <v>MTLSZ004795A22</v>
      </c>
      <c r="I133" s="2">
        <f ca="1">IFERROR(__xludf.DUMMYFUNCTION("""COMPUTED_VALUE"""),44638)</f>
        <v>44638</v>
      </c>
      <c r="J133" s="2">
        <f ca="1">IFERROR(__xludf.DUMMYFUNCTION("""COMPUTED_VALUE"""),45002)</f>
        <v>45002</v>
      </c>
    </row>
    <row r="134" spans="1:10" x14ac:dyDescent="0.25">
      <c r="A134" s="1" t="str">
        <f ca="1">IFERROR(__xludf.DUMMYFUNCTION("""COMPUTED_VALUE"""),"DSC-SI")</f>
        <v>DSC-SI</v>
      </c>
      <c r="B134" s="1" t="str">
        <f ca="1">IFERROR(__xludf.DUMMYFUNCTION("""COMPUTED_VALUE"""),"Vég Dávid")</f>
        <v>Vég Dávid</v>
      </c>
      <c r="C134" s="1"/>
      <c r="D134" s="1" t="str">
        <f ca="1">IFERROR(__xludf.DUMMYFUNCTION("""COMPUTED_VALUE"""),"Férfi")</f>
        <v>Férfi</v>
      </c>
      <c r="E134" s="1"/>
      <c r="F134" s="1">
        <f ca="1">IFERROR(__xludf.DUMMYFUNCTION("""COMPUTED_VALUE"""),2012)</f>
        <v>2012</v>
      </c>
      <c r="G134" s="1">
        <f ca="1">IFERROR(__xludf.DUMMYFUNCTION("""COMPUTED_VALUE"""),4796)</f>
        <v>4796</v>
      </c>
      <c r="H134" s="1" t="str">
        <f ca="1">IFERROR(__xludf.DUMMYFUNCTION("""COMPUTED_VALUE"""),"MTLSZ004796A22")</f>
        <v>MTLSZ004796A22</v>
      </c>
      <c r="I134" s="2">
        <f ca="1">IFERROR(__xludf.DUMMYFUNCTION("""COMPUTED_VALUE"""),44638)</f>
        <v>44638</v>
      </c>
      <c r="J134" s="2">
        <f ca="1">IFERROR(__xludf.DUMMYFUNCTION("""COMPUTED_VALUE"""),45002)</f>
        <v>45002</v>
      </c>
    </row>
    <row r="135" spans="1:10" x14ac:dyDescent="0.25">
      <c r="A135" s="1" t="str">
        <f ca="1">IFERROR(__xludf.DUMMYFUNCTION("""COMPUTED_VALUE"""),"Bodajki TSE")</f>
        <v>Bodajki TSE</v>
      </c>
      <c r="B135" s="1" t="str">
        <f ca="1">IFERROR(__xludf.DUMMYFUNCTION("""COMPUTED_VALUE"""),"Mózes Áron Simon")</f>
        <v>Mózes Áron Simon</v>
      </c>
      <c r="C135" s="1"/>
      <c r="D135" s="1" t="str">
        <f ca="1">IFERROR(__xludf.DUMMYFUNCTION("""COMPUTED_VALUE"""),"Férfi")</f>
        <v>Férfi</v>
      </c>
      <c r="E135" s="1"/>
      <c r="F135" s="1">
        <f ca="1">IFERROR(__xludf.DUMMYFUNCTION("""COMPUTED_VALUE"""),2006)</f>
        <v>2006</v>
      </c>
      <c r="G135" s="1">
        <f ca="1">IFERROR(__xludf.DUMMYFUNCTION("""COMPUTED_VALUE"""),4797)</f>
        <v>4797</v>
      </c>
      <c r="H135" s="1" t="str">
        <f ca="1">IFERROR(__xludf.DUMMYFUNCTION("""COMPUTED_VALUE"""),"MTLSZ004797A22")</f>
        <v>MTLSZ004797A22</v>
      </c>
      <c r="I135" s="2">
        <f ca="1">IFERROR(__xludf.DUMMYFUNCTION("""COMPUTED_VALUE"""),44637)</f>
        <v>44637</v>
      </c>
      <c r="J135" s="2">
        <f ca="1">IFERROR(__xludf.DUMMYFUNCTION("""COMPUTED_VALUE"""),45001)</f>
        <v>45001</v>
      </c>
    </row>
    <row r="136" spans="1:10" x14ac:dyDescent="0.25">
      <c r="A136" s="1" t="str">
        <f ca="1">IFERROR(__xludf.DUMMYFUNCTION("""COMPUTED_VALUE"""),"Multi Alarm SE")</f>
        <v>Multi Alarm SE</v>
      </c>
      <c r="B136" s="1" t="str">
        <f ca="1">IFERROR(__xludf.DUMMYFUNCTION("""COMPUTED_VALUE"""),"Krausz Gergely")</f>
        <v>Krausz Gergely</v>
      </c>
      <c r="C136" s="1"/>
      <c r="D136" s="1" t="str">
        <f ca="1">IFERROR(__xludf.DUMMYFUNCTION("""COMPUTED_VALUE"""),"Férfi")</f>
        <v>Férfi</v>
      </c>
      <c r="E136" s="1"/>
      <c r="F136" s="1">
        <f ca="1">IFERROR(__xludf.DUMMYFUNCTION("""COMPUTED_VALUE"""),1993)</f>
        <v>1993</v>
      </c>
      <c r="G136" s="1">
        <f ca="1">IFERROR(__xludf.DUMMYFUNCTION("""COMPUTED_VALUE"""),1171)</f>
        <v>1171</v>
      </c>
      <c r="H136" s="1" t="str">
        <f ca="1">IFERROR(__xludf.DUMMYFUNCTION("""COMPUTED_VALUE"""),"MTLSZ001171A22")</f>
        <v>MTLSZ001171A22</v>
      </c>
      <c r="I136" s="2">
        <f ca="1">IFERROR(__xludf.DUMMYFUNCTION("""COMPUTED_VALUE"""),44637)</f>
        <v>44637</v>
      </c>
      <c r="J136" s="2">
        <f ca="1">IFERROR(__xludf.DUMMYFUNCTION("""COMPUTED_VALUE"""),45001)</f>
        <v>45001</v>
      </c>
    </row>
    <row r="137" spans="1:10" x14ac:dyDescent="0.25">
      <c r="A137" s="1" t="str">
        <f ca="1">IFERROR(__xludf.DUMMYFUNCTION("""COMPUTED_VALUE"""),"Talentum TSE")</f>
        <v>Talentum TSE</v>
      </c>
      <c r="B137" s="1" t="str">
        <f ca="1">IFERROR(__xludf.DUMMYFUNCTION("""COMPUTED_VALUE"""),"Barocsai Viola")</f>
        <v>Barocsai Viola</v>
      </c>
      <c r="C137" s="1"/>
      <c r="D137" s="1" t="str">
        <f ca="1">IFERROR(__xludf.DUMMYFUNCTION("""COMPUTED_VALUE"""),"Nő")</f>
        <v>Nő</v>
      </c>
      <c r="E137" s="1"/>
      <c r="F137" s="1">
        <f ca="1">IFERROR(__xludf.DUMMYFUNCTION("""COMPUTED_VALUE"""),2012)</f>
        <v>2012</v>
      </c>
      <c r="G137" s="1">
        <f ca="1">IFERROR(__xludf.DUMMYFUNCTION("""COMPUTED_VALUE"""),4376)</f>
        <v>4376</v>
      </c>
      <c r="H137" s="1" t="str">
        <f ca="1">IFERROR(__xludf.DUMMYFUNCTION("""COMPUTED_VALUE"""),"MTLSZ004376A22")</f>
        <v>MTLSZ004376A22</v>
      </c>
      <c r="I137" s="2">
        <f ca="1">IFERROR(__xludf.DUMMYFUNCTION("""COMPUTED_VALUE"""),44637)</f>
        <v>44637</v>
      </c>
      <c r="J137" s="2">
        <f ca="1">IFERROR(__xludf.DUMMYFUNCTION("""COMPUTED_VALUE"""),45001)</f>
        <v>45001</v>
      </c>
    </row>
    <row r="138" spans="1:10" x14ac:dyDescent="0.25">
      <c r="A138" s="1" t="str">
        <f ca="1">IFERROR(__xludf.DUMMYFUNCTION("""COMPUTED_VALUE"""),"Életmód SE")</f>
        <v>Életmód SE</v>
      </c>
      <c r="B138" s="1" t="str">
        <f ca="1">IFERROR(__xludf.DUMMYFUNCTION("""COMPUTED_VALUE"""),"Kovács Attila")</f>
        <v>Kovács Attila</v>
      </c>
      <c r="C138" s="1"/>
      <c r="D138" s="1" t="str">
        <f ca="1">IFERROR(__xludf.DUMMYFUNCTION("""COMPUTED_VALUE"""),"Férfi")</f>
        <v>Férfi</v>
      </c>
      <c r="E138" s="1"/>
      <c r="F138" s="1">
        <f ca="1">IFERROR(__xludf.DUMMYFUNCTION("""COMPUTED_VALUE"""),1978)</f>
        <v>1978</v>
      </c>
      <c r="G138" s="1">
        <f ca="1">IFERROR(__xludf.DUMMYFUNCTION("""COMPUTED_VALUE"""),3618)</f>
        <v>3618</v>
      </c>
      <c r="H138" s="1" t="str">
        <f ca="1">IFERROR(__xludf.DUMMYFUNCTION("""COMPUTED_VALUE"""),"MTLSZ003618A22")</f>
        <v>MTLSZ003618A22</v>
      </c>
      <c r="I138" s="2">
        <f ca="1">IFERROR(__xludf.DUMMYFUNCTION("""COMPUTED_VALUE"""),44630)</f>
        <v>44630</v>
      </c>
      <c r="J138" s="2">
        <f ca="1">IFERROR(__xludf.DUMMYFUNCTION("""COMPUTED_VALUE"""),44994)</f>
        <v>44994</v>
      </c>
    </row>
    <row r="139" spans="1:10" x14ac:dyDescent="0.25">
      <c r="A139" s="1" t="str">
        <f ca="1">IFERROR(__xludf.DUMMYFUNCTION("""COMPUTED_VALUE"""),"Talentum TSE")</f>
        <v>Talentum TSE</v>
      </c>
      <c r="B139" s="1" t="str">
        <f ca="1">IFERROR(__xludf.DUMMYFUNCTION("""COMPUTED_VALUE"""),"Ottucsák Luca")</f>
        <v>Ottucsák Luca</v>
      </c>
      <c r="C139" s="1"/>
      <c r="D139" s="1" t="str">
        <f ca="1">IFERROR(__xludf.DUMMYFUNCTION("""COMPUTED_VALUE"""),"Nő")</f>
        <v>Nő</v>
      </c>
      <c r="E139" s="1"/>
      <c r="F139" s="1">
        <f ca="1">IFERROR(__xludf.DUMMYFUNCTION("""COMPUTED_VALUE"""),2011)</f>
        <v>2011</v>
      </c>
      <c r="G139" s="1">
        <f ca="1">IFERROR(__xludf.DUMMYFUNCTION("""COMPUTED_VALUE"""),4777)</f>
        <v>4777</v>
      </c>
      <c r="H139" s="1" t="str">
        <f ca="1">IFERROR(__xludf.DUMMYFUNCTION("""COMPUTED_VALUE"""),"MTLSZ004777A22")</f>
        <v>MTLSZ004777A22</v>
      </c>
      <c r="I139" s="2">
        <f ca="1">IFERROR(__xludf.DUMMYFUNCTION("""COMPUTED_VALUE"""),44629)</f>
        <v>44629</v>
      </c>
      <c r="J139" s="2">
        <f ca="1">IFERROR(__xludf.DUMMYFUNCTION("""COMPUTED_VALUE"""),44993)</f>
        <v>44993</v>
      </c>
    </row>
    <row r="140" spans="1:10" x14ac:dyDescent="0.25">
      <c r="A140" s="1" t="str">
        <f ca="1">IFERROR(__xludf.DUMMYFUNCTION("""COMPUTED_VALUE"""),"Multi Alarm SE")</f>
        <v>Multi Alarm SE</v>
      </c>
      <c r="B140" s="1" t="str">
        <f ca="1">IFERROR(__xludf.DUMMYFUNCTION("""COMPUTED_VALUE"""),"Jakab Kata")</f>
        <v>Jakab Kata</v>
      </c>
      <c r="C140" s="1"/>
      <c r="D140" s="1" t="str">
        <f ca="1">IFERROR(__xludf.DUMMYFUNCTION("""COMPUTED_VALUE"""),"Nő")</f>
        <v>Nő</v>
      </c>
      <c r="E140" s="1"/>
      <c r="F140" s="1">
        <f ca="1">IFERROR(__xludf.DUMMYFUNCTION("""COMPUTED_VALUE"""),2005)</f>
        <v>2005</v>
      </c>
      <c r="G140" s="1">
        <f ca="1">IFERROR(__xludf.DUMMYFUNCTION("""COMPUTED_VALUE"""),2808)</f>
        <v>2808</v>
      </c>
      <c r="H140" s="1" t="str">
        <f ca="1">IFERROR(__xludf.DUMMYFUNCTION("""COMPUTED_VALUE"""),"MTLSZ002808A22")</f>
        <v>MTLSZ002808A22</v>
      </c>
      <c r="I140" s="2">
        <f ca="1">IFERROR(__xludf.DUMMYFUNCTION("""COMPUTED_VALUE"""),44627)</f>
        <v>44627</v>
      </c>
      <c r="J140" s="2">
        <f ca="1">IFERROR(__xludf.DUMMYFUNCTION("""COMPUTED_VALUE"""),44991)</f>
        <v>44991</v>
      </c>
    </row>
    <row r="141" spans="1:10" x14ac:dyDescent="0.25">
      <c r="A141" s="1" t="str">
        <f ca="1">IFERROR(__xludf.DUMMYFUNCTION("""COMPUTED_VALUE"""),"Multi Alarm SE")</f>
        <v>Multi Alarm SE</v>
      </c>
      <c r="B141" s="1" t="str">
        <f ca="1">IFERROR(__xludf.DUMMYFUNCTION("""COMPUTED_VALUE"""),"Pallós Péter")</f>
        <v>Pallós Péter</v>
      </c>
      <c r="C141" s="1"/>
      <c r="D141" s="1" t="str">
        <f ca="1">IFERROR(__xludf.DUMMYFUNCTION("""COMPUTED_VALUE"""),"Férfi")</f>
        <v>Férfi</v>
      </c>
      <c r="E141" s="1"/>
      <c r="F141" s="1">
        <f ca="1">IFERROR(__xludf.DUMMYFUNCTION("""COMPUTED_VALUE"""),2008)</f>
        <v>2008</v>
      </c>
      <c r="G141" s="1">
        <f ca="1">IFERROR(__xludf.DUMMYFUNCTION("""COMPUTED_VALUE"""),3240)</f>
        <v>3240</v>
      </c>
      <c r="H141" s="1" t="str">
        <f ca="1">IFERROR(__xludf.DUMMYFUNCTION("""COMPUTED_VALUE"""),"MTLSZ003240A22")</f>
        <v>MTLSZ003240A22</v>
      </c>
      <c r="I141" s="2">
        <f ca="1">IFERROR(__xludf.DUMMYFUNCTION("""COMPUTED_VALUE"""),44627)</f>
        <v>44627</v>
      </c>
      <c r="J141" s="2">
        <f ca="1">IFERROR(__xludf.DUMMYFUNCTION("""COMPUTED_VALUE"""),44991)</f>
        <v>44991</v>
      </c>
    </row>
    <row r="142" spans="1:10" x14ac:dyDescent="0.25">
      <c r="A142" s="1" t="str">
        <f ca="1">IFERROR(__xludf.DUMMYFUNCTION("""COMPUTED_VALUE"""),"Multi Alarm SE")</f>
        <v>Multi Alarm SE</v>
      </c>
      <c r="B142" s="1" t="str">
        <f ca="1">IFERROR(__xludf.DUMMYFUNCTION("""COMPUTED_VALUE"""),"Szőrfi Levente")</f>
        <v>Szőrfi Levente</v>
      </c>
      <c r="C142" s="1"/>
      <c r="D142" s="1" t="str">
        <f ca="1">IFERROR(__xludf.DUMMYFUNCTION("""COMPUTED_VALUE"""),"Férfi")</f>
        <v>Férfi</v>
      </c>
      <c r="E142" s="1"/>
      <c r="F142" s="1">
        <f ca="1">IFERROR(__xludf.DUMMYFUNCTION("""COMPUTED_VALUE"""),2009)</f>
        <v>2009</v>
      </c>
      <c r="G142" s="1">
        <f ca="1">IFERROR(__xludf.DUMMYFUNCTION("""COMPUTED_VALUE"""),3567)</f>
        <v>3567</v>
      </c>
      <c r="H142" s="1" t="str">
        <f ca="1">IFERROR(__xludf.DUMMYFUNCTION("""COMPUTED_VALUE"""),"MTLSZ003567A22")</f>
        <v>MTLSZ003567A22</v>
      </c>
      <c r="I142" s="2">
        <f ca="1">IFERROR(__xludf.DUMMYFUNCTION("""COMPUTED_VALUE"""),44627)</f>
        <v>44627</v>
      </c>
      <c r="J142" s="2">
        <f ca="1">IFERROR(__xludf.DUMMYFUNCTION("""COMPUTED_VALUE"""),44991)</f>
        <v>44991</v>
      </c>
    </row>
    <row r="143" spans="1:10" x14ac:dyDescent="0.25">
      <c r="A143" s="1" t="str">
        <f ca="1">IFERROR(__xludf.DUMMYFUNCTION("""COMPUTED_VALUE"""),"Multi Alarm SE")</f>
        <v>Multi Alarm SE</v>
      </c>
      <c r="B143" s="1" t="str">
        <f ca="1">IFERROR(__xludf.DUMMYFUNCTION("""COMPUTED_VALUE"""),"Tóth Barnabás Zalán")</f>
        <v>Tóth Barnabás Zalán</v>
      </c>
      <c r="C143" s="1"/>
      <c r="D143" s="1" t="str">
        <f ca="1">IFERROR(__xludf.DUMMYFUNCTION("""COMPUTED_VALUE"""),"Férfi")</f>
        <v>Férfi</v>
      </c>
      <c r="E143" s="1"/>
      <c r="F143" s="1">
        <f ca="1">IFERROR(__xludf.DUMMYFUNCTION("""COMPUTED_VALUE"""),2010)</f>
        <v>2010</v>
      </c>
      <c r="G143" s="1">
        <f ca="1">IFERROR(__xludf.DUMMYFUNCTION("""COMPUTED_VALUE"""),3315)</f>
        <v>3315</v>
      </c>
      <c r="H143" s="1" t="str">
        <f ca="1">IFERROR(__xludf.DUMMYFUNCTION("""COMPUTED_VALUE"""),"MTLSZ003315A22")</f>
        <v>MTLSZ003315A22</v>
      </c>
      <c r="I143" s="2">
        <f ca="1">IFERROR(__xludf.DUMMYFUNCTION("""COMPUTED_VALUE"""),44627)</f>
        <v>44627</v>
      </c>
      <c r="J143" s="2">
        <f ca="1">IFERROR(__xludf.DUMMYFUNCTION("""COMPUTED_VALUE"""),44991)</f>
        <v>44991</v>
      </c>
    </row>
    <row r="144" spans="1:10" x14ac:dyDescent="0.25">
      <c r="A144" s="1" t="str">
        <f ca="1">IFERROR(__xludf.DUMMYFUNCTION("""COMPUTED_VALUE"""),"Multi Alarm SE")</f>
        <v>Multi Alarm SE</v>
      </c>
      <c r="B144" s="1" t="str">
        <f ca="1">IFERROR(__xludf.DUMMYFUNCTION("""COMPUTED_VALUE"""),"Töttő Bálint Máté")</f>
        <v>Töttő Bálint Máté</v>
      </c>
      <c r="C144" s="1"/>
      <c r="D144" s="1" t="str">
        <f ca="1">IFERROR(__xludf.DUMMYFUNCTION("""COMPUTED_VALUE"""),"Férfi")</f>
        <v>Férfi</v>
      </c>
      <c r="E144" s="1"/>
      <c r="F144" s="1">
        <f ca="1">IFERROR(__xludf.DUMMYFUNCTION("""COMPUTED_VALUE"""),2007)</f>
        <v>2007</v>
      </c>
      <c r="G144" s="1">
        <f ca="1">IFERROR(__xludf.DUMMYFUNCTION("""COMPUTED_VALUE"""),3896)</f>
        <v>3896</v>
      </c>
      <c r="H144" s="1" t="str">
        <f ca="1">IFERROR(__xludf.DUMMYFUNCTION("""COMPUTED_VALUE"""),"MTLSZ003896A22")</f>
        <v>MTLSZ003896A22</v>
      </c>
      <c r="I144" s="2">
        <f ca="1">IFERROR(__xludf.DUMMYFUNCTION("""COMPUTED_VALUE"""),44627)</f>
        <v>44627</v>
      </c>
      <c r="J144" s="2">
        <f ca="1">IFERROR(__xludf.DUMMYFUNCTION("""COMPUTED_VALUE"""),44991)</f>
        <v>44991</v>
      </c>
    </row>
    <row r="145" spans="1:10" x14ac:dyDescent="0.25">
      <c r="A145" s="1" t="str">
        <f ca="1">IFERROR(__xludf.DUMMYFUNCTION("""COMPUTED_VALUE"""),"Talentum TSE")</f>
        <v>Talentum TSE</v>
      </c>
      <c r="B145" s="1" t="str">
        <f ca="1">IFERROR(__xludf.DUMMYFUNCTION("""COMPUTED_VALUE"""),"Németh Júlia")</f>
        <v>Németh Júlia</v>
      </c>
      <c r="C145" s="1"/>
      <c r="D145" s="1" t="str">
        <f ca="1">IFERROR(__xludf.DUMMYFUNCTION("""COMPUTED_VALUE"""),"Nő")</f>
        <v>Nő</v>
      </c>
      <c r="E145" s="1"/>
      <c r="F145" s="1">
        <f ca="1">IFERROR(__xludf.DUMMYFUNCTION("""COMPUTED_VALUE"""),2013)</f>
        <v>2013</v>
      </c>
      <c r="G145" s="1">
        <f ca="1">IFERROR(__xludf.DUMMYFUNCTION("""COMPUTED_VALUE"""),4774)</f>
        <v>4774</v>
      </c>
      <c r="H145" s="1" t="str">
        <f ca="1">IFERROR(__xludf.DUMMYFUNCTION("""COMPUTED_VALUE"""),"MTLSZ004774A22")</f>
        <v>MTLSZ004774A22</v>
      </c>
      <c r="I145" s="2">
        <f ca="1">IFERROR(__xludf.DUMMYFUNCTION("""COMPUTED_VALUE"""),44627)</f>
        <v>44627</v>
      </c>
      <c r="J145" s="2">
        <f ca="1">IFERROR(__xludf.DUMMYFUNCTION("""COMPUTED_VALUE"""),44991)</f>
        <v>44991</v>
      </c>
    </row>
    <row r="146" spans="1:10" x14ac:dyDescent="0.25">
      <c r="A146" s="1" t="str">
        <f ca="1">IFERROR(__xludf.DUMMYFUNCTION("""COMPUTED_VALUE"""),"CET SE")</f>
        <v>CET SE</v>
      </c>
      <c r="B146" s="1" t="str">
        <f ca="1">IFERROR(__xludf.DUMMYFUNCTION("""COMPUTED_VALUE"""),"Chorendzsák Nóra")</f>
        <v>Chorendzsák Nóra</v>
      </c>
      <c r="C146" s="1"/>
      <c r="D146" s="1" t="str">
        <f ca="1">IFERROR(__xludf.DUMMYFUNCTION("""COMPUTED_VALUE"""),"Nő")</f>
        <v>Nő</v>
      </c>
      <c r="E146" s="1"/>
      <c r="F146" s="1">
        <f ca="1">IFERROR(__xludf.DUMMYFUNCTION("""COMPUTED_VALUE"""),2011)</f>
        <v>2011</v>
      </c>
      <c r="G146" s="1">
        <f ca="1">IFERROR(__xludf.DUMMYFUNCTION("""COMPUTED_VALUE"""),3501)</f>
        <v>3501</v>
      </c>
      <c r="H146" s="1" t="str">
        <f ca="1">IFERROR(__xludf.DUMMYFUNCTION("""COMPUTED_VALUE"""),"MTLSZ003501A22")</f>
        <v>MTLSZ003501A22</v>
      </c>
      <c r="I146" s="2">
        <f ca="1">IFERROR(__xludf.DUMMYFUNCTION("""COMPUTED_VALUE"""),44624)</f>
        <v>44624</v>
      </c>
      <c r="J146" s="2">
        <f ca="1">IFERROR(__xludf.DUMMYFUNCTION("""COMPUTED_VALUE"""),44988)</f>
        <v>44988</v>
      </c>
    </row>
    <row r="147" spans="1:10" x14ac:dyDescent="0.25">
      <c r="A147" s="1" t="str">
        <f ca="1">IFERROR(__xludf.DUMMYFUNCTION("""COMPUTED_VALUE"""),"CET SE")</f>
        <v>CET SE</v>
      </c>
      <c r="B147" s="1" t="str">
        <f ca="1">IFERROR(__xludf.DUMMYFUNCTION("""COMPUTED_VALUE"""),"Fehér Gábor")</f>
        <v>Fehér Gábor</v>
      </c>
      <c r="C147" s="1"/>
      <c r="D147" s="1" t="str">
        <f ca="1">IFERROR(__xludf.DUMMYFUNCTION("""COMPUTED_VALUE"""),"Férfi")</f>
        <v>Férfi</v>
      </c>
      <c r="E147" s="1"/>
      <c r="F147" s="1">
        <f ca="1">IFERROR(__xludf.DUMMYFUNCTION("""COMPUTED_VALUE"""),2007)</f>
        <v>2007</v>
      </c>
      <c r="G147" s="1">
        <f ca="1">IFERROR(__xludf.DUMMYFUNCTION("""COMPUTED_VALUE"""),3276)</f>
        <v>3276</v>
      </c>
      <c r="H147" s="1" t="str">
        <f ca="1">IFERROR(__xludf.DUMMYFUNCTION("""COMPUTED_VALUE"""),"MTLSZ003276A22")</f>
        <v>MTLSZ003276A22</v>
      </c>
      <c r="I147" s="2">
        <f ca="1">IFERROR(__xludf.DUMMYFUNCTION("""COMPUTED_VALUE"""),44624)</f>
        <v>44624</v>
      </c>
      <c r="J147" s="2">
        <f ca="1">IFERROR(__xludf.DUMMYFUNCTION("""COMPUTED_VALUE"""),44988)</f>
        <v>44988</v>
      </c>
    </row>
    <row r="148" spans="1:10" x14ac:dyDescent="0.25">
      <c r="A148" s="1" t="str">
        <f ca="1">IFERROR(__xludf.DUMMYFUNCTION("""COMPUTED_VALUE"""),"CET SE")</f>
        <v>CET SE</v>
      </c>
      <c r="B148" s="1" t="str">
        <f ca="1">IFERROR(__xludf.DUMMYFUNCTION("""COMPUTED_VALUE"""),"Fehér Gergő")</f>
        <v>Fehér Gergő</v>
      </c>
      <c r="C148" s="1"/>
      <c r="D148" s="1" t="str">
        <f ca="1">IFERROR(__xludf.DUMMYFUNCTION("""COMPUTED_VALUE"""),"Férfi")</f>
        <v>Férfi</v>
      </c>
      <c r="E148" s="1"/>
      <c r="F148" s="1">
        <f ca="1">IFERROR(__xludf.DUMMYFUNCTION("""COMPUTED_VALUE"""),2006)</f>
        <v>2006</v>
      </c>
      <c r="G148" s="1">
        <f ca="1">IFERROR(__xludf.DUMMYFUNCTION("""COMPUTED_VALUE"""),3277)</f>
        <v>3277</v>
      </c>
      <c r="H148" s="1" t="str">
        <f ca="1">IFERROR(__xludf.DUMMYFUNCTION("""COMPUTED_VALUE"""),"MTLSZ003277A22")</f>
        <v>MTLSZ003277A22</v>
      </c>
      <c r="I148" s="2">
        <f ca="1">IFERROR(__xludf.DUMMYFUNCTION("""COMPUTED_VALUE"""),44624)</f>
        <v>44624</v>
      </c>
      <c r="J148" s="2">
        <f ca="1">IFERROR(__xludf.DUMMYFUNCTION("""COMPUTED_VALUE"""),44988)</f>
        <v>44988</v>
      </c>
    </row>
    <row r="149" spans="1:10" x14ac:dyDescent="0.25">
      <c r="A149" s="1" t="str">
        <f ca="1">IFERROR(__xludf.DUMMYFUNCTION("""COMPUTED_VALUE"""),"CET SE")</f>
        <v>CET SE</v>
      </c>
      <c r="B149" s="1" t="str">
        <f ca="1">IFERROR(__xludf.DUMMYFUNCTION("""COMPUTED_VALUE"""),"Horváth Zsombor")</f>
        <v>Horváth Zsombor</v>
      </c>
      <c r="C149" s="1"/>
      <c r="D149" s="1" t="str">
        <f ca="1">IFERROR(__xludf.DUMMYFUNCTION("""COMPUTED_VALUE"""),"Férfi")</f>
        <v>Férfi</v>
      </c>
      <c r="E149" s="1"/>
      <c r="F149" s="1">
        <f ca="1">IFERROR(__xludf.DUMMYFUNCTION("""COMPUTED_VALUE"""),2012)</f>
        <v>2012</v>
      </c>
      <c r="G149" s="1">
        <f ca="1">IFERROR(__xludf.DUMMYFUNCTION("""COMPUTED_VALUE"""),3609)</f>
        <v>3609</v>
      </c>
      <c r="H149" s="1" t="str">
        <f ca="1">IFERROR(__xludf.DUMMYFUNCTION("""COMPUTED_VALUE"""),"MTLSZ003609A22")</f>
        <v>MTLSZ003609A22</v>
      </c>
      <c r="I149" s="2">
        <f ca="1">IFERROR(__xludf.DUMMYFUNCTION("""COMPUTED_VALUE"""),44624)</f>
        <v>44624</v>
      </c>
      <c r="J149" s="2">
        <f ca="1">IFERROR(__xludf.DUMMYFUNCTION("""COMPUTED_VALUE"""),44988)</f>
        <v>44988</v>
      </c>
    </row>
    <row r="150" spans="1:10" x14ac:dyDescent="0.25">
      <c r="A150" s="1" t="str">
        <f ca="1">IFERROR(__xludf.DUMMYFUNCTION("""COMPUTED_VALUE"""),"CET SE")</f>
        <v>CET SE</v>
      </c>
      <c r="B150" s="1" t="str">
        <f ca="1">IFERROR(__xludf.DUMMYFUNCTION("""COMPUTED_VALUE"""),"Kozák József")</f>
        <v>Kozák József</v>
      </c>
      <c r="C150" s="1"/>
      <c r="D150" s="1" t="str">
        <f ca="1">IFERROR(__xludf.DUMMYFUNCTION("""COMPUTED_VALUE"""),"Férfi")</f>
        <v>Férfi</v>
      </c>
      <c r="E150" s="1"/>
      <c r="F150" s="1">
        <f ca="1">IFERROR(__xludf.DUMMYFUNCTION("""COMPUTED_VALUE"""),2007)</f>
        <v>2007</v>
      </c>
      <c r="G150" s="1">
        <f ca="1">IFERROR(__xludf.DUMMYFUNCTION("""COMPUTED_VALUE"""),3279)</f>
        <v>3279</v>
      </c>
      <c r="H150" s="1" t="str">
        <f ca="1">IFERROR(__xludf.DUMMYFUNCTION("""COMPUTED_VALUE"""),"MTLSZ003279A22")</f>
        <v>MTLSZ003279A22</v>
      </c>
      <c r="I150" s="2">
        <f ca="1">IFERROR(__xludf.DUMMYFUNCTION("""COMPUTED_VALUE"""),44624)</f>
        <v>44624</v>
      </c>
      <c r="J150" s="2">
        <f ca="1">IFERROR(__xludf.DUMMYFUNCTION("""COMPUTED_VALUE"""),44988)</f>
        <v>44988</v>
      </c>
    </row>
    <row r="151" spans="1:10" x14ac:dyDescent="0.25">
      <c r="A151" s="1" t="str">
        <f ca="1">IFERROR(__xludf.DUMMYFUNCTION("""COMPUTED_VALUE"""),"FBSE")</f>
        <v>FBSE</v>
      </c>
      <c r="B151" s="1" t="str">
        <f ca="1">IFERROR(__xludf.DUMMYFUNCTION("""COMPUTED_VALUE"""),"Erdős Zsombor Bendegúz")</f>
        <v>Erdős Zsombor Bendegúz</v>
      </c>
      <c r="C151" s="1"/>
      <c r="D151" s="1" t="str">
        <f ca="1">IFERROR(__xludf.DUMMYFUNCTION("""COMPUTED_VALUE"""),"Férfi")</f>
        <v>Férfi</v>
      </c>
      <c r="E151" s="1"/>
      <c r="F151" s="1">
        <f ca="1">IFERROR(__xludf.DUMMYFUNCTION("""COMPUTED_VALUE"""),2008)</f>
        <v>2008</v>
      </c>
      <c r="G151" s="1">
        <f ca="1">IFERROR(__xludf.DUMMYFUNCTION("""COMPUTED_VALUE"""),3082)</f>
        <v>3082</v>
      </c>
      <c r="H151" s="1" t="str">
        <f ca="1">IFERROR(__xludf.DUMMYFUNCTION("""COMPUTED_VALUE"""),"MTLSZ003082A22")</f>
        <v>MTLSZ003082A22</v>
      </c>
      <c r="I151" s="2">
        <f ca="1">IFERROR(__xludf.DUMMYFUNCTION("""COMPUTED_VALUE"""),44623)</f>
        <v>44623</v>
      </c>
      <c r="J151" s="2">
        <f ca="1">IFERROR(__xludf.DUMMYFUNCTION("""COMPUTED_VALUE"""),44987)</f>
        <v>44987</v>
      </c>
    </row>
    <row r="152" spans="1:10" x14ac:dyDescent="0.25">
      <c r="A152" s="1" t="str">
        <f ca="1">IFERROR(__xludf.DUMMYFUNCTION("""COMPUTED_VALUE"""),"Győri TSE")</f>
        <v>Győri TSE</v>
      </c>
      <c r="B152" s="1" t="str">
        <f ca="1">IFERROR(__xludf.DUMMYFUNCTION("""COMPUTED_VALUE"""),"Nagy Bálint")</f>
        <v>Nagy Bálint</v>
      </c>
      <c r="C152" s="1"/>
      <c r="D152" s="1" t="str">
        <f ca="1">IFERROR(__xludf.DUMMYFUNCTION("""COMPUTED_VALUE"""),"Férfi")</f>
        <v>Férfi</v>
      </c>
      <c r="E152" s="1"/>
      <c r="F152" s="1">
        <f ca="1">IFERROR(__xludf.DUMMYFUNCTION("""COMPUTED_VALUE"""),2001)</f>
        <v>2001</v>
      </c>
      <c r="G152" s="1">
        <f ca="1">IFERROR(__xludf.DUMMYFUNCTION("""COMPUTED_VALUE"""),3488)</f>
        <v>3488</v>
      </c>
      <c r="H152" s="1" t="str">
        <f ca="1">IFERROR(__xludf.DUMMYFUNCTION("""COMPUTED_VALUE"""),"MTLSZ003488A22")</f>
        <v>MTLSZ003488A22</v>
      </c>
      <c r="I152" s="2">
        <f ca="1">IFERROR(__xludf.DUMMYFUNCTION("""COMPUTED_VALUE"""),44623)</f>
        <v>44623</v>
      </c>
      <c r="J152" s="2">
        <f ca="1">IFERROR(__xludf.DUMMYFUNCTION("""COMPUTED_VALUE"""),44987)</f>
        <v>44987</v>
      </c>
    </row>
    <row r="153" spans="1:10" x14ac:dyDescent="0.25">
      <c r="A153" s="1" t="str">
        <f ca="1">IFERROR(__xludf.DUMMYFUNCTION("""COMPUTED_VALUE"""),"KörösTSE")</f>
        <v>KörösTSE</v>
      </c>
      <c r="B153" s="1" t="str">
        <f ca="1">IFERROR(__xludf.DUMMYFUNCTION("""COMPUTED_VALUE"""),"Fodré Viktória")</f>
        <v>Fodré Viktória</v>
      </c>
      <c r="C153" s="1"/>
      <c r="D153" s="1" t="str">
        <f ca="1">IFERROR(__xludf.DUMMYFUNCTION("""COMPUTED_VALUE"""),"Nő")</f>
        <v>Nő</v>
      </c>
      <c r="E153" s="1"/>
      <c r="F153" s="1">
        <f ca="1">IFERROR(__xludf.DUMMYFUNCTION("""COMPUTED_VALUE"""),1975)</f>
        <v>1975</v>
      </c>
      <c r="G153" s="1">
        <f ca="1">IFERROR(__xludf.DUMMYFUNCTION("""COMPUTED_VALUE"""),2962)</f>
        <v>2962</v>
      </c>
      <c r="H153" s="1" t="str">
        <f ca="1">IFERROR(__xludf.DUMMYFUNCTION("""COMPUTED_VALUE"""),"MTLSZ002962A22")</f>
        <v>MTLSZ002962A22</v>
      </c>
      <c r="I153" s="2">
        <f ca="1">IFERROR(__xludf.DUMMYFUNCTION("""COMPUTED_VALUE"""),44623)</f>
        <v>44623</v>
      </c>
      <c r="J153" s="2">
        <f ca="1">IFERROR(__xludf.DUMMYFUNCTION("""COMPUTED_VALUE"""),44987)</f>
        <v>44987</v>
      </c>
    </row>
    <row r="154" spans="1:10" x14ac:dyDescent="0.25">
      <c r="A154" s="1" t="str">
        <f ca="1">IFERROR(__xludf.DUMMYFUNCTION("""COMPUTED_VALUE"""),"KörösTSE")</f>
        <v>KörösTSE</v>
      </c>
      <c r="B154" s="1" t="str">
        <f ca="1">IFERROR(__xludf.DUMMYFUNCTION("""COMPUTED_VALUE"""),"Gábel Emese")</f>
        <v>Gábel Emese</v>
      </c>
      <c r="C154" s="1"/>
      <c r="D154" s="1" t="str">
        <f ca="1">IFERROR(__xludf.DUMMYFUNCTION("""COMPUTED_VALUE"""),"Nő")</f>
        <v>Nő</v>
      </c>
      <c r="E154" s="1"/>
      <c r="F154" s="1">
        <f ca="1">IFERROR(__xludf.DUMMYFUNCTION("""COMPUTED_VALUE"""),1975)</f>
        <v>1975</v>
      </c>
      <c r="G154" s="1">
        <f ca="1">IFERROR(__xludf.DUMMYFUNCTION("""COMPUTED_VALUE"""),3693)</f>
        <v>3693</v>
      </c>
      <c r="H154" s="1" t="str">
        <f ca="1">IFERROR(__xludf.DUMMYFUNCTION("""COMPUTED_VALUE"""),"MTLSZ003693A22")</f>
        <v>MTLSZ003693A22</v>
      </c>
      <c r="I154" s="2">
        <f ca="1">IFERROR(__xludf.DUMMYFUNCTION("""COMPUTED_VALUE"""),44623)</f>
        <v>44623</v>
      </c>
      <c r="J154" s="2">
        <f ca="1">IFERROR(__xludf.DUMMYFUNCTION("""COMPUTED_VALUE"""),44987)</f>
        <v>44987</v>
      </c>
    </row>
    <row r="155" spans="1:10" x14ac:dyDescent="0.25">
      <c r="A155" s="1" t="str">
        <f ca="1">IFERROR(__xludf.DUMMYFUNCTION("""COMPUTED_VALUE"""),"KörösTSE")</f>
        <v>KörösTSE</v>
      </c>
      <c r="B155" s="1" t="str">
        <f ca="1">IFERROR(__xludf.DUMMYFUNCTION("""COMPUTED_VALUE"""),"Tusják Dominik")</f>
        <v>Tusják Dominik</v>
      </c>
      <c r="C155" s="1"/>
      <c r="D155" s="1" t="str">
        <f ca="1">IFERROR(__xludf.DUMMYFUNCTION("""COMPUTED_VALUE"""),"Férfi")</f>
        <v>Férfi</v>
      </c>
      <c r="E155" s="1"/>
      <c r="F155" s="1">
        <f ca="1">IFERROR(__xludf.DUMMYFUNCTION("""COMPUTED_VALUE"""),2005)</f>
        <v>2005</v>
      </c>
      <c r="G155" s="1">
        <f ca="1">IFERROR(__xludf.DUMMYFUNCTION("""COMPUTED_VALUE"""),3960)</f>
        <v>3960</v>
      </c>
      <c r="H155" s="1" t="str">
        <f ca="1">IFERROR(__xludf.DUMMYFUNCTION("""COMPUTED_VALUE"""),"MTLSZ003960A22")</f>
        <v>MTLSZ003960A22</v>
      </c>
      <c r="I155" s="2">
        <f ca="1">IFERROR(__xludf.DUMMYFUNCTION("""COMPUTED_VALUE"""),44623)</f>
        <v>44623</v>
      </c>
      <c r="J155" s="2">
        <f ca="1">IFERROR(__xludf.DUMMYFUNCTION("""COMPUTED_VALUE"""),44987)</f>
        <v>44987</v>
      </c>
    </row>
    <row r="156" spans="1:10" x14ac:dyDescent="0.25">
      <c r="A156" s="1" t="str">
        <f ca="1">IFERROR(__xludf.DUMMYFUNCTION("""COMPUTED_VALUE"""),"Soproni TSE")</f>
        <v>Soproni TSE</v>
      </c>
      <c r="B156" s="1" t="str">
        <f ca="1">IFERROR(__xludf.DUMMYFUNCTION("""COMPUTED_VALUE"""),"Nagy Csenge Zsuzsa")</f>
        <v>Nagy Csenge Zsuzsa</v>
      </c>
      <c r="C156" s="1"/>
      <c r="D156" s="1" t="str">
        <f ca="1">IFERROR(__xludf.DUMMYFUNCTION("""COMPUTED_VALUE"""),"Nő")</f>
        <v>Nő</v>
      </c>
      <c r="E156" s="1"/>
      <c r="F156" s="1">
        <f ca="1">IFERROR(__xludf.DUMMYFUNCTION("""COMPUTED_VALUE"""),2001)</f>
        <v>2001</v>
      </c>
      <c r="G156" s="1">
        <f ca="1">IFERROR(__xludf.DUMMYFUNCTION("""COMPUTED_VALUE"""),2978)</f>
        <v>2978</v>
      </c>
      <c r="H156" s="1" t="str">
        <f ca="1">IFERROR(__xludf.DUMMYFUNCTION("""COMPUTED_VALUE"""),"MTLSZ002978A22")</f>
        <v>MTLSZ002978A22</v>
      </c>
      <c r="I156" s="2">
        <f ca="1">IFERROR(__xludf.DUMMYFUNCTION("""COMPUTED_VALUE"""),44623)</f>
        <v>44623</v>
      </c>
      <c r="J156" s="2">
        <f ca="1">IFERROR(__xludf.DUMMYFUNCTION("""COMPUTED_VALUE"""),44987)</f>
        <v>44987</v>
      </c>
    </row>
    <row r="157" spans="1:10" x14ac:dyDescent="0.25">
      <c r="A157" s="1" t="str">
        <f ca="1">IFERROR(__xludf.DUMMYFUNCTION("""COMPUTED_VALUE"""),"Talentum TSE")</f>
        <v>Talentum TSE</v>
      </c>
      <c r="B157" s="1" t="str">
        <f ca="1">IFERROR(__xludf.DUMMYFUNCTION("""COMPUTED_VALUE"""),"Baranyai Dorka")</f>
        <v>Baranyai Dorka</v>
      </c>
      <c r="C157" s="1"/>
      <c r="D157" s="1" t="str">
        <f ca="1">IFERROR(__xludf.DUMMYFUNCTION("""COMPUTED_VALUE"""),"Nő")</f>
        <v>Nő</v>
      </c>
      <c r="E157" s="1"/>
      <c r="F157" s="1">
        <f ca="1">IFERROR(__xludf.DUMMYFUNCTION("""COMPUTED_VALUE"""),2005)</f>
        <v>2005</v>
      </c>
      <c r="G157" s="1">
        <f ca="1">IFERROR(__xludf.DUMMYFUNCTION("""COMPUTED_VALUE"""),3249)</f>
        <v>3249</v>
      </c>
      <c r="H157" s="1" t="str">
        <f ca="1">IFERROR(__xludf.DUMMYFUNCTION("""COMPUTED_VALUE"""),"MTLSZ003249A22")</f>
        <v>MTLSZ003249A22</v>
      </c>
      <c r="I157" s="2">
        <f ca="1">IFERROR(__xludf.DUMMYFUNCTION("""COMPUTED_VALUE"""),44623)</f>
        <v>44623</v>
      </c>
      <c r="J157" s="2">
        <f ca="1">IFERROR(__xludf.DUMMYFUNCTION("""COMPUTED_VALUE"""),44987)</f>
        <v>44987</v>
      </c>
    </row>
    <row r="158" spans="1:10" x14ac:dyDescent="0.25">
      <c r="A158" s="1" t="str">
        <f ca="1">IFERROR(__xludf.DUMMYFUNCTION("""COMPUTED_VALUE"""),"Talentum TSE")</f>
        <v>Talentum TSE</v>
      </c>
      <c r="B158" s="1" t="str">
        <f ca="1">IFERROR(__xludf.DUMMYFUNCTION("""COMPUTED_VALUE"""),"Berezvai Csanád")</f>
        <v>Berezvai Csanád</v>
      </c>
      <c r="C158" s="1"/>
      <c r="D158" s="1" t="str">
        <f ca="1">IFERROR(__xludf.DUMMYFUNCTION("""COMPUTED_VALUE"""),"Férfi")</f>
        <v>Férfi</v>
      </c>
      <c r="E158" s="1"/>
      <c r="F158" s="1">
        <f ca="1">IFERROR(__xludf.DUMMYFUNCTION("""COMPUTED_VALUE"""),2006)</f>
        <v>2006</v>
      </c>
      <c r="G158" s="1">
        <f ca="1">IFERROR(__xludf.DUMMYFUNCTION("""COMPUTED_VALUE"""),4306)</f>
        <v>4306</v>
      </c>
      <c r="H158" s="1" t="str">
        <f ca="1">IFERROR(__xludf.DUMMYFUNCTION("""COMPUTED_VALUE"""),"MTLSZ004306A22")</f>
        <v>MTLSZ004306A22</v>
      </c>
      <c r="I158" s="2">
        <f ca="1">IFERROR(__xludf.DUMMYFUNCTION("""COMPUTED_VALUE"""),44623)</f>
        <v>44623</v>
      </c>
      <c r="J158" s="2">
        <f ca="1">IFERROR(__xludf.DUMMYFUNCTION("""COMPUTED_VALUE"""),44987)</f>
        <v>44987</v>
      </c>
    </row>
    <row r="159" spans="1:10" x14ac:dyDescent="0.25">
      <c r="A159" s="1" t="str">
        <f ca="1">IFERROR(__xludf.DUMMYFUNCTION("""COMPUTED_VALUE"""),"Talentum TSE")</f>
        <v>Talentum TSE</v>
      </c>
      <c r="B159" s="1" t="str">
        <f ca="1">IFERROR(__xludf.DUMMYFUNCTION("""COMPUTED_VALUE"""),"Gréczi Benedek Gábor")</f>
        <v>Gréczi Benedek Gábor</v>
      </c>
      <c r="C159" s="1"/>
      <c r="D159" s="1" t="str">
        <f ca="1">IFERROR(__xludf.DUMMYFUNCTION("""COMPUTED_VALUE"""),"Férfi")</f>
        <v>Férfi</v>
      </c>
      <c r="E159" s="1"/>
      <c r="F159" s="1">
        <f ca="1">IFERROR(__xludf.DUMMYFUNCTION("""COMPUTED_VALUE"""),2004)</f>
        <v>2004</v>
      </c>
      <c r="G159" s="1">
        <f ca="1">IFERROR(__xludf.DUMMYFUNCTION("""COMPUTED_VALUE"""),3484)</f>
        <v>3484</v>
      </c>
      <c r="H159" s="1" t="str">
        <f ca="1">IFERROR(__xludf.DUMMYFUNCTION("""COMPUTED_VALUE"""),"MTLSZ003484A22")</f>
        <v>MTLSZ003484A22</v>
      </c>
      <c r="I159" s="2">
        <f ca="1">IFERROR(__xludf.DUMMYFUNCTION("""COMPUTED_VALUE"""),44623)</f>
        <v>44623</v>
      </c>
      <c r="J159" s="2">
        <f ca="1">IFERROR(__xludf.DUMMYFUNCTION("""COMPUTED_VALUE"""),44987)</f>
        <v>44987</v>
      </c>
    </row>
    <row r="160" spans="1:10" x14ac:dyDescent="0.25">
      <c r="A160" s="1" t="str">
        <f ca="1">IFERROR(__xludf.DUMMYFUNCTION("""COMPUTED_VALUE"""),"BEAC")</f>
        <v>BEAC</v>
      </c>
      <c r="B160" s="1" t="str">
        <f ca="1">IFERROR(__xludf.DUMMYFUNCTION("""COMPUTED_VALUE"""),"Palotai Gergő")</f>
        <v>Palotai Gergő</v>
      </c>
      <c r="C160" s="1"/>
      <c r="D160" s="1" t="str">
        <f ca="1">IFERROR(__xludf.DUMMYFUNCTION("""COMPUTED_VALUE"""),"Férfi")</f>
        <v>Férfi</v>
      </c>
      <c r="E160" s="1"/>
      <c r="F160" s="1">
        <f ca="1">IFERROR(__xludf.DUMMYFUNCTION("""COMPUTED_VALUE"""),1991)</f>
        <v>1991</v>
      </c>
      <c r="G160" s="1">
        <f ca="1">IFERROR(__xludf.DUMMYFUNCTION("""COMPUTED_VALUE"""),3184)</f>
        <v>3184</v>
      </c>
      <c r="H160" s="1" t="str">
        <f ca="1">IFERROR(__xludf.DUMMYFUNCTION("""COMPUTED_VALUE"""),"MTLSZ003184A22")</f>
        <v>MTLSZ003184A22</v>
      </c>
      <c r="I160" s="2">
        <f ca="1">IFERROR(__xludf.DUMMYFUNCTION("""COMPUTED_VALUE"""),44622)</f>
        <v>44622</v>
      </c>
      <c r="J160" s="2">
        <f ca="1">IFERROR(__xludf.DUMMYFUNCTION("""COMPUTED_VALUE"""),44986)</f>
        <v>44986</v>
      </c>
    </row>
    <row r="161" spans="1:10" x14ac:dyDescent="0.25">
      <c r="A161" s="1" t="str">
        <f ca="1">IFERROR(__xludf.DUMMYFUNCTION("""COMPUTED_VALUE"""),"BEAC")</f>
        <v>BEAC</v>
      </c>
      <c r="B161" s="1" t="str">
        <f ca="1">IFERROR(__xludf.DUMMYFUNCTION("""COMPUTED_VALUE"""),"Szmrecsányi Zsófia")</f>
        <v>Szmrecsányi Zsófia</v>
      </c>
      <c r="C161" s="1"/>
      <c r="D161" s="1" t="str">
        <f ca="1">IFERROR(__xludf.DUMMYFUNCTION("""COMPUTED_VALUE"""),"Nő")</f>
        <v>Nő</v>
      </c>
      <c r="E161" s="1"/>
      <c r="F161" s="1">
        <f ca="1">IFERROR(__xludf.DUMMYFUNCTION("""COMPUTED_VALUE"""),1999)</f>
        <v>1999</v>
      </c>
      <c r="G161" s="1">
        <f ca="1">IFERROR(__xludf.DUMMYFUNCTION("""COMPUTED_VALUE"""),2795)</f>
        <v>2795</v>
      </c>
      <c r="H161" s="1" t="str">
        <f ca="1">IFERROR(__xludf.DUMMYFUNCTION("""COMPUTED_VALUE"""),"MTLSZ002795A22")</f>
        <v>MTLSZ002795A22</v>
      </c>
      <c r="I161" s="2">
        <f ca="1">IFERROR(__xludf.DUMMYFUNCTION("""COMPUTED_VALUE"""),44622)</f>
        <v>44622</v>
      </c>
      <c r="J161" s="2">
        <f ca="1">IFERROR(__xludf.DUMMYFUNCTION("""COMPUTED_VALUE"""),44986)</f>
        <v>44986</v>
      </c>
    </row>
    <row r="162" spans="1:10" x14ac:dyDescent="0.25">
      <c r="A162" s="1" t="str">
        <f ca="1">IFERROR(__xludf.DUMMYFUNCTION("""COMPUTED_VALUE"""),"Ludovika SE")</f>
        <v>Ludovika SE</v>
      </c>
      <c r="B162" s="1" t="str">
        <f ca="1">IFERROR(__xludf.DUMMYFUNCTION("""COMPUTED_VALUE"""),"Keszthelyi Melinda")</f>
        <v>Keszthelyi Melinda</v>
      </c>
      <c r="C162" s="1"/>
      <c r="D162" s="1" t="str">
        <f ca="1">IFERROR(__xludf.DUMMYFUNCTION("""COMPUTED_VALUE"""),"Nő")</f>
        <v>Nő</v>
      </c>
      <c r="E162" s="1"/>
      <c r="F162" s="1">
        <f ca="1">IFERROR(__xludf.DUMMYFUNCTION("""COMPUTED_VALUE"""),1975)</f>
        <v>1975</v>
      </c>
      <c r="G162" s="1">
        <f ca="1">IFERROR(__xludf.DUMMYFUNCTION("""COMPUTED_VALUE"""),463)</f>
        <v>463</v>
      </c>
      <c r="H162" s="1" t="str">
        <f ca="1">IFERROR(__xludf.DUMMYFUNCTION("""COMPUTED_VALUE"""),"MTLSZ000463A22")</f>
        <v>MTLSZ000463A22</v>
      </c>
      <c r="I162" s="2">
        <f ca="1">IFERROR(__xludf.DUMMYFUNCTION("""COMPUTED_VALUE"""),44622)</f>
        <v>44622</v>
      </c>
      <c r="J162" s="2">
        <f ca="1">IFERROR(__xludf.DUMMYFUNCTION("""COMPUTED_VALUE"""),44986)</f>
        <v>44986</v>
      </c>
    </row>
    <row r="163" spans="1:10" x14ac:dyDescent="0.25">
      <c r="A163" s="1" t="str">
        <f ca="1">IFERROR(__xludf.DUMMYFUNCTION("""COMPUTED_VALUE"""),"Újpest TSE")</f>
        <v>Újpest TSE</v>
      </c>
      <c r="B163" s="1" t="str">
        <f ca="1">IFERROR(__xludf.DUMMYFUNCTION("""COMPUTED_VALUE"""),"Pálfi Dávid")</f>
        <v>Pálfi Dávid</v>
      </c>
      <c r="C163" s="1"/>
      <c r="D163" s="1" t="str">
        <f ca="1">IFERROR(__xludf.DUMMYFUNCTION("""COMPUTED_VALUE"""),"Férfi")</f>
        <v>Férfi</v>
      </c>
      <c r="E163" s="1"/>
      <c r="F163" s="1">
        <f ca="1">IFERROR(__xludf.DUMMYFUNCTION("""COMPUTED_VALUE"""),1994)</f>
        <v>1994</v>
      </c>
      <c r="G163" s="1">
        <f ca="1">IFERROR(__xludf.DUMMYFUNCTION("""COMPUTED_VALUE"""),2170)</f>
        <v>2170</v>
      </c>
      <c r="H163" s="1" t="str">
        <f ca="1">IFERROR(__xludf.DUMMYFUNCTION("""COMPUTED_VALUE"""),"MTLSZ002170A22")</f>
        <v>MTLSZ002170A22</v>
      </c>
      <c r="I163" s="2">
        <f ca="1">IFERROR(__xludf.DUMMYFUNCTION("""COMPUTED_VALUE"""),44622)</f>
        <v>44622</v>
      </c>
      <c r="J163" s="2">
        <f ca="1">IFERROR(__xludf.DUMMYFUNCTION("""COMPUTED_VALUE"""),44986)</f>
        <v>44986</v>
      </c>
    </row>
    <row r="164" spans="1:10" x14ac:dyDescent="0.25">
      <c r="A164" s="1" t="str">
        <f ca="1">IFERROR(__xludf.DUMMYFUNCTION("""COMPUTED_VALUE"""),"Klébi DSE")</f>
        <v>Klébi DSE</v>
      </c>
      <c r="B164" s="1" t="str">
        <f ca="1">IFERROR(__xludf.DUMMYFUNCTION("""COMPUTED_VALUE"""),"Szalóky Emese")</f>
        <v>Szalóky Emese</v>
      </c>
      <c r="C164" s="1"/>
      <c r="D164" s="1" t="str">
        <f ca="1">IFERROR(__xludf.DUMMYFUNCTION("""COMPUTED_VALUE"""),"Nő")</f>
        <v>Nő</v>
      </c>
      <c r="E164" s="1"/>
      <c r="F164" s="1">
        <f ca="1">IFERROR(__xludf.DUMMYFUNCTION("""COMPUTED_VALUE"""),2001)</f>
        <v>2001</v>
      </c>
      <c r="G164" s="1">
        <f ca="1">IFERROR(__xludf.DUMMYFUNCTION("""COMPUTED_VALUE"""),2882)</f>
        <v>2882</v>
      </c>
      <c r="H164" s="1" t="str">
        <f ca="1">IFERROR(__xludf.DUMMYFUNCTION("""COMPUTED_VALUE"""),"MTLSZ002882A22")</f>
        <v>MTLSZ002882A22</v>
      </c>
      <c r="I164" s="2">
        <f ca="1">IFERROR(__xludf.DUMMYFUNCTION("""COMPUTED_VALUE"""),44620)</f>
        <v>44620</v>
      </c>
      <c r="J164" s="2">
        <f ca="1">IFERROR(__xludf.DUMMYFUNCTION("""COMPUTED_VALUE"""),44984)</f>
        <v>44984</v>
      </c>
    </row>
    <row r="165" spans="1:10" x14ac:dyDescent="0.25">
      <c r="A165" s="1" t="str">
        <f ca="1">IFERROR(__xludf.DUMMYFUNCTION("""COMPUTED_VALUE"""),"Multi Alarm SE")</f>
        <v>Multi Alarm SE</v>
      </c>
      <c r="B165" s="1" t="str">
        <f ca="1">IFERROR(__xludf.DUMMYFUNCTION("""COMPUTED_VALUE"""),"Alberti András")</f>
        <v>Alberti András</v>
      </c>
      <c r="C165" s="1"/>
      <c r="D165" s="1" t="str">
        <f ca="1">IFERROR(__xludf.DUMMYFUNCTION("""COMPUTED_VALUE"""),"Férfi")</f>
        <v>Férfi</v>
      </c>
      <c r="E165" s="1"/>
      <c r="F165" s="1">
        <f ca="1">IFERROR(__xludf.DUMMYFUNCTION("""COMPUTED_VALUE"""),2012)</f>
        <v>2012</v>
      </c>
      <c r="G165" s="1">
        <f ca="1">IFERROR(__xludf.DUMMYFUNCTION("""COMPUTED_VALUE"""),3969)</f>
        <v>3969</v>
      </c>
      <c r="H165" s="1" t="str">
        <f ca="1">IFERROR(__xludf.DUMMYFUNCTION("""COMPUTED_VALUE"""),"MTLSZ003969A22")</f>
        <v>MTLSZ003969A22</v>
      </c>
      <c r="I165" s="2">
        <f ca="1">IFERROR(__xludf.DUMMYFUNCTION("""COMPUTED_VALUE"""),44617)</f>
        <v>44617</v>
      </c>
      <c r="J165" s="2">
        <f ca="1">IFERROR(__xludf.DUMMYFUNCTION("""COMPUTED_VALUE"""),44981)</f>
        <v>44981</v>
      </c>
    </row>
    <row r="166" spans="1:10" x14ac:dyDescent="0.25">
      <c r="A166" s="1" t="str">
        <f ca="1">IFERROR(__xludf.DUMMYFUNCTION("""COMPUTED_VALUE"""),"Multi Alarm SE")</f>
        <v>Multi Alarm SE</v>
      </c>
      <c r="B166" s="1" t="str">
        <f ca="1">IFERROR(__xludf.DUMMYFUNCTION("""COMPUTED_VALUE"""),"Csányi Gergely")</f>
        <v>Csányi Gergely</v>
      </c>
      <c r="C166" s="1"/>
      <c r="D166" s="1" t="str">
        <f ca="1">IFERROR(__xludf.DUMMYFUNCTION("""COMPUTED_VALUE"""),"Férfi")</f>
        <v>Férfi</v>
      </c>
      <c r="E166" s="1"/>
      <c r="F166" s="1">
        <f ca="1">IFERROR(__xludf.DUMMYFUNCTION("""COMPUTED_VALUE"""),2010)</f>
        <v>2010</v>
      </c>
      <c r="G166" s="1">
        <f ca="1">IFERROR(__xludf.DUMMYFUNCTION("""COMPUTED_VALUE"""),3391)</f>
        <v>3391</v>
      </c>
      <c r="H166" s="1" t="str">
        <f ca="1">IFERROR(__xludf.DUMMYFUNCTION("""COMPUTED_VALUE"""),"MTLSZ003391A22")</f>
        <v>MTLSZ003391A22</v>
      </c>
      <c r="I166" s="2">
        <f ca="1">IFERROR(__xludf.DUMMYFUNCTION("""COMPUTED_VALUE"""),44617)</f>
        <v>44617</v>
      </c>
      <c r="J166" s="2">
        <f ca="1">IFERROR(__xludf.DUMMYFUNCTION("""COMPUTED_VALUE"""),44981)</f>
        <v>44981</v>
      </c>
    </row>
    <row r="167" spans="1:10" x14ac:dyDescent="0.25">
      <c r="A167" s="1" t="str">
        <f ca="1">IFERROR(__xludf.DUMMYFUNCTION("""COMPUTED_VALUE"""),"Multi Alarm SE")</f>
        <v>Multi Alarm SE</v>
      </c>
      <c r="B167" s="1" t="str">
        <f ca="1">IFERROR(__xludf.DUMMYFUNCTION("""COMPUTED_VALUE"""),"Damsa Barnabás")</f>
        <v>Damsa Barnabás</v>
      </c>
      <c r="C167" s="1"/>
      <c r="D167" s="1" t="str">
        <f ca="1">IFERROR(__xludf.DUMMYFUNCTION("""COMPUTED_VALUE"""),"Férfi")</f>
        <v>Férfi</v>
      </c>
      <c r="E167" s="1"/>
      <c r="F167" s="1">
        <f ca="1">IFERROR(__xludf.DUMMYFUNCTION("""COMPUTED_VALUE"""),2012)</f>
        <v>2012</v>
      </c>
      <c r="G167" s="1">
        <f ca="1">IFERROR(__xludf.DUMMYFUNCTION("""COMPUTED_VALUE"""),3865)</f>
        <v>3865</v>
      </c>
      <c r="H167" s="1" t="str">
        <f ca="1">IFERROR(__xludf.DUMMYFUNCTION("""COMPUTED_VALUE"""),"MTLSZ003865A22")</f>
        <v>MTLSZ003865A22</v>
      </c>
      <c r="I167" s="2">
        <f ca="1">IFERROR(__xludf.DUMMYFUNCTION("""COMPUTED_VALUE"""),44617)</f>
        <v>44617</v>
      </c>
      <c r="J167" s="2">
        <f ca="1">IFERROR(__xludf.DUMMYFUNCTION("""COMPUTED_VALUE"""),44981)</f>
        <v>44981</v>
      </c>
    </row>
    <row r="168" spans="1:10" x14ac:dyDescent="0.25">
      <c r="A168" s="1" t="str">
        <f ca="1">IFERROR(__xludf.DUMMYFUNCTION("""COMPUTED_VALUE"""),"Multi Alarm SE")</f>
        <v>Multi Alarm SE</v>
      </c>
      <c r="B168" s="1" t="str">
        <f ca="1">IFERROR(__xludf.DUMMYFUNCTION("""COMPUTED_VALUE"""),"Dorozsmai Hédi")</f>
        <v>Dorozsmai Hédi</v>
      </c>
      <c r="C168" s="1"/>
      <c r="D168" s="1" t="str">
        <f ca="1">IFERROR(__xludf.DUMMYFUNCTION("""COMPUTED_VALUE"""),"Nő")</f>
        <v>Nő</v>
      </c>
      <c r="E168" s="1"/>
      <c r="F168" s="1">
        <f ca="1">IFERROR(__xludf.DUMMYFUNCTION("""COMPUTED_VALUE"""),2008)</f>
        <v>2008</v>
      </c>
      <c r="G168" s="1">
        <f ca="1">IFERROR(__xludf.DUMMYFUNCTION("""COMPUTED_VALUE"""),2918)</f>
        <v>2918</v>
      </c>
      <c r="H168" s="1" t="str">
        <f ca="1">IFERROR(__xludf.DUMMYFUNCTION("""COMPUTED_VALUE"""),"MTLSZ002918A22")</f>
        <v>MTLSZ002918A22</v>
      </c>
      <c r="I168" s="2">
        <f ca="1">IFERROR(__xludf.DUMMYFUNCTION("""COMPUTED_VALUE"""),44617)</f>
        <v>44617</v>
      </c>
      <c r="J168" s="2">
        <f ca="1">IFERROR(__xludf.DUMMYFUNCTION("""COMPUTED_VALUE"""),44981)</f>
        <v>44981</v>
      </c>
    </row>
    <row r="169" spans="1:10" x14ac:dyDescent="0.25">
      <c r="A169" s="1" t="str">
        <f ca="1">IFERROR(__xludf.DUMMYFUNCTION("""COMPUTED_VALUE"""),"Multi Alarm SE")</f>
        <v>Multi Alarm SE</v>
      </c>
      <c r="B169" s="1" t="str">
        <f ca="1">IFERROR(__xludf.DUMMYFUNCTION("""COMPUTED_VALUE"""),"Drávai Szilveszter")</f>
        <v>Drávai Szilveszter</v>
      </c>
      <c r="C169" s="1"/>
      <c r="D169" s="1" t="str">
        <f ca="1">IFERROR(__xludf.DUMMYFUNCTION("""COMPUTED_VALUE"""),"Férfi")</f>
        <v>Férfi</v>
      </c>
      <c r="E169" s="1"/>
      <c r="F169" s="1">
        <f ca="1">IFERROR(__xludf.DUMMYFUNCTION("""COMPUTED_VALUE"""),2005)</f>
        <v>2005</v>
      </c>
      <c r="G169" s="1">
        <f ca="1">IFERROR(__xludf.DUMMYFUNCTION("""COMPUTED_VALUE"""),2920)</f>
        <v>2920</v>
      </c>
      <c r="H169" s="1" t="str">
        <f ca="1">IFERROR(__xludf.DUMMYFUNCTION("""COMPUTED_VALUE"""),"MTLSZ002920A22")</f>
        <v>MTLSZ002920A22</v>
      </c>
      <c r="I169" s="2">
        <f ca="1">IFERROR(__xludf.DUMMYFUNCTION("""COMPUTED_VALUE"""),44617)</f>
        <v>44617</v>
      </c>
      <c r="J169" s="2">
        <f ca="1">IFERROR(__xludf.DUMMYFUNCTION("""COMPUTED_VALUE"""),44981)</f>
        <v>44981</v>
      </c>
    </row>
    <row r="170" spans="1:10" x14ac:dyDescent="0.25">
      <c r="A170" s="1" t="str">
        <f ca="1">IFERROR(__xludf.DUMMYFUNCTION("""COMPUTED_VALUE"""),"Multi Alarm SE")</f>
        <v>Multi Alarm SE</v>
      </c>
      <c r="B170" s="1" t="str">
        <f ca="1">IFERROR(__xludf.DUMMYFUNCTION("""COMPUTED_VALUE"""),"Fertőszögi Gréta")</f>
        <v>Fertőszögi Gréta</v>
      </c>
      <c r="C170" s="1"/>
      <c r="D170" s="1" t="str">
        <f ca="1">IFERROR(__xludf.DUMMYFUNCTION("""COMPUTED_VALUE"""),"Nő")</f>
        <v>Nő</v>
      </c>
      <c r="E170" s="1"/>
      <c r="F170" s="1">
        <f ca="1">IFERROR(__xludf.DUMMYFUNCTION("""COMPUTED_VALUE"""),2010)</f>
        <v>2010</v>
      </c>
      <c r="G170" s="1">
        <f ca="1">IFERROR(__xludf.DUMMYFUNCTION("""COMPUTED_VALUE"""),4361)</f>
        <v>4361</v>
      </c>
      <c r="H170" s="1" t="str">
        <f ca="1">IFERROR(__xludf.DUMMYFUNCTION("""COMPUTED_VALUE"""),"MTLSZ004361A22")</f>
        <v>MTLSZ004361A22</v>
      </c>
      <c r="I170" s="2">
        <f ca="1">IFERROR(__xludf.DUMMYFUNCTION("""COMPUTED_VALUE"""),44617)</f>
        <v>44617</v>
      </c>
      <c r="J170" s="2">
        <f ca="1">IFERROR(__xludf.DUMMYFUNCTION("""COMPUTED_VALUE"""),44981)</f>
        <v>44981</v>
      </c>
    </row>
    <row r="171" spans="1:10" x14ac:dyDescent="0.25">
      <c r="A171" s="1" t="str">
        <f ca="1">IFERROR(__xludf.DUMMYFUNCTION("""COMPUTED_VALUE"""),"Multi Alarm SE")</f>
        <v>Multi Alarm SE</v>
      </c>
      <c r="B171" s="1" t="str">
        <f ca="1">IFERROR(__xludf.DUMMYFUNCTION("""COMPUTED_VALUE"""),"Fertőszögi Levente")</f>
        <v>Fertőszögi Levente</v>
      </c>
      <c r="C171" s="1"/>
      <c r="D171" s="1" t="str">
        <f ca="1">IFERROR(__xludf.DUMMYFUNCTION("""COMPUTED_VALUE"""),"Férfi")</f>
        <v>Férfi</v>
      </c>
      <c r="E171" s="1"/>
      <c r="F171" s="1">
        <f ca="1">IFERROR(__xludf.DUMMYFUNCTION("""COMPUTED_VALUE"""),2008)</f>
        <v>2008</v>
      </c>
      <c r="G171" s="1">
        <f ca="1">IFERROR(__xludf.DUMMYFUNCTION("""COMPUTED_VALUE"""),4362)</f>
        <v>4362</v>
      </c>
      <c r="H171" s="1" t="str">
        <f ca="1">IFERROR(__xludf.DUMMYFUNCTION("""COMPUTED_VALUE"""),"MTLSZ004362A22")</f>
        <v>MTLSZ004362A22</v>
      </c>
      <c r="I171" s="2">
        <f ca="1">IFERROR(__xludf.DUMMYFUNCTION("""COMPUTED_VALUE"""),44617)</f>
        <v>44617</v>
      </c>
      <c r="J171" s="2">
        <f ca="1">IFERROR(__xludf.DUMMYFUNCTION("""COMPUTED_VALUE"""),44981)</f>
        <v>44981</v>
      </c>
    </row>
    <row r="172" spans="1:10" x14ac:dyDescent="0.25">
      <c r="A172" s="1" t="str">
        <f ca="1">IFERROR(__xludf.DUMMYFUNCTION("""COMPUTED_VALUE"""),"Multi Alarm SE")</f>
        <v>Multi Alarm SE</v>
      </c>
      <c r="B172" s="1" t="str">
        <f ca="1">IFERROR(__xludf.DUMMYFUNCTION("""COMPUTED_VALUE"""),"Horváth Csanád")</f>
        <v>Horváth Csanád</v>
      </c>
      <c r="C172" s="1"/>
      <c r="D172" s="1" t="str">
        <f ca="1">IFERROR(__xludf.DUMMYFUNCTION("""COMPUTED_VALUE"""),"Férfi")</f>
        <v>Férfi</v>
      </c>
      <c r="E172" s="1"/>
      <c r="F172" s="1">
        <f ca="1">IFERROR(__xludf.DUMMYFUNCTION("""COMPUTED_VALUE"""),2006)</f>
        <v>2006</v>
      </c>
      <c r="G172" s="1">
        <f ca="1">IFERROR(__xludf.DUMMYFUNCTION("""COMPUTED_VALUE"""),2818)</f>
        <v>2818</v>
      </c>
      <c r="H172" s="1" t="str">
        <f ca="1">IFERROR(__xludf.DUMMYFUNCTION("""COMPUTED_VALUE"""),"MTLSZ002818A22")</f>
        <v>MTLSZ002818A22</v>
      </c>
      <c r="I172" s="2">
        <f ca="1">IFERROR(__xludf.DUMMYFUNCTION("""COMPUTED_VALUE"""),44617)</f>
        <v>44617</v>
      </c>
      <c r="J172" s="2">
        <f ca="1">IFERROR(__xludf.DUMMYFUNCTION("""COMPUTED_VALUE"""),44981)</f>
        <v>44981</v>
      </c>
    </row>
    <row r="173" spans="1:10" x14ac:dyDescent="0.25">
      <c r="A173" s="1" t="str">
        <f ca="1">IFERROR(__xludf.DUMMYFUNCTION("""COMPUTED_VALUE"""),"Multi Alarm SE")</f>
        <v>Multi Alarm SE</v>
      </c>
      <c r="B173" s="1" t="str">
        <f ca="1">IFERROR(__xludf.DUMMYFUNCTION("""COMPUTED_VALUE"""),"Katz Nóra")</f>
        <v>Katz Nóra</v>
      </c>
      <c r="C173" s="1"/>
      <c r="D173" s="1" t="str">
        <f ca="1">IFERROR(__xludf.DUMMYFUNCTION("""COMPUTED_VALUE"""),"Nő")</f>
        <v>Nő</v>
      </c>
      <c r="E173" s="1"/>
      <c r="F173" s="1">
        <f ca="1">IFERROR(__xludf.DUMMYFUNCTION("""COMPUTED_VALUE"""),2010)</f>
        <v>2010</v>
      </c>
      <c r="G173" s="1">
        <f ca="1">IFERROR(__xludf.DUMMYFUNCTION("""COMPUTED_VALUE"""),4771)</f>
        <v>4771</v>
      </c>
      <c r="H173" s="1" t="str">
        <f ca="1">IFERROR(__xludf.DUMMYFUNCTION("""COMPUTED_VALUE"""),"MTLSZ004771A22")</f>
        <v>MTLSZ004771A22</v>
      </c>
      <c r="I173" s="2">
        <f ca="1">IFERROR(__xludf.DUMMYFUNCTION("""COMPUTED_VALUE"""),44617)</f>
        <v>44617</v>
      </c>
      <c r="J173" s="2">
        <f ca="1">IFERROR(__xludf.DUMMYFUNCTION("""COMPUTED_VALUE"""),44981)</f>
        <v>44981</v>
      </c>
    </row>
    <row r="174" spans="1:10" x14ac:dyDescent="0.25">
      <c r="A174" s="1" t="str">
        <f ca="1">IFERROR(__xludf.DUMMYFUNCTION("""COMPUTED_VALUE"""),"Multi Alarm SE")</f>
        <v>Multi Alarm SE</v>
      </c>
      <c r="B174" s="1" t="str">
        <f ca="1">IFERROR(__xludf.DUMMYFUNCTION("""COMPUTED_VALUE"""),"Kollmann Olivér")</f>
        <v>Kollmann Olivér</v>
      </c>
      <c r="C174" s="1"/>
      <c r="D174" s="1" t="str">
        <f ca="1">IFERROR(__xludf.DUMMYFUNCTION("""COMPUTED_VALUE"""),"Férfi")</f>
        <v>Férfi</v>
      </c>
      <c r="E174" s="1"/>
      <c r="F174" s="1">
        <f ca="1">IFERROR(__xludf.DUMMYFUNCTION("""COMPUTED_VALUE"""),2009)</f>
        <v>2009</v>
      </c>
      <c r="G174" s="1">
        <f ca="1">IFERROR(__xludf.DUMMYFUNCTION("""COMPUTED_VALUE"""),4370)</f>
        <v>4370</v>
      </c>
      <c r="H174" s="1" t="str">
        <f ca="1">IFERROR(__xludf.DUMMYFUNCTION("""COMPUTED_VALUE"""),"MTLSZ004370A22")</f>
        <v>MTLSZ004370A22</v>
      </c>
      <c r="I174" s="2">
        <f ca="1">IFERROR(__xludf.DUMMYFUNCTION("""COMPUTED_VALUE"""),44617)</f>
        <v>44617</v>
      </c>
      <c r="J174" s="2">
        <f ca="1">IFERROR(__xludf.DUMMYFUNCTION("""COMPUTED_VALUE"""),44981)</f>
        <v>44981</v>
      </c>
    </row>
    <row r="175" spans="1:10" x14ac:dyDescent="0.25">
      <c r="A175" s="1" t="str">
        <f ca="1">IFERROR(__xludf.DUMMYFUNCTION("""COMPUTED_VALUE"""),"Multi Alarm SE")</f>
        <v>Multi Alarm SE</v>
      </c>
      <c r="B175" s="1" t="str">
        <f ca="1">IFERROR(__xludf.DUMMYFUNCTION("""COMPUTED_VALUE"""),"Lujber Hédi Zsófia")</f>
        <v>Lujber Hédi Zsófia</v>
      </c>
      <c r="C175" s="1"/>
      <c r="D175" s="1" t="str">
        <f ca="1">IFERROR(__xludf.DUMMYFUNCTION("""COMPUTED_VALUE"""),"Nő")</f>
        <v>Nő</v>
      </c>
      <c r="E175" s="1"/>
      <c r="F175" s="1">
        <f ca="1">IFERROR(__xludf.DUMMYFUNCTION("""COMPUTED_VALUE"""),2011)</f>
        <v>2011</v>
      </c>
      <c r="G175" s="1">
        <f ca="1">IFERROR(__xludf.DUMMYFUNCTION("""COMPUTED_VALUE"""),3394)</f>
        <v>3394</v>
      </c>
      <c r="H175" s="1" t="str">
        <f ca="1">IFERROR(__xludf.DUMMYFUNCTION("""COMPUTED_VALUE"""),"MTLSZ003394A22")</f>
        <v>MTLSZ003394A22</v>
      </c>
      <c r="I175" s="2">
        <f ca="1">IFERROR(__xludf.DUMMYFUNCTION("""COMPUTED_VALUE"""),44617)</f>
        <v>44617</v>
      </c>
      <c r="J175" s="2">
        <f ca="1">IFERROR(__xludf.DUMMYFUNCTION("""COMPUTED_VALUE"""),44981)</f>
        <v>44981</v>
      </c>
    </row>
    <row r="176" spans="1:10" x14ac:dyDescent="0.25">
      <c r="A176" s="1" t="str">
        <f ca="1">IFERROR(__xludf.DUMMYFUNCTION("""COMPUTED_VALUE"""),"Multi Alarm SE")</f>
        <v>Multi Alarm SE</v>
      </c>
      <c r="B176" s="1" t="str">
        <f ca="1">IFERROR(__xludf.DUMMYFUNCTION("""COMPUTED_VALUE"""),"Mesterházy Milán")</f>
        <v>Mesterházy Milán</v>
      </c>
      <c r="C176" s="1"/>
      <c r="D176" s="1" t="str">
        <f ca="1">IFERROR(__xludf.DUMMYFUNCTION("""COMPUTED_VALUE"""),"Férfi")</f>
        <v>Férfi</v>
      </c>
      <c r="E176" s="1"/>
      <c r="F176" s="1">
        <f ca="1">IFERROR(__xludf.DUMMYFUNCTION("""COMPUTED_VALUE"""),2007)</f>
        <v>2007</v>
      </c>
      <c r="G176" s="1">
        <f ca="1">IFERROR(__xludf.DUMMYFUNCTION("""COMPUTED_VALUE"""),3013)</f>
        <v>3013</v>
      </c>
      <c r="H176" s="1" t="str">
        <f ca="1">IFERROR(__xludf.DUMMYFUNCTION("""COMPUTED_VALUE"""),"MTLSZ003013A22")</f>
        <v>MTLSZ003013A22</v>
      </c>
      <c r="I176" s="2">
        <f ca="1">IFERROR(__xludf.DUMMYFUNCTION("""COMPUTED_VALUE"""),44617)</f>
        <v>44617</v>
      </c>
      <c r="J176" s="2">
        <f ca="1">IFERROR(__xludf.DUMMYFUNCTION("""COMPUTED_VALUE"""),44981)</f>
        <v>44981</v>
      </c>
    </row>
    <row r="177" spans="1:10" x14ac:dyDescent="0.25">
      <c r="A177" s="1" t="str">
        <f ca="1">IFERROR(__xludf.DUMMYFUNCTION("""COMPUTED_VALUE"""),"Multi Alarm SE")</f>
        <v>Multi Alarm SE</v>
      </c>
      <c r="B177" s="1" t="str">
        <f ca="1">IFERROR(__xludf.DUMMYFUNCTION("""COMPUTED_VALUE"""),"Mucsi Zsófia")</f>
        <v>Mucsi Zsófia</v>
      </c>
      <c r="C177" s="1"/>
      <c r="D177" s="1" t="str">
        <f ca="1">IFERROR(__xludf.DUMMYFUNCTION("""COMPUTED_VALUE"""),"Nő")</f>
        <v>Nő</v>
      </c>
      <c r="E177" s="1"/>
      <c r="F177" s="1">
        <f ca="1">IFERROR(__xludf.DUMMYFUNCTION("""COMPUTED_VALUE"""),2008)</f>
        <v>2008</v>
      </c>
      <c r="G177" s="1">
        <f ca="1">IFERROR(__xludf.DUMMYFUNCTION("""COMPUTED_VALUE"""),3393)</f>
        <v>3393</v>
      </c>
      <c r="H177" s="1" t="str">
        <f ca="1">IFERROR(__xludf.DUMMYFUNCTION("""COMPUTED_VALUE"""),"MTLSZ003393A22")</f>
        <v>MTLSZ003393A22</v>
      </c>
      <c r="I177" s="2">
        <f ca="1">IFERROR(__xludf.DUMMYFUNCTION("""COMPUTED_VALUE"""),44617)</f>
        <v>44617</v>
      </c>
      <c r="J177" s="2">
        <f ca="1">IFERROR(__xludf.DUMMYFUNCTION("""COMPUTED_VALUE"""),44981)</f>
        <v>44981</v>
      </c>
    </row>
    <row r="178" spans="1:10" x14ac:dyDescent="0.25">
      <c r="A178" s="1" t="str">
        <f ca="1">IFERROR(__xludf.DUMMYFUNCTION("""COMPUTED_VALUE"""),"Multi Alarm SE")</f>
        <v>Multi Alarm SE</v>
      </c>
      <c r="B178" s="1" t="str">
        <f ca="1">IFERROR(__xludf.DUMMYFUNCTION("""COMPUTED_VALUE"""),"Nagy Sámuel")</f>
        <v>Nagy Sámuel</v>
      </c>
      <c r="C178" s="1"/>
      <c r="D178" s="1" t="str">
        <f ca="1">IFERROR(__xludf.DUMMYFUNCTION("""COMPUTED_VALUE"""),"Férfi")</f>
        <v>Férfi</v>
      </c>
      <c r="E178" s="1"/>
      <c r="F178" s="1">
        <f ca="1">IFERROR(__xludf.DUMMYFUNCTION("""COMPUTED_VALUE"""),2005)</f>
        <v>2005</v>
      </c>
      <c r="G178" s="1">
        <f ca="1">IFERROR(__xludf.DUMMYFUNCTION("""COMPUTED_VALUE"""),2614)</f>
        <v>2614</v>
      </c>
      <c r="H178" s="1" t="str">
        <f ca="1">IFERROR(__xludf.DUMMYFUNCTION("""COMPUTED_VALUE"""),"MTLSZ002614A22")</f>
        <v>MTLSZ002614A22</v>
      </c>
      <c r="I178" s="2">
        <f ca="1">IFERROR(__xludf.DUMMYFUNCTION("""COMPUTED_VALUE"""),44617)</f>
        <v>44617</v>
      </c>
      <c r="J178" s="2">
        <f ca="1">IFERROR(__xludf.DUMMYFUNCTION("""COMPUTED_VALUE"""),44981)</f>
        <v>44981</v>
      </c>
    </row>
    <row r="179" spans="1:10" x14ac:dyDescent="0.25">
      <c r="A179" s="1" t="str">
        <f ca="1">IFERROR(__xludf.DUMMYFUNCTION("""COMPUTED_VALUE"""),"Multi Alarm SE")</f>
        <v>Multi Alarm SE</v>
      </c>
      <c r="B179" s="1" t="str">
        <f ca="1">IFERROR(__xludf.DUMMYFUNCTION("""COMPUTED_VALUE"""),"Nasir Soraya Mira")</f>
        <v>Nasir Soraya Mira</v>
      </c>
      <c r="C179" s="1"/>
      <c r="D179" s="1" t="str">
        <f ca="1">IFERROR(__xludf.DUMMYFUNCTION("""COMPUTED_VALUE"""),"Nő")</f>
        <v>Nő</v>
      </c>
      <c r="E179" s="1"/>
      <c r="F179" s="1">
        <f ca="1">IFERROR(__xludf.DUMMYFUNCTION("""COMPUTED_VALUE"""),2010)</f>
        <v>2010</v>
      </c>
      <c r="G179" s="1">
        <f ca="1">IFERROR(__xludf.DUMMYFUNCTION("""COMPUTED_VALUE"""),4772)</f>
        <v>4772</v>
      </c>
      <c r="H179" s="1" t="str">
        <f ca="1">IFERROR(__xludf.DUMMYFUNCTION("""COMPUTED_VALUE"""),"MTLSZ004772A22")</f>
        <v>MTLSZ004772A22</v>
      </c>
      <c r="I179" s="2">
        <f ca="1">IFERROR(__xludf.DUMMYFUNCTION("""COMPUTED_VALUE"""),44617)</f>
        <v>44617</v>
      </c>
      <c r="J179" s="2">
        <f ca="1">IFERROR(__xludf.DUMMYFUNCTION("""COMPUTED_VALUE"""),44981)</f>
        <v>44981</v>
      </c>
    </row>
    <row r="180" spans="1:10" x14ac:dyDescent="0.25">
      <c r="A180" s="1" t="str">
        <f ca="1">IFERROR(__xludf.DUMMYFUNCTION("""COMPUTED_VALUE"""),"Multi Alarm SE")</f>
        <v>Multi Alarm SE</v>
      </c>
      <c r="B180" s="1" t="str">
        <f ca="1">IFERROR(__xludf.DUMMYFUNCTION("""COMPUTED_VALUE"""),"Palkovics Anna")</f>
        <v>Palkovics Anna</v>
      </c>
      <c r="C180" s="1"/>
      <c r="D180" s="1" t="str">
        <f ca="1">IFERROR(__xludf.DUMMYFUNCTION("""COMPUTED_VALUE"""),"Nő")</f>
        <v>Nő</v>
      </c>
      <c r="E180" s="1"/>
      <c r="F180" s="1">
        <f ca="1">IFERROR(__xludf.DUMMYFUNCTION("""COMPUTED_VALUE"""),2005)</f>
        <v>2005</v>
      </c>
      <c r="G180" s="1">
        <f ca="1">IFERROR(__xludf.DUMMYFUNCTION("""COMPUTED_VALUE"""),2788)</f>
        <v>2788</v>
      </c>
      <c r="H180" s="1" t="str">
        <f ca="1">IFERROR(__xludf.DUMMYFUNCTION("""COMPUTED_VALUE"""),"MTLSZ002788A22")</f>
        <v>MTLSZ002788A22</v>
      </c>
      <c r="I180" s="2">
        <f ca="1">IFERROR(__xludf.DUMMYFUNCTION("""COMPUTED_VALUE"""),44617)</f>
        <v>44617</v>
      </c>
      <c r="J180" s="2">
        <f ca="1">IFERROR(__xludf.DUMMYFUNCTION("""COMPUTED_VALUE"""),44981)</f>
        <v>44981</v>
      </c>
    </row>
    <row r="181" spans="1:10" x14ac:dyDescent="0.25">
      <c r="A181" s="1" t="str">
        <f ca="1">IFERROR(__xludf.DUMMYFUNCTION("""COMPUTED_VALUE"""),"Multi Alarm SE")</f>
        <v>Multi Alarm SE</v>
      </c>
      <c r="B181" s="1" t="str">
        <f ca="1">IFERROR(__xludf.DUMMYFUNCTION("""COMPUTED_VALUE"""),"Palkovics Péter")</f>
        <v>Palkovics Péter</v>
      </c>
      <c r="C181" s="1"/>
      <c r="D181" s="1" t="str">
        <f ca="1">IFERROR(__xludf.DUMMYFUNCTION("""COMPUTED_VALUE"""),"Férfi")</f>
        <v>Férfi</v>
      </c>
      <c r="E181" s="1"/>
      <c r="F181" s="1">
        <f ca="1">IFERROR(__xludf.DUMMYFUNCTION("""COMPUTED_VALUE"""),2008)</f>
        <v>2008</v>
      </c>
      <c r="G181" s="1">
        <f ca="1">IFERROR(__xludf.DUMMYFUNCTION("""COMPUTED_VALUE"""),2789)</f>
        <v>2789</v>
      </c>
      <c r="H181" s="1" t="str">
        <f ca="1">IFERROR(__xludf.DUMMYFUNCTION("""COMPUTED_VALUE"""),"MTLSZ002789A22")</f>
        <v>MTLSZ002789A22</v>
      </c>
      <c r="I181" s="2">
        <f ca="1">IFERROR(__xludf.DUMMYFUNCTION("""COMPUTED_VALUE"""),44617)</f>
        <v>44617</v>
      </c>
      <c r="J181" s="2">
        <f ca="1">IFERROR(__xludf.DUMMYFUNCTION("""COMPUTED_VALUE"""),44981)</f>
        <v>44981</v>
      </c>
    </row>
    <row r="182" spans="1:10" x14ac:dyDescent="0.25">
      <c r="A182" s="1" t="str">
        <f ca="1">IFERROR(__xludf.DUMMYFUNCTION("""COMPUTED_VALUE"""),"Multi Alarm SE")</f>
        <v>Multi Alarm SE</v>
      </c>
      <c r="B182" s="1" t="str">
        <f ca="1">IFERROR(__xludf.DUMMYFUNCTION("""COMPUTED_VALUE"""),"Palkovics Regő")</f>
        <v>Palkovics Regő</v>
      </c>
      <c r="C182" s="1"/>
      <c r="D182" s="1" t="str">
        <f ca="1">IFERROR(__xludf.DUMMYFUNCTION("""COMPUTED_VALUE"""),"Férfi")</f>
        <v>Férfi</v>
      </c>
      <c r="E182" s="1"/>
      <c r="F182" s="1">
        <f ca="1">IFERROR(__xludf.DUMMYFUNCTION("""COMPUTED_VALUE"""),2012)</f>
        <v>2012</v>
      </c>
      <c r="G182" s="1">
        <f ca="1">IFERROR(__xludf.DUMMYFUNCTION("""COMPUTED_VALUE"""),4773)</f>
        <v>4773</v>
      </c>
      <c r="H182" s="1" t="str">
        <f ca="1">IFERROR(__xludf.DUMMYFUNCTION("""COMPUTED_VALUE"""),"MTLSZ004773A22")</f>
        <v>MTLSZ004773A22</v>
      </c>
      <c r="I182" s="2">
        <f ca="1">IFERROR(__xludf.DUMMYFUNCTION("""COMPUTED_VALUE"""),44617)</f>
        <v>44617</v>
      </c>
      <c r="J182" s="2">
        <f ca="1">IFERROR(__xludf.DUMMYFUNCTION("""COMPUTED_VALUE"""),44981)</f>
        <v>44981</v>
      </c>
    </row>
    <row r="183" spans="1:10" x14ac:dyDescent="0.25">
      <c r="A183" s="1" t="str">
        <f ca="1">IFERROR(__xludf.DUMMYFUNCTION("""COMPUTED_VALUE"""),"Multi Alarm SE")</f>
        <v>Multi Alarm SE</v>
      </c>
      <c r="B183" s="1" t="str">
        <f ca="1">IFERROR(__xludf.DUMMYFUNCTION("""COMPUTED_VALUE"""),"Sifter Léna")</f>
        <v>Sifter Léna</v>
      </c>
      <c r="C183" s="1"/>
      <c r="D183" s="1" t="str">
        <f ca="1">IFERROR(__xludf.DUMMYFUNCTION("""COMPUTED_VALUE"""),"Nő")</f>
        <v>Nő</v>
      </c>
      <c r="E183" s="1"/>
      <c r="F183" s="1">
        <f ca="1">IFERROR(__xludf.DUMMYFUNCTION("""COMPUTED_VALUE"""),2010)</f>
        <v>2010</v>
      </c>
      <c r="G183" s="1">
        <f ca="1">IFERROR(__xludf.DUMMYFUNCTION("""COMPUTED_VALUE"""),3970)</f>
        <v>3970</v>
      </c>
      <c r="H183" s="1" t="str">
        <f ca="1">IFERROR(__xludf.DUMMYFUNCTION("""COMPUTED_VALUE"""),"MTLSZ003970A22")</f>
        <v>MTLSZ003970A22</v>
      </c>
      <c r="I183" s="2">
        <f ca="1">IFERROR(__xludf.DUMMYFUNCTION("""COMPUTED_VALUE"""),44617)</f>
        <v>44617</v>
      </c>
      <c r="J183" s="2">
        <f ca="1">IFERROR(__xludf.DUMMYFUNCTION("""COMPUTED_VALUE"""),44981)</f>
        <v>44981</v>
      </c>
    </row>
    <row r="184" spans="1:10" x14ac:dyDescent="0.25">
      <c r="A184" s="1" t="str">
        <f ca="1">IFERROR(__xludf.DUMMYFUNCTION("""COMPUTED_VALUE"""),"Multi Alarm SE")</f>
        <v>Multi Alarm SE</v>
      </c>
      <c r="B184" s="1" t="str">
        <f ca="1">IFERROR(__xludf.DUMMYFUNCTION("""COMPUTED_VALUE"""),"Sifter Mihály")</f>
        <v>Sifter Mihály</v>
      </c>
      <c r="C184" s="1"/>
      <c r="D184" s="1" t="str">
        <f ca="1">IFERROR(__xludf.DUMMYFUNCTION("""COMPUTED_VALUE"""),"Férfi")</f>
        <v>Férfi</v>
      </c>
      <c r="E184" s="1"/>
      <c r="F184" s="1">
        <f ca="1">IFERROR(__xludf.DUMMYFUNCTION("""COMPUTED_VALUE"""),2008)</f>
        <v>2008</v>
      </c>
      <c r="G184" s="1">
        <f ca="1">IFERROR(__xludf.DUMMYFUNCTION("""COMPUTED_VALUE"""),3389)</f>
        <v>3389</v>
      </c>
      <c r="H184" s="1" t="str">
        <f ca="1">IFERROR(__xludf.DUMMYFUNCTION("""COMPUTED_VALUE"""),"MTLSZ003389A22")</f>
        <v>MTLSZ003389A22</v>
      </c>
      <c r="I184" s="2">
        <f ca="1">IFERROR(__xludf.DUMMYFUNCTION("""COMPUTED_VALUE"""),44617)</f>
        <v>44617</v>
      </c>
      <c r="J184" s="2">
        <f ca="1">IFERROR(__xludf.DUMMYFUNCTION("""COMPUTED_VALUE"""),44981)</f>
        <v>44981</v>
      </c>
    </row>
    <row r="185" spans="1:10" x14ac:dyDescent="0.25">
      <c r="A185" s="1" t="str">
        <f ca="1">IFERROR(__xludf.DUMMYFUNCTION("""COMPUTED_VALUE"""),"Multi Alarm SE")</f>
        <v>Multi Alarm SE</v>
      </c>
      <c r="B185" s="1" t="str">
        <f ca="1">IFERROR(__xludf.DUMMYFUNCTION("""COMPUTED_VALUE"""),"Szabó Zsófi")</f>
        <v>Szabó Zsófi</v>
      </c>
      <c r="C185" s="1"/>
      <c r="D185" s="1" t="str">
        <f ca="1">IFERROR(__xludf.DUMMYFUNCTION("""COMPUTED_VALUE"""),"Nő")</f>
        <v>Nő</v>
      </c>
      <c r="E185" s="1"/>
      <c r="F185" s="1">
        <f ca="1">IFERROR(__xludf.DUMMYFUNCTION("""COMPUTED_VALUE"""),2007)</f>
        <v>2007</v>
      </c>
      <c r="G185" s="1">
        <f ca="1">IFERROR(__xludf.DUMMYFUNCTION("""COMPUTED_VALUE"""),2996)</f>
        <v>2996</v>
      </c>
      <c r="H185" s="1" t="str">
        <f ca="1">IFERROR(__xludf.DUMMYFUNCTION("""COMPUTED_VALUE"""),"MTLSZ002996A22")</f>
        <v>MTLSZ002996A22</v>
      </c>
      <c r="I185" s="2">
        <f ca="1">IFERROR(__xludf.DUMMYFUNCTION("""COMPUTED_VALUE"""),44617)</f>
        <v>44617</v>
      </c>
      <c r="J185" s="2">
        <f ca="1">IFERROR(__xludf.DUMMYFUNCTION("""COMPUTED_VALUE"""),44981)</f>
        <v>44981</v>
      </c>
    </row>
    <row r="186" spans="1:10" x14ac:dyDescent="0.25">
      <c r="A186" s="1" t="str">
        <f ca="1">IFERROR(__xludf.DUMMYFUNCTION("""COMPUTED_VALUE"""),"Multi Alarm SE")</f>
        <v>Multi Alarm SE</v>
      </c>
      <c r="B186" s="1" t="str">
        <f ca="1">IFERROR(__xludf.DUMMYFUNCTION("""COMPUTED_VALUE"""),"Szőrfi Anna")</f>
        <v>Szőrfi Anna</v>
      </c>
      <c r="C186" s="1"/>
      <c r="D186" s="1" t="str">
        <f ca="1">IFERROR(__xludf.DUMMYFUNCTION("""COMPUTED_VALUE"""),"Nő")</f>
        <v>Nő</v>
      </c>
      <c r="E186" s="1"/>
      <c r="F186" s="1">
        <f ca="1">IFERROR(__xludf.DUMMYFUNCTION("""COMPUTED_VALUE"""),2012)</f>
        <v>2012</v>
      </c>
      <c r="G186" s="1">
        <f ca="1">IFERROR(__xludf.DUMMYFUNCTION("""COMPUTED_VALUE"""),4311)</f>
        <v>4311</v>
      </c>
      <c r="H186" s="1" t="str">
        <f ca="1">IFERROR(__xludf.DUMMYFUNCTION("""COMPUTED_VALUE"""),"MTLSZ004311A22")</f>
        <v>MTLSZ004311A22</v>
      </c>
      <c r="I186" s="2">
        <f ca="1">IFERROR(__xludf.DUMMYFUNCTION("""COMPUTED_VALUE"""),44617)</f>
        <v>44617</v>
      </c>
      <c r="J186" s="2">
        <f ca="1">IFERROR(__xludf.DUMMYFUNCTION("""COMPUTED_VALUE"""),44981)</f>
        <v>44981</v>
      </c>
    </row>
    <row r="187" spans="1:10" x14ac:dyDescent="0.25">
      <c r="A187" s="1" t="str">
        <f ca="1">IFERROR(__xludf.DUMMYFUNCTION("""COMPUTED_VALUE"""),"Multi Alarm SE")</f>
        <v>Multi Alarm SE</v>
      </c>
      <c r="B187" s="1" t="str">
        <f ca="1">IFERROR(__xludf.DUMMYFUNCTION("""COMPUTED_VALUE"""),"Tóth Barnabás")</f>
        <v>Tóth Barnabás</v>
      </c>
      <c r="C187" s="1"/>
      <c r="D187" s="1" t="str">
        <f ca="1">IFERROR(__xludf.DUMMYFUNCTION("""COMPUTED_VALUE"""),"Férfi")</f>
        <v>Férfi</v>
      </c>
      <c r="E187" s="1"/>
      <c r="F187" s="1">
        <f ca="1">IFERROR(__xludf.DUMMYFUNCTION("""COMPUTED_VALUE"""),2004)</f>
        <v>2004</v>
      </c>
      <c r="G187" s="1">
        <f ca="1">IFERROR(__xludf.DUMMYFUNCTION("""COMPUTED_VALUE"""),3014)</f>
        <v>3014</v>
      </c>
      <c r="H187" s="1" t="str">
        <f ca="1">IFERROR(__xludf.DUMMYFUNCTION("""COMPUTED_VALUE"""),"MTLSZ003014A22")</f>
        <v>MTLSZ003014A22</v>
      </c>
      <c r="I187" s="2">
        <f ca="1">IFERROR(__xludf.DUMMYFUNCTION("""COMPUTED_VALUE"""),44617)</f>
        <v>44617</v>
      </c>
      <c r="J187" s="2">
        <f ca="1">IFERROR(__xludf.DUMMYFUNCTION("""COMPUTED_VALUE"""),44981)</f>
        <v>44981</v>
      </c>
    </row>
    <row r="188" spans="1:10" x14ac:dyDescent="0.25">
      <c r="A188" s="1" t="str">
        <f ca="1">IFERROR(__xludf.DUMMYFUNCTION("""COMPUTED_VALUE"""),"Multi Alarm SE")</f>
        <v>Multi Alarm SE</v>
      </c>
      <c r="B188" s="1" t="str">
        <f ca="1">IFERROR(__xludf.DUMMYFUNCTION("""COMPUTED_VALUE"""),"Vass Milán Péter")</f>
        <v>Vass Milán Péter</v>
      </c>
      <c r="C188" s="1"/>
      <c r="D188" s="1" t="str">
        <f ca="1">IFERROR(__xludf.DUMMYFUNCTION("""COMPUTED_VALUE"""),"Férfi")</f>
        <v>Férfi</v>
      </c>
      <c r="E188" s="1"/>
      <c r="F188" s="1">
        <f ca="1">IFERROR(__xludf.DUMMYFUNCTION("""COMPUTED_VALUE"""),2009)</f>
        <v>2009</v>
      </c>
      <c r="G188" s="1">
        <f ca="1">IFERROR(__xludf.DUMMYFUNCTION("""COMPUTED_VALUE"""),4359)</f>
        <v>4359</v>
      </c>
      <c r="H188" s="1" t="str">
        <f ca="1">IFERROR(__xludf.DUMMYFUNCTION("""COMPUTED_VALUE"""),"MTLSZ004359A22")</f>
        <v>MTLSZ004359A22</v>
      </c>
      <c r="I188" s="2">
        <f ca="1">IFERROR(__xludf.DUMMYFUNCTION("""COMPUTED_VALUE"""),44617)</f>
        <v>44617</v>
      </c>
      <c r="J188" s="2">
        <f ca="1">IFERROR(__xludf.DUMMYFUNCTION("""COMPUTED_VALUE"""),44981)</f>
        <v>44981</v>
      </c>
    </row>
    <row r="189" spans="1:10" x14ac:dyDescent="0.25">
      <c r="A189" s="1" t="str">
        <f ca="1">IFERROR(__xludf.DUMMYFUNCTION("""COMPUTED_VALUE"""),"Újpest TSE")</f>
        <v>Újpest TSE</v>
      </c>
      <c r="B189" s="1" t="str">
        <f ca="1">IFERROR(__xludf.DUMMYFUNCTION("""COMPUTED_VALUE"""),"Kerekes Balázs")</f>
        <v>Kerekes Balázs</v>
      </c>
      <c r="C189" s="1"/>
      <c r="D189" s="1" t="str">
        <f ca="1">IFERROR(__xludf.DUMMYFUNCTION("""COMPUTED_VALUE"""),"Férfi")</f>
        <v>Férfi</v>
      </c>
      <c r="E189" s="1"/>
      <c r="F189" s="1">
        <f ca="1">IFERROR(__xludf.DUMMYFUNCTION("""COMPUTED_VALUE"""),2006)</f>
        <v>2006</v>
      </c>
      <c r="G189" s="1">
        <f ca="1">IFERROR(__xludf.DUMMYFUNCTION("""COMPUTED_VALUE"""),3062)</f>
        <v>3062</v>
      </c>
      <c r="H189" s="1" t="str">
        <f ca="1">IFERROR(__xludf.DUMMYFUNCTION("""COMPUTED_VALUE"""),"MTLSZ003062A22")</f>
        <v>MTLSZ003062A22</v>
      </c>
      <c r="I189" s="2">
        <f ca="1">IFERROR(__xludf.DUMMYFUNCTION("""COMPUTED_VALUE"""),44617)</f>
        <v>44617</v>
      </c>
      <c r="J189" s="2">
        <f ca="1">IFERROR(__xludf.DUMMYFUNCTION("""COMPUTED_VALUE"""),44981)</f>
        <v>44981</v>
      </c>
    </row>
    <row r="190" spans="1:10" x14ac:dyDescent="0.25">
      <c r="A190" s="1" t="str">
        <f ca="1">IFERROR(__xludf.DUMMYFUNCTION("""COMPUTED_VALUE"""),"Talentum TSE")</f>
        <v>Talentum TSE</v>
      </c>
      <c r="B190" s="1" t="str">
        <f ca="1">IFERROR(__xludf.DUMMYFUNCTION("""COMPUTED_VALUE"""),"Pap Márkó")</f>
        <v>Pap Márkó</v>
      </c>
      <c r="C190" s="1"/>
      <c r="D190" s="1" t="str">
        <f ca="1">IFERROR(__xludf.DUMMYFUNCTION("""COMPUTED_VALUE"""),"Férfi")</f>
        <v>Férfi</v>
      </c>
      <c r="E190" s="1"/>
      <c r="F190" s="1">
        <f ca="1">IFERROR(__xludf.DUMMYFUNCTION("""COMPUTED_VALUE"""),2010)</f>
        <v>2010</v>
      </c>
      <c r="G190" s="1">
        <f ca="1">IFERROR(__xludf.DUMMYFUNCTION("""COMPUTED_VALUE"""),4756)</f>
        <v>4756</v>
      </c>
      <c r="H190" s="1" t="str">
        <f ca="1">IFERROR(__xludf.DUMMYFUNCTION("""COMPUTED_VALUE"""),"MTLSZ004756A22")</f>
        <v>MTLSZ004756A22</v>
      </c>
      <c r="I190" s="2">
        <f ca="1">IFERROR(__xludf.DUMMYFUNCTION("""COMPUTED_VALUE"""),44616)</f>
        <v>44616</v>
      </c>
      <c r="J190" s="2">
        <f ca="1">IFERROR(__xludf.DUMMYFUNCTION("""COMPUTED_VALUE"""),44980)</f>
        <v>44980</v>
      </c>
    </row>
    <row r="191" spans="1:10" x14ac:dyDescent="0.25">
      <c r="A191" s="1" t="str">
        <f ca="1">IFERROR(__xludf.DUMMYFUNCTION("""COMPUTED_VALUE"""),"Talentum TSE")</f>
        <v>Talentum TSE</v>
      </c>
      <c r="B191" s="1" t="str">
        <f ca="1">IFERROR(__xludf.DUMMYFUNCTION("""COMPUTED_VALUE"""),"Pap Kende")</f>
        <v>Pap Kende</v>
      </c>
      <c r="C191" s="1"/>
      <c r="D191" s="1" t="str">
        <f ca="1">IFERROR(__xludf.DUMMYFUNCTION("""COMPUTED_VALUE"""),"Férfi")</f>
        <v>Férfi</v>
      </c>
      <c r="E191" s="1"/>
      <c r="F191" s="1">
        <f ca="1">IFERROR(__xludf.DUMMYFUNCTION("""COMPUTED_VALUE"""),2010)</f>
        <v>2010</v>
      </c>
      <c r="G191" s="1">
        <f ca="1">IFERROR(__xludf.DUMMYFUNCTION("""COMPUTED_VALUE"""),4760)</f>
        <v>4760</v>
      </c>
      <c r="H191" s="1" t="str">
        <f ca="1">IFERROR(__xludf.DUMMYFUNCTION("""COMPUTED_VALUE"""),"MTLSZ004760A22")</f>
        <v>MTLSZ004760A22</v>
      </c>
      <c r="I191" s="2">
        <f ca="1">IFERROR(__xludf.DUMMYFUNCTION("""COMPUTED_VALUE"""),44616)</f>
        <v>44616</v>
      </c>
      <c r="J191" s="2">
        <f ca="1">IFERROR(__xludf.DUMMYFUNCTION("""COMPUTED_VALUE"""),44980)</f>
        <v>44980</v>
      </c>
    </row>
    <row r="192" spans="1:10" x14ac:dyDescent="0.25">
      <c r="A192" s="1" t="str">
        <f ca="1">IFERROR(__xludf.DUMMYFUNCTION("""COMPUTED_VALUE"""),"VSD")</f>
        <v>VSD</v>
      </c>
      <c r="B192" s="1" t="str">
        <f ca="1">IFERROR(__xludf.DUMMYFUNCTION("""COMPUTED_VALUE"""),"Babucs Tamás")</f>
        <v>Babucs Tamás</v>
      </c>
      <c r="C192" s="1"/>
      <c r="D192" s="1" t="str">
        <f ca="1">IFERROR(__xludf.DUMMYFUNCTION("""COMPUTED_VALUE"""),"Férfi")</f>
        <v>Férfi</v>
      </c>
      <c r="E192" s="1"/>
      <c r="F192" s="1">
        <f ca="1">IFERROR(__xludf.DUMMYFUNCTION("""COMPUTED_VALUE"""),1986)</f>
        <v>1986</v>
      </c>
      <c r="G192" s="1">
        <f ca="1">IFERROR(__xludf.DUMMYFUNCTION("""COMPUTED_VALUE"""),4504)</f>
        <v>4504</v>
      </c>
      <c r="H192" s="1" t="str">
        <f ca="1">IFERROR(__xludf.DUMMYFUNCTION("""COMPUTED_VALUE"""),"MTLSZ004504A22")</f>
        <v>MTLSZ004504A22</v>
      </c>
      <c r="I192" s="2">
        <f ca="1">IFERROR(__xludf.DUMMYFUNCTION("""COMPUTED_VALUE"""),44611)</f>
        <v>44611</v>
      </c>
      <c r="J192" s="2">
        <f ca="1">IFERROR(__xludf.DUMMYFUNCTION("""COMPUTED_VALUE"""),44975)</f>
        <v>44975</v>
      </c>
    </row>
    <row r="193" spans="1:10" x14ac:dyDescent="0.25">
      <c r="A193" s="1" t="str">
        <f ca="1">IFERROR(__xludf.DUMMYFUNCTION("""COMPUTED_VALUE"""),"VSD")</f>
        <v>VSD</v>
      </c>
      <c r="B193" s="1" t="str">
        <f ca="1">IFERROR(__xludf.DUMMYFUNCTION("""COMPUTED_VALUE"""),"Fodor Éva")</f>
        <v>Fodor Éva</v>
      </c>
      <c r="C193" s="1"/>
      <c r="D193" s="1" t="str">
        <f ca="1">IFERROR(__xludf.DUMMYFUNCTION("""COMPUTED_VALUE"""),"Nő")</f>
        <v>Nő</v>
      </c>
      <c r="E193" s="1"/>
      <c r="F193" s="1">
        <f ca="1">IFERROR(__xludf.DUMMYFUNCTION("""COMPUTED_VALUE"""),1974)</f>
        <v>1974</v>
      </c>
      <c r="G193" s="1">
        <f ca="1">IFERROR(__xludf.DUMMYFUNCTION("""COMPUTED_VALUE"""),4499)</f>
        <v>4499</v>
      </c>
      <c r="H193" s="1" t="str">
        <f ca="1">IFERROR(__xludf.DUMMYFUNCTION("""COMPUTED_VALUE"""),"MTLSZ004499A22")</f>
        <v>MTLSZ004499A22</v>
      </c>
      <c r="I193" s="2">
        <f ca="1">IFERROR(__xludf.DUMMYFUNCTION("""COMPUTED_VALUE"""),44611)</f>
        <v>44611</v>
      </c>
      <c r="J193" s="2">
        <f ca="1">IFERROR(__xludf.DUMMYFUNCTION("""COMPUTED_VALUE"""),44975)</f>
        <v>44975</v>
      </c>
    </row>
    <row r="194" spans="1:10" x14ac:dyDescent="0.25">
      <c r="A194" s="1" t="str">
        <f ca="1">IFERROR(__xludf.DUMMYFUNCTION("""COMPUTED_VALUE"""),"VSD")</f>
        <v>VSD</v>
      </c>
      <c r="B194" s="1" t="str">
        <f ca="1">IFERROR(__xludf.DUMMYFUNCTION("""COMPUTED_VALUE"""),"Főző András")</f>
        <v>Főző András</v>
      </c>
      <c r="C194" s="1"/>
      <c r="D194" s="1" t="str">
        <f ca="1">IFERROR(__xludf.DUMMYFUNCTION("""COMPUTED_VALUE"""),"Férfi")</f>
        <v>Férfi</v>
      </c>
      <c r="E194" s="1"/>
      <c r="F194" s="1">
        <f ca="1">IFERROR(__xludf.DUMMYFUNCTION("""COMPUTED_VALUE"""),2006)</f>
        <v>2006</v>
      </c>
      <c r="G194" s="1">
        <f ca="1">IFERROR(__xludf.DUMMYFUNCTION("""COMPUTED_VALUE"""),3406)</f>
        <v>3406</v>
      </c>
      <c r="H194" s="1" t="str">
        <f ca="1">IFERROR(__xludf.DUMMYFUNCTION("""COMPUTED_VALUE"""),"MTLSZ003406A22")</f>
        <v>MTLSZ003406A22</v>
      </c>
      <c r="I194" s="2">
        <f ca="1">IFERROR(__xludf.DUMMYFUNCTION("""COMPUTED_VALUE"""),44611)</f>
        <v>44611</v>
      </c>
      <c r="J194" s="2">
        <f ca="1">IFERROR(__xludf.DUMMYFUNCTION("""COMPUTED_VALUE"""),44975)</f>
        <v>44975</v>
      </c>
    </row>
    <row r="195" spans="1:10" x14ac:dyDescent="0.25">
      <c r="A195" s="1" t="str">
        <f ca="1">IFERROR(__xludf.DUMMYFUNCTION("""COMPUTED_VALUE"""),"VSD")</f>
        <v>VSD</v>
      </c>
      <c r="B195" s="1" t="str">
        <f ca="1">IFERROR(__xludf.DUMMYFUNCTION("""COMPUTED_VALUE"""),"Főző Csanád")</f>
        <v>Főző Csanád</v>
      </c>
      <c r="C195" s="1"/>
      <c r="D195" s="1" t="str">
        <f ca="1">IFERROR(__xludf.DUMMYFUNCTION("""COMPUTED_VALUE"""),"Férfi")</f>
        <v>Férfi</v>
      </c>
      <c r="E195" s="1"/>
      <c r="F195" s="1">
        <f ca="1">IFERROR(__xludf.DUMMYFUNCTION("""COMPUTED_VALUE"""),2009)</f>
        <v>2009</v>
      </c>
      <c r="G195" s="1">
        <f ca="1">IFERROR(__xludf.DUMMYFUNCTION("""COMPUTED_VALUE"""),4090)</f>
        <v>4090</v>
      </c>
      <c r="H195" s="1" t="str">
        <f ca="1">IFERROR(__xludf.DUMMYFUNCTION("""COMPUTED_VALUE"""),"MTLSZ004090A22")</f>
        <v>MTLSZ004090A22</v>
      </c>
      <c r="I195" s="2">
        <f ca="1">IFERROR(__xludf.DUMMYFUNCTION("""COMPUTED_VALUE"""),44611)</f>
        <v>44611</v>
      </c>
      <c r="J195" s="2">
        <f ca="1">IFERROR(__xludf.DUMMYFUNCTION("""COMPUTED_VALUE"""),44975)</f>
        <v>44975</v>
      </c>
    </row>
    <row r="196" spans="1:10" x14ac:dyDescent="0.25">
      <c r="A196" s="1" t="str">
        <f ca="1">IFERROR(__xludf.DUMMYFUNCTION("""COMPUTED_VALUE"""),"VSD")</f>
        <v>VSD</v>
      </c>
      <c r="B196" s="1" t="str">
        <f ca="1">IFERROR(__xludf.DUMMYFUNCTION("""COMPUTED_VALUE"""),"Halmosi Dániel")</f>
        <v>Halmosi Dániel</v>
      </c>
      <c r="C196" s="1"/>
      <c r="D196" s="1" t="str">
        <f ca="1">IFERROR(__xludf.DUMMYFUNCTION("""COMPUTED_VALUE"""),"Férfi")</f>
        <v>Férfi</v>
      </c>
      <c r="E196" s="1"/>
      <c r="F196" s="1">
        <f ca="1">IFERROR(__xludf.DUMMYFUNCTION("""COMPUTED_VALUE"""),2009)</f>
        <v>2009</v>
      </c>
      <c r="G196" s="1">
        <f ca="1">IFERROR(__xludf.DUMMYFUNCTION("""COMPUTED_VALUE"""),3996)</f>
        <v>3996</v>
      </c>
      <c r="H196" s="1" t="str">
        <f ca="1">IFERROR(__xludf.DUMMYFUNCTION("""COMPUTED_VALUE"""),"MTLSZ003996A22")</f>
        <v>MTLSZ003996A22</v>
      </c>
      <c r="I196" s="2">
        <f ca="1">IFERROR(__xludf.DUMMYFUNCTION("""COMPUTED_VALUE"""),44611)</f>
        <v>44611</v>
      </c>
      <c r="J196" s="2">
        <f ca="1">IFERROR(__xludf.DUMMYFUNCTION("""COMPUTED_VALUE"""),44975)</f>
        <v>44975</v>
      </c>
    </row>
    <row r="197" spans="1:10" x14ac:dyDescent="0.25">
      <c r="A197" s="1" t="str">
        <f ca="1">IFERROR(__xludf.DUMMYFUNCTION("""COMPUTED_VALUE"""),"VSD")</f>
        <v>VSD</v>
      </c>
      <c r="B197" s="1" t="str">
        <f ca="1">IFERROR(__xludf.DUMMYFUNCTION("""COMPUTED_VALUE"""),"Horváth Zsolt")</f>
        <v>Horváth Zsolt</v>
      </c>
      <c r="C197" s="1"/>
      <c r="D197" s="1" t="str">
        <f ca="1">IFERROR(__xludf.DUMMYFUNCTION("""COMPUTED_VALUE"""),"Férfi")</f>
        <v>Férfi</v>
      </c>
      <c r="E197" s="1"/>
      <c r="F197" s="1">
        <f ca="1">IFERROR(__xludf.DUMMYFUNCTION("""COMPUTED_VALUE"""),1971)</f>
        <v>1971</v>
      </c>
      <c r="G197" s="1">
        <f ca="1">IFERROR(__xludf.DUMMYFUNCTION("""COMPUTED_VALUE"""),4738)</f>
        <v>4738</v>
      </c>
      <c r="H197" s="1" t="str">
        <f ca="1">IFERROR(__xludf.DUMMYFUNCTION("""COMPUTED_VALUE"""),"MTLSZ004738A22")</f>
        <v>MTLSZ004738A22</v>
      </c>
      <c r="I197" s="2">
        <f ca="1">IFERROR(__xludf.DUMMYFUNCTION("""COMPUTED_VALUE"""),44611)</f>
        <v>44611</v>
      </c>
      <c r="J197" s="2">
        <f ca="1">IFERROR(__xludf.DUMMYFUNCTION("""COMPUTED_VALUE"""),44975)</f>
        <v>44975</v>
      </c>
    </row>
    <row r="198" spans="1:10" x14ac:dyDescent="0.25">
      <c r="A198" s="1" t="str">
        <f ca="1">IFERROR(__xludf.DUMMYFUNCTION("""COMPUTED_VALUE"""),"VSD")</f>
        <v>VSD</v>
      </c>
      <c r="B198" s="1" t="str">
        <f ca="1">IFERROR(__xludf.DUMMYFUNCTION("""COMPUTED_VALUE"""),"Kopcsák Botond Bese")</f>
        <v>Kopcsák Botond Bese</v>
      </c>
      <c r="C198" s="1"/>
      <c r="D198" s="1" t="str">
        <f ca="1">IFERROR(__xludf.DUMMYFUNCTION("""COMPUTED_VALUE"""),"Férfi")</f>
        <v>Férfi</v>
      </c>
      <c r="E198" s="1"/>
      <c r="F198" s="1">
        <f ca="1">IFERROR(__xludf.DUMMYFUNCTION("""COMPUTED_VALUE"""),2007)</f>
        <v>2007</v>
      </c>
      <c r="G198" s="1">
        <f ca="1">IFERROR(__xludf.DUMMYFUNCTION("""COMPUTED_VALUE"""),3995)</f>
        <v>3995</v>
      </c>
      <c r="H198" s="1" t="str">
        <f ca="1">IFERROR(__xludf.DUMMYFUNCTION("""COMPUTED_VALUE"""),"MTLSZ003995A22")</f>
        <v>MTLSZ003995A22</v>
      </c>
      <c r="I198" s="2">
        <f ca="1">IFERROR(__xludf.DUMMYFUNCTION("""COMPUTED_VALUE"""),44611)</f>
        <v>44611</v>
      </c>
      <c r="J198" s="2">
        <f ca="1">IFERROR(__xludf.DUMMYFUNCTION("""COMPUTED_VALUE"""),44975)</f>
        <v>44975</v>
      </c>
    </row>
    <row r="199" spans="1:10" x14ac:dyDescent="0.25">
      <c r="A199" s="1" t="str">
        <f ca="1">IFERROR(__xludf.DUMMYFUNCTION("""COMPUTED_VALUE"""),"VSD")</f>
        <v>VSD</v>
      </c>
      <c r="B199" s="1" t="str">
        <f ca="1">IFERROR(__xludf.DUMMYFUNCTION("""COMPUTED_VALUE"""),"Pintér Zsombor Máté")</f>
        <v>Pintér Zsombor Máté</v>
      </c>
      <c r="C199" s="1"/>
      <c r="D199" s="1" t="str">
        <f ca="1">IFERROR(__xludf.DUMMYFUNCTION("""COMPUTED_VALUE"""),"Férfi")</f>
        <v>Férfi</v>
      </c>
      <c r="E199" s="1"/>
      <c r="F199" s="1">
        <f ca="1">IFERROR(__xludf.DUMMYFUNCTION("""COMPUTED_VALUE"""),2009)</f>
        <v>2009</v>
      </c>
      <c r="G199" s="1">
        <f ca="1">IFERROR(__xludf.DUMMYFUNCTION("""COMPUTED_VALUE"""),3994)</f>
        <v>3994</v>
      </c>
      <c r="H199" s="1" t="str">
        <f ca="1">IFERROR(__xludf.DUMMYFUNCTION("""COMPUTED_VALUE"""),"MTLSZ003994A22")</f>
        <v>MTLSZ003994A22</v>
      </c>
      <c r="I199" s="2">
        <f ca="1">IFERROR(__xludf.DUMMYFUNCTION("""COMPUTED_VALUE"""),44611)</f>
        <v>44611</v>
      </c>
      <c r="J199" s="2">
        <f ca="1">IFERROR(__xludf.DUMMYFUNCTION("""COMPUTED_VALUE"""),44975)</f>
        <v>44975</v>
      </c>
    </row>
    <row r="200" spans="1:10" x14ac:dyDescent="0.25">
      <c r="A200" s="1" t="str">
        <f ca="1">IFERROR(__xludf.DUMMYFUNCTION("""COMPUTED_VALUE"""),"VSD")</f>
        <v>VSD</v>
      </c>
      <c r="B200" s="1" t="str">
        <f ca="1">IFERROR(__xludf.DUMMYFUNCTION("""COMPUTED_VALUE"""),"Richvalski Viktor")</f>
        <v>Richvalski Viktor</v>
      </c>
      <c r="C200" s="1"/>
      <c r="D200" s="1" t="str">
        <f ca="1">IFERROR(__xludf.DUMMYFUNCTION("""COMPUTED_VALUE"""),"Férfi")</f>
        <v>Férfi</v>
      </c>
      <c r="E200" s="1"/>
      <c r="F200" s="1">
        <f ca="1">IFERROR(__xludf.DUMMYFUNCTION("""COMPUTED_VALUE"""),1962)</f>
        <v>1962</v>
      </c>
      <c r="G200" s="1">
        <f ca="1">IFERROR(__xludf.DUMMYFUNCTION("""COMPUTED_VALUE"""),3566)</f>
        <v>3566</v>
      </c>
      <c r="H200" s="1" t="str">
        <f ca="1">IFERROR(__xludf.DUMMYFUNCTION("""COMPUTED_VALUE"""),"MTLSZ003566A22")</f>
        <v>MTLSZ003566A22</v>
      </c>
      <c r="I200" s="2">
        <f ca="1">IFERROR(__xludf.DUMMYFUNCTION("""COMPUTED_VALUE"""),44611)</f>
        <v>44611</v>
      </c>
      <c r="J200" s="2">
        <f ca="1">IFERROR(__xludf.DUMMYFUNCTION("""COMPUTED_VALUE"""),44975)</f>
        <v>44975</v>
      </c>
    </row>
    <row r="201" spans="1:10" x14ac:dyDescent="0.25">
      <c r="A201" s="1" t="str">
        <f ca="1">IFERROR(__xludf.DUMMYFUNCTION("""COMPUTED_VALUE"""),"VSD")</f>
        <v>VSD</v>
      </c>
      <c r="B201" s="1" t="str">
        <f ca="1">IFERROR(__xludf.DUMMYFUNCTION("""COMPUTED_VALUE"""),"Sütőné Kovács Andrea")</f>
        <v>Sütőné Kovács Andrea</v>
      </c>
      <c r="C201" s="1"/>
      <c r="D201" s="1" t="str">
        <f ca="1">IFERROR(__xludf.DUMMYFUNCTION("""COMPUTED_VALUE"""),"Nő")</f>
        <v>Nő</v>
      </c>
      <c r="E201" s="1"/>
      <c r="F201" s="1">
        <f ca="1">IFERROR(__xludf.DUMMYFUNCTION("""COMPUTED_VALUE"""),1987)</f>
        <v>1987</v>
      </c>
      <c r="G201" s="1">
        <f ca="1">IFERROR(__xludf.DUMMYFUNCTION("""COMPUTED_VALUE"""),4266)</f>
        <v>4266</v>
      </c>
      <c r="H201" s="1" t="str">
        <f ca="1">IFERROR(__xludf.DUMMYFUNCTION("""COMPUTED_VALUE"""),"MTLSZ004266A22")</f>
        <v>MTLSZ004266A22</v>
      </c>
      <c r="I201" s="2">
        <f ca="1">IFERROR(__xludf.DUMMYFUNCTION("""COMPUTED_VALUE"""),44611)</f>
        <v>44611</v>
      </c>
      <c r="J201" s="2">
        <f ca="1">IFERROR(__xludf.DUMMYFUNCTION("""COMPUTED_VALUE"""),44975)</f>
        <v>44975</v>
      </c>
    </row>
    <row r="202" spans="1:10" x14ac:dyDescent="0.25">
      <c r="A202" s="1" t="str">
        <f ca="1">IFERROR(__xludf.DUMMYFUNCTION("""COMPUTED_VALUE"""),"VSD")</f>
        <v>VSD</v>
      </c>
      <c r="B202" s="1" t="str">
        <f ca="1">IFERROR(__xludf.DUMMYFUNCTION("""COMPUTED_VALUE"""),"Töröcsik Gábor dr.")</f>
        <v>Töröcsik Gábor dr.</v>
      </c>
      <c r="C202" s="1"/>
      <c r="D202" s="1" t="str">
        <f ca="1">IFERROR(__xludf.DUMMYFUNCTION("""COMPUTED_VALUE"""),"Férfi")</f>
        <v>Férfi</v>
      </c>
      <c r="E202" s="1"/>
      <c r="F202" s="1">
        <f ca="1">IFERROR(__xludf.DUMMYFUNCTION("""COMPUTED_VALUE"""),1977)</f>
        <v>1977</v>
      </c>
      <c r="G202" s="1">
        <f ca="1">IFERROR(__xludf.DUMMYFUNCTION("""COMPUTED_VALUE"""),4268)</f>
        <v>4268</v>
      </c>
      <c r="H202" s="1" t="str">
        <f ca="1">IFERROR(__xludf.DUMMYFUNCTION("""COMPUTED_VALUE"""),"MTLSZ004268A22")</f>
        <v>MTLSZ004268A22</v>
      </c>
      <c r="I202" s="2">
        <f ca="1">IFERROR(__xludf.DUMMYFUNCTION("""COMPUTED_VALUE"""),44611)</f>
        <v>44611</v>
      </c>
      <c r="J202" s="2">
        <f ca="1">IFERROR(__xludf.DUMMYFUNCTION("""COMPUTED_VALUE"""),44975)</f>
        <v>44975</v>
      </c>
    </row>
    <row r="203" spans="1:10" x14ac:dyDescent="0.25">
      <c r="A203" s="1" t="str">
        <f ca="1">IFERROR(__xludf.DUMMYFUNCTION("""COMPUTED_VALUE"""),"VSD")</f>
        <v>VSD</v>
      </c>
      <c r="B203" s="1" t="str">
        <f ca="1">IFERROR(__xludf.DUMMYFUNCTION("""COMPUTED_VALUE"""),"Zsiros Attila")</f>
        <v>Zsiros Attila</v>
      </c>
      <c r="C203" s="1"/>
      <c r="D203" s="1" t="str">
        <f ca="1">IFERROR(__xludf.DUMMYFUNCTION("""COMPUTED_VALUE"""),"Férfi")</f>
        <v>Férfi</v>
      </c>
      <c r="E203" s="1"/>
      <c r="F203" s="1">
        <f ca="1">IFERROR(__xludf.DUMMYFUNCTION("""COMPUTED_VALUE"""),1980)</f>
        <v>1980</v>
      </c>
      <c r="G203" s="1">
        <f ca="1">IFERROR(__xludf.DUMMYFUNCTION("""COMPUTED_VALUE"""),4740)</f>
        <v>4740</v>
      </c>
      <c r="H203" s="1" t="str">
        <f ca="1">IFERROR(__xludf.DUMMYFUNCTION("""COMPUTED_VALUE"""),"MTLSZ004740A22")</f>
        <v>MTLSZ004740A22</v>
      </c>
      <c r="I203" s="2">
        <f ca="1">IFERROR(__xludf.DUMMYFUNCTION("""COMPUTED_VALUE"""),44611)</f>
        <v>44611</v>
      </c>
      <c r="J203" s="2">
        <f ca="1">IFERROR(__xludf.DUMMYFUNCTION("""COMPUTED_VALUE"""),44975)</f>
        <v>44975</v>
      </c>
    </row>
    <row r="204" spans="1:10" x14ac:dyDescent="0.25">
      <c r="A204" s="1" t="str">
        <f ca="1">IFERROR(__xludf.DUMMYFUNCTION("""COMPUTED_VALUE"""),"Életmód SE")</f>
        <v>Életmód SE</v>
      </c>
      <c r="B204" s="1" t="str">
        <f ca="1">IFERROR(__xludf.DUMMYFUNCTION("""COMPUTED_VALUE"""),"Juhász Marcell")</f>
        <v>Juhász Marcell</v>
      </c>
      <c r="C204" s="1"/>
      <c r="D204" s="1" t="str">
        <f ca="1">IFERROR(__xludf.DUMMYFUNCTION("""COMPUTED_VALUE"""),"Férfi")</f>
        <v>Férfi</v>
      </c>
      <c r="E204" s="1"/>
      <c r="F204" s="1">
        <f ca="1">IFERROR(__xludf.DUMMYFUNCTION("""COMPUTED_VALUE"""),2004)</f>
        <v>2004</v>
      </c>
      <c r="G204" s="1">
        <f ca="1">IFERROR(__xludf.DUMMYFUNCTION("""COMPUTED_VALUE"""),4770)</f>
        <v>4770</v>
      </c>
      <c r="H204" s="1" t="str">
        <f ca="1">IFERROR(__xludf.DUMMYFUNCTION("""COMPUTED_VALUE"""),"MTLSZ004770A22")</f>
        <v>MTLSZ004770A22</v>
      </c>
      <c r="I204" s="2">
        <f ca="1">IFERROR(__xludf.DUMMYFUNCTION("""COMPUTED_VALUE"""),44607)</f>
        <v>44607</v>
      </c>
      <c r="J204" s="2">
        <f ca="1">IFERROR(__xludf.DUMMYFUNCTION("""COMPUTED_VALUE"""),44971)</f>
        <v>44971</v>
      </c>
    </row>
    <row r="205" spans="1:10" x14ac:dyDescent="0.25">
      <c r="A205" s="1" t="str">
        <f ca="1">IFERROR(__xludf.DUMMYFUNCTION("""COMPUTED_VALUE"""),"Tisza TSE")</f>
        <v>Tisza TSE</v>
      </c>
      <c r="B205" s="1" t="str">
        <f ca="1">IFERROR(__xludf.DUMMYFUNCTION("""COMPUTED_VALUE"""),"Bartha Soma")</f>
        <v>Bartha Soma</v>
      </c>
      <c r="C205" s="1"/>
      <c r="D205" s="1" t="str">
        <f ca="1">IFERROR(__xludf.DUMMYFUNCTION("""COMPUTED_VALUE"""),"Férfi")</f>
        <v>Férfi</v>
      </c>
      <c r="E205" s="1"/>
      <c r="F205" s="1">
        <f ca="1">IFERROR(__xludf.DUMMYFUNCTION("""COMPUTED_VALUE"""),2007)</f>
        <v>2007</v>
      </c>
      <c r="G205" s="1">
        <f ca="1">IFERROR(__xludf.DUMMYFUNCTION("""COMPUTED_VALUE"""),3292)</f>
        <v>3292</v>
      </c>
      <c r="H205" s="1" t="str">
        <f ca="1">IFERROR(__xludf.DUMMYFUNCTION("""COMPUTED_VALUE"""),"MTLSZ003292A22")</f>
        <v>MTLSZ003292A22</v>
      </c>
      <c r="I205" s="2">
        <f ca="1">IFERROR(__xludf.DUMMYFUNCTION("""COMPUTED_VALUE"""),44606)</f>
        <v>44606</v>
      </c>
      <c r="J205" s="2">
        <f ca="1">IFERROR(__xludf.DUMMYFUNCTION("""COMPUTED_VALUE"""),44970)</f>
        <v>44970</v>
      </c>
    </row>
    <row r="206" spans="1:10" x14ac:dyDescent="0.25">
      <c r="A206" s="1" t="str">
        <f ca="1">IFERROR(__xludf.DUMMYFUNCTION("""COMPUTED_VALUE"""),"Tisza TSE")</f>
        <v>Tisza TSE</v>
      </c>
      <c r="B206" s="1" t="str">
        <f ca="1">IFERROR(__xludf.DUMMYFUNCTION("""COMPUTED_VALUE"""),"Bella Anna")</f>
        <v>Bella Anna</v>
      </c>
      <c r="C206" s="1"/>
      <c r="D206" s="1" t="str">
        <f ca="1">IFERROR(__xludf.DUMMYFUNCTION("""COMPUTED_VALUE"""),"Nő")</f>
        <v>Nő</v>
      </c>
      <c r="E206" s="1"/>
      <c r="F206" s="1">
        <f ca="1">IFERROR(__xludf.DUMMYFUNCTION("""COMPUTED_VALUE"""),2004)</f>
        <v>2004</v>
      </c>
      <c r="G206" s="1">
        <f ca="1">IFERROR(__xludf.DUMMYFUNCTION("""COMPUTED_VALUE"""),3569)</f>
        <v>3569</v>
      </c>
      <c r="H206" s="1" t="str">
        <f ca="1">IFERROR(__xludf.DUMMYFUNCTION("""COMPUTED_VALUE"""),"MTLSZ003569A22")</f>
        <v>MTLSZ003569A22</v>
      </c>
      <c r="I206" s="2">
        <f ca="1">IFERROR(__xludf.DUMMYFUNCTION("""COMPUTED_VALUE"""),44606)</f>
        <v>44606</v>
      </c>
      <c r="J206" s="2">
        <f ca="1">IFERROR(__xludf.DUMMYFUNCTION("""COMPUTED_VALUE"""),44970)</f>
        <v>44970</v>
      </c>
    </row>
    <row r="207" spans="1:10" x14ac:dyDescent="0.25">
      <c r="A207" s="1" t="str">
        <f ca="1">IFERROR(__xludf.DUMMYFUNCTION("""COMPUTED_VALUE"""),"Tisza TSE")</f>
        <v>Tisza TSE</v>
      </c>
      <c r="B207" s="1" t="str">
        <f ca="1">IFERROR(__xludf.DUMMYFUNCTION("""COMPUTED_VALUE"""),"Boa Zsófia Csenge")</f>
        <v>Boa Zsófia Csenge</v>
      </c>
      <c r="C207" s="1"/>
      <c r="D207" s="1" t="str">
        <f ca="1">IFERROR(__xludf.DUMMYFUNCTION("""COMPUTED_VALUE"""),"Nő")</f>
        <v>Nő</v>
      </c>
      <c r="E207" s="1"/>
      <c r="F207" s="1">
        <f ca="1">IFERROR(__xludf.DUMMYFUNCTION("""COMPUTED_VALUE"""),2005)</f>
        <v>2005</v>
      </c>
      <c r="G207" s="1">
        <f ca="1">IFERROR(__xludf.DUMMYFUNCTION("""COMPUTED_VALUE"""),3579)</f>
        <v>3579</v>
      </c>
      <c r="H207" s="1" t="str">
        <f ca="1">IFERROR(__xludf.DUMMYFUNCTION("""COMPUTED_VALUE"""),"MTLSZ003579A22")</f>
        <v>MTLSZ003579A22</v>
      </c>
      <c r="I207" s="2">
        <f ca="1">IFERROR(__xludf.DUMMYFUNCTION("""COMPUTED_VALUE"""),44606)</f>
        <v>44606</v>
      </c>
      <c r="J207" s="2">
        <f ca="1">IFERROR(__xludf.DUMMYFUNCTION("""COMPUTED_VALUE"""),44970)</f>
        <v>44970</v>
      </c>
    </row>
    <row r="208" spans="1:10" x14ac:dyDescent="0.25">
      <c r="A208" s="1" t="str">
        <f ca="1">IFERROR(__xludf.DUMMYFUNCTION("""COMPUTED_VALUE"""),"Tisza TSE")</f>
        <v>Tisza TSE</v>
      </c>
      <c r="B208" s="1" t="str">
        <f ca="1">IFERROR(__xludf.DUMMYFUNCTION("""COMPUTED_VALUE"""),"Bozsogi Anna Zsóka")</f>
        <v>Bozsogi Anna Zsóka</v>
      </c>
      <c r="C208" s="1"/>
      <c r="D208" s="1" t="str">
        <f ca="1">IFERROR(__xludf.DUMMYFUNCTION("""COMPUTED_VALUE"""),"Nő")</f>
        <v>Nő</v>
      </c>
      <c r="E208" s="1"/>
      <c r="F208" s="1">
        <f ca="1">IFERROR(__xludf.DUMMYFUNCTION("""COMPUTED_VALUE"""),2003)</f>
        <v>2003</v>
      </c>
      <c r="G208" s="1">
        <f ca="1">IFERROR(__xludf.DUMMYFUNCTION("""COMPUTED_VALUE"""),2571)</f>
        <v>2571</v>
      </c>
      <c r="H208" s="1" t="str">
        <f ca="1">IFERROR(__xludf.DUMMYFUNCTION("""COMPUTED_VALUE"""),"MTLSZ002571A22")</f>
        <v>MTLSZ002571A22</v>
      </c>
      <c r="I208" s="2">
        <f ca="1">IFERROR(__xludf.DUMMYFUNCTION("""COMPUTED_VALUE"""),44606)</f>
        <v>44606</v>
      </c>
      <c r="J208" s="2">
        <f ca="1">IFERROR(__xludf.DUMMYFUNCTION("""COMPUTED_VALUE"""),44970)</f>
        <v>44970</v>
      </c>
    </row>
    <row r="209" spans="1:10" x14ac:dyDescent="0.25">
      <c r="A209" s="1" t="str">
        <f ca="1">IFERROR(__xludf.DUMMYFUNCTION("""COMPUTED_VALUE"""),"Tisza TSE")</f>
        <v>Tisza TSE</v>
      </c>
      <c r="B209" s="1" t="str">
        <f ca="1">IFERROR(__xludf.DUMMYFUNCTION("""COMPUTED_VALUE"""),"Bozsogi Mira")</f>
        <v>Bozsogi Mira</v>
      </c>
      <c r="C209" s="1"/>
      <c r="D209" s="1" t="str">
        <f ca="1">IFERROR(__xludf.DUMMYFUNCTION("""COMPUTED_VALUE"""),"Nő")</f>
        <v>Nő</v>
      </c>
      <c r="E209" s="1"/>
      <c r="F209" s="1">
        <f ca="1">IFERROR(__xludf.DUMMYFUNCTION("""COMPUTED_VALUE"""),2007)</f>
        <v>2007</v>
      </c>
      <c r="G209" s="1">
        <f ca="1">IFERROR(__xludf.DUMMYFUNCTION("""COMPUTED_VALUE"""),2719)</f>
        <v>2719</v>
      </c>
      <c r="H209" s="1" t="str">
        <f ca="1">IFERROR(__xludf.DUMMYFUNCTION("""COMPUTED_VALUE"""),"MTLSZ002719A22")</f>
        <v>MTLSZ002719A22</v>
      </c>
      <c r="I209" s="2">
        <f ca="1">IFERROR(__xludf.DUMMYFUNCTION("""COMPUTED_VALUE"""),44606)</f>
        <v>44606</v>
      </c>
      <c r="J209" s="2">
        <f ca="1">IFERROR(__xludf.DUMMYFUNCTION("""COMPUTED_VALUE"""),44970)</f>
        <v>44970</v>
      </c>
    </row>
    <row r="210" spans="1:10" x14ac:dyDescent="0.25">
      <c r="A210" s="1" t="str">
        <f ca="1">IFERROR(__xludf.DUMMYFUNCTION("""COMPUTED_VALUE"""),"Tisza TSE")</f>
        <v>Tisza TSE</v>
      </c>
      <c r="B210" s="1" t="str">
        <f ca="1">IFERROR(__xludf.DUMMYFUNCTION("""COMPUTED_VALUE"""),"Czékus Zalán")</f>
        <v>Czékus Zalán</v>
      </c>
      <c r="C210" s="1"/>
      <c r="D210" s="1" t="str">
        <f ca="1">IFERROR(__xludf.DUMMYFUNCTION("""COMPUTED_VALUE"""),"Férfi")</f>
        <v>Férfi</v>
      </c>
      <c r="E210" s="1"/>
      <c r="F210" s="1">
        <f ca="1">IFERROR(__xludf.DUMMYFUNCTION("""COMPUTED_VALUE"""),2008)</f>
        <v>2008</v>
      </c>
      <c r="G210" s="1">
        <f ca="1">IFERROR(__xludf.DUMMYFUNCTION("""COMPUTED_VALUE"""),4130)</f>
        <v>4130</v>
      </c>
      <c r="H210" s="1" t="str">
        <f ca="1">IFERROR(__xludf.DUMMYFUNCTION("""COMPUTED_VALUE"""),"MTLSZ004130A22")</f>
        <v>MTLSZ004130A22</v>
      </c>
      <c r="I210" s="2">
        <f ca="1">IFERROR(__xludf.DUMMYFUNCTION("""COMPUTED_VALUE"""),44606)</f>
        <v>44606</v>
      </c>
      <c r="J210" s="2">
        <f ca="1">IFERROR(__xludf.DUMMYFUNCTION("""COMPUTED_VALUE"""),44970)</f>
        <v>44970</v>
      </c>
    </row>
    <row r="211" spans="1:10" x14ac:dyDescent="0.25">
      <c r="A211" s="1" t="str">
        <f ca="1">IFERROR(__xludf.DUMMYFUNCTION("""COMPUTED_VALUE"""),"Tisza TSE")</f>
        <v>Tisza TSE</v>
      </c>
      <c r="B211" s="1" t="str">
        <f ca="1">IFERROR(__xludf.DUMMYFUNCTION("""COMPUTED_VALUE"""),"Fontos Áron")</f>
        <v>Fontos Áron</v>
      </c>
      <c r="C211" s="1"/>
      <c r="D211" s="1" t="str">
        <f ca="1">IFERROR(__xludf.DUMMYFUNCTION("""COMPUTED_VALUE"""),"Férfi")</f>
        <v>Férfi</v>
      </c>
      <c r="E211" s="1"/>
      <c r="F211" s="1">
        <f ca="1">IFERROR(__xludf.DUMMYFUNCTION("""COMPUTED_VALUE"""),2007)</f>
        <v>2007</v>
      </c>
      <c r="G211" s="1">
        <f ca="1">IFERROR(__xludf.DUMMYFUNCTION("""COMPUTED_VALUE"""),3739)</f>
        <v>3739</v>
      </c>
      <c r="H211" s="1" t="str">
        <f ca="1">IFERROR(__xludf.DUMMYFUNCTION("""COMPUTED_VALUE"""),"MTLSZ003739A22")</f>
        <v>MTLSZ003739A22</v>
      </c>
      <c r="I211" s="2">
        <f ca="1">IFERROR(__xludf.DUMMYFUNCTION("""COMPUTED_VALUE"""),44606)</f>
        <v>44606</v>
      </c>
      <c r="J211" s="2">
        <f ca="1">IFERROR(__xludf.DUMMYFUNCTION("""COMPUTED_VALUE"""),44970)</f>
        <v>44970</v>
      </c>
    </row>
    <row r="212" spans="1:10" x14ac:dyDescent="0.25">
      <c r="A212" s="1" t="str">
        <f ca="1">IFERROR(__xludf.DUMMYFUNCTION("""COMPUTED_VALUE"""),"Tisza TSE")</f>
        <v>Tisza TSE</v>
      </c>
      <c r="B212" s="1" t="str">
        <f ca="1">IFERROR(__xludf.DUMMYFUNCTION("""COMPUTED_VALUE"""),"Frank Balázs")</f>
        <v>Frank Balázs</v>
      </c>
      <c r="C212" s="1"/>
      <c r="D212" s="1" t="str">
        <f ca="1">IFERROR(__xludf.DUMMYFUNCTION("""COMPUTED_VALUE"""),"Férfi")</f>
        <v>Férfi</v>
      </c>
      <c r="E212" s="1"/>
      <c r="F212" s="1">
        <f ca="1">IFERROR(__xludf.DUMMYFUNCTION("""COMPUTED_VALUE"""),2007)</f>
        <v>2007</v>
      </c>
      <c r="G212" s="1">
        <f ca="1">IFERROR(__xludf.DUMMYFUNCTION("""COMPUTED_VALUE"""),3911)</f>
        <v>3911</v>
      </c>
      <c r="H212" s="1" t="str">
        <f ca="1">IFERROR(__xludf.DUMMYFUNCTION("""COMPUTED_VALUE"""),"MTLSZ003911A22")</f>
        <v>MTLSZ003911A22</v>
      </c>
      <c r="I212" s="2">
        <f ca="1">IFERROR(__xludf.DUMMYFUNCTION("""COMPUTED_VALUE"""),44606)</f>
        <v>44606</v>
      </c>
      <c r="J212" s="2">
        <f ca="1">IFERROR(__xludf.DUMMYFUNCTION("""COMPUTED_VALUE"""),44970)</f>
        <v>44970</v>
      </c>
    </row>
    <row r="213" spans="1:10" x14ac:dyDescent="0.25">
      <c r="A213" s="1" t="str">
        <f ca="1">IFERROR(__xludf.DUMMYFUNCTION("""COMPUTED_VALUE"""),"Tisza TSE")</f>
        <v>Tisza TSE</v>
      </c>
      <c r="B213" s="1" t="str">
        <f ca="1">IFERROR(__xludf.DUMMYFUNCTION("""COMPUTED_VALUE"""),"Horváth Kristóf")</f>
        <v>Horváth Kristóf</v>
      </c>
      <c r="C213" s="1"/>
      <c r="D213" s="1" t="str">
        <f ca="1">IFERROR(__xludf.DUMMYFUNCTION("""COMPUTED_VALUE"""),"Férfi")</f>
        <v>Férfi</v>
      </c>
      <c r="E213" s="1"/>
      <c r="F213" s="1">
        <f ca="1">IFERROR(__xludf.DUMMYFUNCTION("""COMPUTED_VALUE"""),2007)</f>
        <v>2007</v>
      </c>
      <c r="G213" s="1">
        <f ca="1">IFERROR(__xludf.DUMMYFUNCTION("""COMPUTED_VALUE"""),3580)</f>
        <v>3580</v>
      </c>
      <c r="H213" s="1" t="str">
        <f ca="1">IFERROR(__xludf.DUMMYFUNCTION("""COMPUTED_VALUE"""),"MTLSZ003580A22")</f>
        <v>MTLSZ003580A22</v>
      </c>
      <c r="I213" s="2">
        <f ca="1">IFERROR(__xludf.DUMMYFUNCTION("""COMPUTED_VALUE"""),44606)</f>
        <v>44606</v>
      </c>
      <c r="J213" s="2">
        <f ca="1">IFERROR(__xludf.DUMMYFUNCTION("""COMPUTED_VALUE"""),44970)</f>
        <v>44970</v>
      </c>
    </row>
    <row r="214" spans="1:10" x14ac:dyDescent="0.25">
      <c r="A214" s="1" t="str">
        <f ca="1">IFERROR(__xludf.DUMMYFUNCTION("""COMPUTED_VALUE"""),"Tisza TSE")</f>
        <v>Tisza TSE</v>
      </c>
      <c r="B214" s="1" t="str">
        <f ca="1">IFERROR(__xludf.DUMMYFUNCTION("""COMPUTED_VALUE"""),"Kádár-Németh Csongor")</f>
        <v>Kádár-Németh Csongor</v>
      </c>
      <c r="C214" s="1"/>
      <c r="D214" s="1" t="str">
        <f ca="1">IFERROR(__xludf.DUMMYFUNCTION("""COMPUTED_VALUE"""),"Férfi")</f>
        <v>Férfi</v>
      </c>
      <c r="E214" s="1"/>
      <c r="F214" s="1">
        <f ca="1">IFERROR(__xludf.DUMMYFUNCTION("""COMPUTED_VALUE"""),2013)</f>
        <v>2013</v>
      </c>
      <c r="G214" s="1">
        <f ca="1">IFERROR(__xludf.DUMMYFUNCTION("""COMPUTED_VALUE"""),3582)</f>
        <v>3582</v>
      </c>
      <c r="H214" s="1" t="str">
        <f ca="1">IFERROR(__xludf.DUMMYFUNCTION("""COMPUTED_VALUE"""),"MTLSZ003582A22")</f>
        <v>MTLSZ003582A22</v>
      </c>
      <c r="I214" s="2">
        <f ca="1">IFERROR(__xludf.DUMMYFUNCTION("""COMPUTED_VALUE"""),44606)</f>
        <v>44606</v>
      </c>
      <c r="J214" s="2">
        <f ca="1">IFERROR(__xludf.DUMMYFUNCTION("""COMPUTED_VALUE"""),44970)</f>
        <v>44970</v>
      </c>
    </row>
    <row r="215" spans="1:10" x14ac:dyDescent="0.25">
      <c r="A215" s="1" t="str">
        <f ca="1">IFERROR(__xludf.DUMMYFUNCTION("""COMPUTED_VALUE"""),"Tisza TSE")</f>
        <v>Tisza TSE</v>
      </c>
      <c r="B215" s="1" t="str">
        <f ca="1">IFERROR(__xludf.DUMMYFUNCTION("""COMPUTED_VALUE"""),"Kószó Mira")</f>
        <v>Kószó Mira</v>
      </c>
      <c r="C215" s="1"/>
      <c r="D215" s="1" t="str">
        <f ca="1">IFERROR(__xludf.DUMMYFUNCTION("""COMPUTED_VALUE"""),"Nő")</f>
        <v>Nő</v>
      </c>
      <c r="E215" s="1"/>
      <c r="F215" s="1">
        <f ca="1">IFERROR(__xludf.DUMMYFUNCTION("""COMPUTED_VALUE"""),2005)</f>
        <v>2005</v>
      </c>
      <c r="G215" s="1">
        <f ca="1">IFERROR(__xludf.DUMMYFUNCTION("""COMPUTED_VALUE"""),2714)</f>
        <v>2714</v>
      </c>
      <c r="H215" s="1" t="str">
        <f ca="1">IFERROR(__xludf.DUMMYFUNCTION("""COMPUTED_VALUE"""),"MTLSZ002714A22")</f>
        <v>MTLSZ002714A22</v>
      </c>
      <c r="I215" s="2">
        <f ca="1">IFERROR(__xludf.DUMMYFUNCTION("""COMPUTED_VALUE"""),44606)</f>
        <v>44606</v>
      </c>
      <c r="J215" s="2">
        <f ca="1">IFERROR(__xludf.DUMMYFUNCTION("""COMPUTED_VALUE"""),44970)</f>
        <v>44970</v>
      </c>
    </row>
    <row r="216" spans="1:10" x14ac:dyDescent="0.25">
      <c r="A216" s="1" t="str">
        <f ca="1">IFERROR(__xludf.DUMMYFUNCTION("""COMPUTED_VALUE"""),"Tisza TSE")</f>
        <v>Tisza TSE</v>
      </c>
      <c r="B216" s="1" t="str">
        <f ca="1">IFERROR(__xludf.DUMMYFUNCTION("""COMPUTED_VALUE"""),"Kovács Dominika")</f>
        <v>Kovács Dominika</v>
      </c>
      <c r="C216" s="1"/>
      <c r="D216" s="1" t="str">
        <f ca="1">IFERROR(__xludf.DUMMYFUNCTION("""COMPUTED_VALUE"""),"Nő")</f>
        <v>Nő</v>
      </c>
      <c r="E216" s="1"/>
      <c r="F216" s="1">
        <f ca="1">IFERROR(__xludf.DUMMYFUNCTION("""COMPUTED_VALUE"""),2005)</f>
        <v>2005</v>
      </c>
      <c r="G216" s="1">
        <f ca="1">IFERROR(__xludf.DUMMYFUNCTION("""COMPUTED_VALUE"""),3767)</f>
        <v>3767</v>
      </c>
      <c r="H216" s="1" t="str">
        <f ca="1">IFERROR(__xludf.DUMMYFUNCTION("""COMPUTED_VALUE"""),"MTLSZ003767A22")</f>
        <v>MTLSZ003767A22</v>
      </c>
      <c r="I216" s="2">
        <f ca="1">IFERROR(__xludf.DUMMYFUNCTION("""COMPUTED_VALUE"""),44606)</f>
        <v>44606</v>
      </c>
      <c r="J216" s="2">
        <f ca="1">IFERROR(__xludf.DUMMYFUNCTION("""COMPUTED_VALUE"""),44970)</f>
        <v>44970</v>
      </c>
    </row>
    <row r="217" spans="1:10" x14ac:dyDescent="0.25">
      <c r="A217" s="1" t="str">
        <f ca="1">IFERROR(__xludf.DUMMYFUNCTION("""COMPUTED_VALUE"""),"Tisza TSE")</f>
        <v>Tisza TSE</v>
      </c>
      <c r="B217" s="1" t="str">
        <f ca="1">IFERROR(__xludf.DUMMYFUNCTION("""COMPUTED_VALUE"""),"Lengyel Csongor")</f>
        <v>Lengyel Csongor</v>
      </c>
      <c r="C217" s="1"/>
      <c r="D217" s="1" t="str">
        <f ca="1">IFERROR(__xludf.DUMMYFUNCTION("""COMPUTED_VALUE"""),"Férfi")</f>
        <v>Férfi</v>
      </c>
      <c r="E217" s="1"/>
      <c r="F217" s="1">
        <f ca="1">IFERROR(__xludf.DUMMYFUNCTION("""COMPUTED_VALUE"""),2006)</f>
        <v>2006</v>
      </c>
      <c r="G217" s="1">
        <f ca="1">IFERROR(__xludf.DUMMYFUNCTION("""COMPUTED_VALUE"""),4247)</f>
        <v>4247</v>
      </c>
      <c r="H217" s="1" t="str">
        <f ca="1">IFERROR(__xludf.DUMMYFUNCTION("""COMPUTED_VALUE"""),"MTLSZ004247A22")</f>
        <v>MTLSZ004247A22</v>
      </c>
      <c r="I217" s="2">
        <f ca="1">IFERROR(__xludf.DUMMYFUNCTION("""COMPUTED_VALUE"""),44606)</f>
        <v>44606</v>
      </c>
      <c r="J217" s="2">
        <f ca="1">IFERROR(__xludf.DUMMYFUNCTION("""COMPUTED_VALUE"""),44970)</f>
        <v>44970</v>
      </c>
    </row>
    <row r="218" spans="1:10" x14ac:dyDescent="0.25">
      <c r="A218" s="1" t="str">
        <f ca="1">IFERROR(__xludf.DUMMYFUNCTION("""COMPUTED_VALUE"""),"Tisza TSE")</f>
        <v>Tisza TSE</v>
      </c>
      <c r="B218" s="1" t="str">
        <f ca="1">IFERROR(__xludf.DUMMYFUNCTION("""COMPUTED_VALUE"""),"Mucsi Benedek László")</f>
        <v>Mucsi Benedek László</v>
      </c>
      <c r="C218" s="1"/>
      <c r="D218" s="1" t="str">
        <f ca="1">IFERROR(__xludf.DUMMYFUNCTION("""COMPUTED_VALUE"""),"Férfi")</f>
        <v>Férfi</v>
      </c>
      <c r="E218" s="1"/>
      <c r="F218" s="1">
        <f ca="1">IFERROR(__xludf.DUMMYFUNCTION("""COMPUTED_VALUE"""),2004)</f>
        <v>2004</v>
      </c>
      <c r="G218" s="1">
        <f ca="1">IFERROR(__xludf.DUMMYFUNCTION("""COMPUTED_VALUE"""),2721)</f>
        <v>2721</v>
      </c>
      <c r="H218" s="1" t="str">
        <f ca="1">IFERROR(__xludf.DUMMYFUNCTION("""COMPUTED_VALUE"""),"MTLSZ002721A22")</f>
        <v>MTLSZ002721A22</v>
      </c>
      <c r="I218" s="2">
        <f ca="1">IFERROR(__xludf.DUMMYFUNCTION("""COMPUTED_VALUE"""),44606)</f>
        <v>44606</v>
      </c>
      <c r="J218" s="2">
        <f ca="1">IFERROR(__xludf.DUMMYFUNCTION("""COMPUTED_VALUE"""),44970)</f>
        <v>44970</v>
      </c>
    </row>
    <row r="219" spans="1:10" x14ac:dyDescent="0.25">
      <c r="A219" s="1" t="str">
        <f ca="1">IFERROR(__xludf.DUMMYFUNCTION("""COMPUTED_VALUE"""),"Tisza TSE")</f>
        <v>Tisza TSE</v>
      </c>
      <c r="B219" s="1" t="str">
        <f ca="1">IFERROR(__xludf.DUMMYFUNCTION("""COMPUTED_VALUE"""),"Nógrádi Gergő")</f>
        <v>Nógrádi Gergő</v>
      </c>
      <c r="C219" s="1"/>
      <c r="D219" s="1" t="str">
        <f ca="1">IFERROR(__xludf.DUMMYFUNCTION("""COMPUTED_VALUE"""),"Férfi")</f>
        <v>Férfi</v>
      </c>
      <c r="E219" s="1"/>
      <c r="F219" s="1">
        <f ca="1">IFERROR(__xludf.DUMMYFUNCTION("""COMPUTED_VALUE"""),2007)</f>
        <v>2007</v>
      </c>
      <c r="G219" s="1">
        <f ca="1">IFERROR(__xludf.DUMMYFUNCTION("""COMPUTED_VALUE"""),2810)</f>
        <v>2810</v>
      </c>
      <c r="H219" s="1" t="str">
        <f ca="1">IFERROR(__xludf.DUMMYFUNCTION("""COMPUTED_VALUE"""),"MTLSZ002810A22")</f>
        <v>MTLSZ002810A22</v>
      </c>
      <c r="I219" s="2">
        <f ca="1">IFERROR(__xludf.DUMMYFUNCTION("""COMPUTED_VALUE"""),44606)</f>
        <v>44606</v>
      </c>
      <c r="J219" s="2">
        <f ca="1">IFERROR(__xludf.DUMMYFUNCTION("""COMPUTED_VALUE"""),44970)</f>
        <v>44970</v>
      </c>
    </row>
    <row r="220" spans="1:10" x14ac:dyDescent="0.25">
      <c r="A220" s="1" t="str">
        <f ca="1">IFERROR(__xludf.DUMMYFUNCTION("""COMPUTED_VALUE"""),"Tisza TSE")</f>
        <v>Tisza TSE</v>
      </c>
      <c r="B220" s="1" t="str">
        <f ca="1">IFERROR(__xludf.DUMMYFUNCTION("""COMPUTED_VALUE"""),"Nógrádi Marcell")</f>
        <v>Nógrádi Marcell</v>
      </c>
      <c r="C220" s="1"/>
      <c r="D220" s="1" t="str">
        <f ca="1">IFERROR(__xludf.DUMMYFUNCTION("""COMPUTED_VALUE"""),"Férfi")</f>
        <v>Férfi</v>
      </c>
      <c r="E220" s="1"/>
      <c r="F220" s="1">
        <f ca="1">IFERROR(__xludf.DUMMYFUNCTION("""COMPUTED_VALUE"""),2005)</f>
        <v>2005</v>
      </c>
      <c r="G220" s="1">
        <f ca="1">IFERROR(__xludf.DUMMYFUNCTION("""COMPUTED_VALUE"""),3448)</f>
        <v>3448</v>
      </c>
      <c r="H220" s="1" t="str">
        <f ca="1">IFERROR(__xludf.DUMMYFUNCTION("""COMPUTED_VALUE"""),"MTLSZ003448A22")</f>
        <v>MTLSZ003448A22</v>
      </c>
      <c r="I220" s="2">
        <f ca="1">IFERROR(__xludf.DUMMYFUNCTION("""COMPUTED_VALUE"""),44606)</f>
        <v>44606</v>
      </c>
      <c r="J220" s="2">
        <f ca="1">IFERROR(__xludf.DUMMYFUNCTION("""COMPUTED_VALUE"""),44970)</f>
        <v>44970</v>
      </c>
    </row>
    <row r="221" spans="1:10" x14ac:dyDescent="0.25">
      <c r="A221" s="1" t="str">
        <f ca="1">IFERROR(__xludf.DUMMYFUNCTION("""COMPUTED_VALUE"""),"Tisza TSE")</f>
        <v>Tisza TSE</v>
      </c>
      <c r="B221" s="1" t="str">
        <f ca="1">IFERROR(__xludf.DUMMYFUNCTION("""COMPUTED_VALUE"""),"Szentesi-Tóth Lili")</f>
        <v>Szentesi-Tóth Lili</v>
      </c>
      <c r="C221" s="1"/>
      <c r="D221" s="1" t="str">
        <f ca="1">IFERROR(__xludf.DUMMYFUNCTION("""COMPUTED_VALUE"""),"Nő")</f>
        <v>Nő</v>
      </c>
      <c r="E221" s="1"/>
      <c r="F221" s="1">
        <f ca="1">IFERROR(__xludf.DUMMYFUNCTION("""COMPUTED_VALUE"""),2006)</f>
        <v>2006</v>
      </c>
      <c r="G221" s="1">
        <f ca="1">IFERROR(__xludf.DUMMYFUNCTION("""COMPUTED_VALUE"""),3527)</f>
        <v>3527</v>
      </c>
      <c r="H221" s="1" t="str">
        <f ca="1">IFERROR(__xludf.DUMMYFUNCTION("""COMPUTED_VALUE"""),"MTLSZ003527A22")</f>
        <v>MTLSZ003527A22</v>
      </c>
      <c r="I221" s="2">
        <f ca="1">IFERROR(__xludf.DUMMYFUNCTION("""COMPUTED_VALUE"""),44606)</f>
        <v>44606</v>
      </c>
      <c r="J221" s="2">
        <f ca="1">IFERROR(__xludf.DUMMYFUNCTION("""COMPUTED_VALUE"""),44970)</f>
        <v>44970</v>
      </c>
    </row>
    <row r="222" spans="1:10" x14ac:dyDescent="0.25">
      <c r="A222" s="1" t="str">
        <f ca="1">IFERROR(__xludf.DUMMYFUNCTION("""COMPUTED_VALUE"""),"Tisza TSE")</f>
        <v>Tisza TSE</v>
      </c>
      <c r="B222" s="1" t="str">
        <f ca="1">IFERROR(__xludf.DUMMYFUNCTION("""COMPUTED_VALUE"""),"Virághalmi Viktor")</f>
        <v>Virághalmi Viktor</v>
      </c>
      <c r="C222" s="1"/>
      <c r="D222" s="1" t="str">
        <f ca="1">IFERROR(__xludf.DUMMYFUNCTION("""COMPUTED_VALUE"""),"Férfi")</f>
        <v>Férfi</v>
      </c>
      <c r="E222" s="1"/>
      <c r="F222" s="1">
        <f ca="1">IFERROR(__xludf.DUMMYFUNCTION("""COMPUTED_VALUE"""),2007)</f>
        <v>2007</v>
      </c>
      <c r="G222" s="1">
        <f ca="1">IFERROR(__xludf.DUMMYFUNCTION("""COMPUTED_VALUE"""),2712)</f>
        <v>2712</v>
      </c>
      <c r="H222" s="1" t="str">
        <f ca="1">IFERROR(__xludf.DUMMYFUNCTION("""COMPUTED_VALUE"""),"MTLSZ002712A22")</f>
        <v>MTLSZ002712A22</v>
      </c>
      <c r="I222" s="2">
        <f ca="1">IFERROR(__xludf.DUMMYFUNCTION("""COMPUTED_VALUE"""),44606)</f>
        <v>44606</v>
      </c>
      <c r="J222" s="2">
        <f ca="1">IFERROR(__xludf.DUMMYFUNCTION("""COMPUTED_VALUE"""),44970)</f>
        <v>44970</v>
      </c>
    </row>
    <row r="223" spans="1:10" x14ac:dyDescent="0.25">
      <c r="A223" s="1" t="str">
        <f ca="1">IFERROR(__xludf.DUMMYFUNCTION("""COMPUTED_VALUE"""),"Zsámbéki SE")</f>
        <v>Zsámbéki SE</v>
      </c>
      <c r="B223" s="1" t="str">
        <f ca="1">IFERROR(__xludf.DUMMYFUNCTION("""COMPUTED_VALUE"""),"Homoki Zétény Zsolt")</f>
        <v>Homoki Zétény Zsolt</v>
      </c>
      <c r="C223" s="1"/>
      <c r="D223" s="1" t="str">
        <f ca="1">IFERROR(__xludf.DUMMYFUNCTION("""COMPUTED_VALUE"""),"Férfi")</f>
        <v>Férfi</v>
      </c>
      <c r="E223" s="1"/>
      <c r="F223" s="1">
        <f ca="1">IFERROR(__xludf.DUMMYFUNCTION("""COMPUTED_VALUE"""),2012)</f>
        <v>2012</v>
      </c>
      <c r="G223" s="1">
        <f ca="1">IFERROR(__xludf.DUMMYFUNCTION("""COMPUTED_VALUE"""),4769)</f>
        <v>4769</v>
      </c>
      <c r="H223" s="1" t="str">
        <f ca="1">IFERROR(__xludf.DUMMYFUNCTION("""COMPUTED_VALUE"""),"MTLSZ004769A22")</f>
        <v>MTLSZ004769A22</v>
      </c>
      <c r="I223" s="2">
        <f ca="1">IFERROR(__xludf.DUMMYFUNCTION("""COMPUTED_VALUE"""),44600)</f>
        <v>44600</v>
      </c>
      <c r="J223" s="2">
        <f ca="1">IFERROR(__xludf.DUMMYFUNCTION("""COMPUTED_VALUE"""),44964)</f>
        <v>44964</v>
      </c>
    </row>
    <row r="224" spans="1:10" x14ac:dyDescent="0.25">
      <c r="A224" s="1" t="str">
        <f ca="1">IFERROR(__xludf.DUMMYFUNCTION("""COMPUTED_VALUE"""),"Győri TSE")</f>
        <v>Győri TSE</v>
      </c>
      <c r="B224" s="1" t="str">
        <f ca="1">IFERROR(__xludf.DUMMYFUNCTION("""COMPUTED_VALUE"""),"Kasztner Dóra")</f>
        <v>Kasztner Dóra</v>
      </c>
      <c r="C224" s="1"/>
      <c r="D224" s="1" t="str">
        <f ca="1">IFERROR(__xludf.DUMMYFUNCTION("""COMPUTED_VALUE"""),"Nő")</f>
        <v>Nő</v>
      </c>
      <c r="E224" s="1"/>
      <c r="F224" s="1">
        <f ca="1">IFERROR(__xludf.DUMMYFUNCTION("""COMPUTED_VALUE"""),2000)</f>
        <v>2000</v>
      </c>
      <c r="G224" s="1">
        <f ca="1">IFERROR(__xludf.DUMMYFUNCTION("""COMPUTED_VALUE"""),3201)</f>
        <v>3201</v>
      </c>
      <c r="H224" s="1" t="str">
        <f ca="1">IFERROR(__xludf.DUMMYFUNCTION("""COMPUTED_VALUE"""),"MTLSZ003201A22")</f>
        <v>MTLSZ003201A22</v>
      </c>
      <c r="I224" s="2">
        <f ca="1">IFERROR(__xludf.DUMMYFUNCTION("""COMPUTED_VALUE"""),44599)</f>
        <v>44599</v>
      </c>
      <c r="J224" s="2">
        <f ca="1">IFERROR(__xludf.DUMMYFUNCTION("""COMPUTED_VALUE"""),44963)</f>
        <v>44963</v>
      </c>
    </row>
    <row r="225" spans="1:10" x14ac:dyDescent="0.25">
      <c r="A225" s="1" t="str">
        <f ca="1">IFERROR(__xludf.DUMMYFUNCTION("""COMPUTED_VALUE"""),"Soproni TSE")</f>
        <v>Soproni TSE</v>
      </c>
      <c r="B225" s="1" t="str">
        <f ca="1">IFERROR(__xludf.DUMMYFUNCTION("""COMPUTED_VALUE"""),"Bak Miklós")</f>
        <v>Bak Miklós</v>
      </c>
      <c r="C225" s="1"/>
      <c r="D225" s="1" t="str">
        <f ca="1">IFERROR(__xludf.DUMMYFUNCTION("""COMPUTED_VALUE"""),"Férfi")</f>
        <v>Férfi</v>
      </c>
      <c r="E225" s="1"/>
      <c r="F225" s="1">
        <f ca="1">IFERROR(__xludf.DUMMYFUNCTION("""COMPUTED_VALUE"""),1983)</f>
        <v>1983</v>
      </c>
      <c r="G225" s="1">
        <f ca="1">IFERROR(__xludf.DUMMYFUNCTION("""COMPUTED_VALUE"""),2645)</f>
        <v>2645</v>
      </c>
      <c r="H225" s="1" t="str">
        <f ca="1">IFERROR(__xludf.DUMMYFUNCTION("""COMPUTED_VALUE"""),"MTLSZ002645A22")</f>
        <v>MTLSZ002645A22</v>
      </c>
      <c r="I225" s="2">
        <f ca="1">IFERROR(__xludf.DUMMYFUNCTION("""COMPUTED_VALUE"""),44599)</f>
        <v>44599</v>
      </c>
      <c r="J225" s="2">
        <f ca="1">IFERROR(__xludf.DUMMYFUNCTION("""COMPUTED_VALUE"""),44963)</f>
        <v>44963</v>
      </c>
    </row>
    <row r="226" spans="1:10" x14ac:dyDescent="0.25">
      <c r="A226" s="1" t="str">
        <f ca="1">IFERROR(__xludf.DUMMYFUNCTION("""COMPUTED_VALUE"""),"Soproni TSE")</f>
        <v>Soproni TSE</v>
      </c>
      <c r="B226" s="1" t="str">
        <f ca="1">IFERROR(__xludf.DUMMYFUNCTION("""COMPUTED_VALUE"""),"Kocsis Attila")</f>
        <v>Kocsis Attila</v>
      </c>
      <c r="C226" s="1"/>
      <c r="D226" s="1" t="str">
        <f ca="1">IFERROR(__xludf.DUMMYFUNCTION("""COMPUTED_VALUE"""),"Férfi")</f>
        <v>Férfi</v>
      </c>
      <c r="E226" s="1"/>
      <c r="F226" s="1">
        <f ca="1">IFERROR(__xludf.DUMMYFUNCTION("""COMPUTED_VALUE"""),1971)</f>
        <v>1971</v>
      </c>
      <c r="G226" s="1">
        <f ca="1">IFERROR(__xludf.DUMMYFUNCTION("""COMPUTED_VALUE"""),2531)</f>
        <v>2531</v>
      </c>
      <c r="H226" s="1" t="str">
        <f ca="1">IFERROR(__xludf.DUMMYFUNCTION("""COMPUTED_VALUE"""),"MTLSZ002531A22")</f>
        <v>MTLSZ002531A22</v>
      </c>
      <c r="I226" s="2">
        <f ca="1">IFERROR(__xludf.DUMMYFUNCTION("""COMPUTED_VALUE"""),44599)</f>
        <v>44599</v>
      </c>
      <c r="J226" s="2">
        <f ca="1">IFERROR(__xludf.DUMMYFUNCTION("""COMPUTED_VALUE"""),44963)</f>
        <v>44963</v>
      </c>
    </row>
    <row r="227" spans="1:10" x14ac:dyDescent="0.25">
      <c r="A227" s="1" t="str">
        <f ca="1">IFERROR(__xludf.DUMMYFUNCTION("""COMPUTED_VALUE"""),"Soproni TSE")</f>
        <v>Soproni TSE</v>
      </c>
      <c r="B227" s="1" t="str">
        <f ca="1">IFERROR(__xludf.DUMMYFUNCTION("""COMPUTED_VALUE"""),"Kovács László")</f>
        <v>Kovács László</v>
      </c>
      <c r="C227" s="1"/>
      <c r="D227" s="1" t="str">
        <f ca="1">IFERROR(__xludf.DUMMYFUNCTION("""COMPUTED_VALUE"""),"Férfi")</f>
        <v>Férfi</v>
      </c>
      <c r="E227" s="1"/>
      <c r="F227" s="1">
        <f ca="1">IFERROR(__xludf.DUMMYFUNCTION("""COMPUTED_VALUE"""),1965)</f>
        <v>1965</v>
      </c>
      <c r="G227" s="1">
        <f ca="1">IFERROR(__xludf.DUMMYFUNCTION("""COMPUTED_VALUE"""),1590)</f>
        <v>1590</v>
      </c>
      <c r="H227" s="1" t="str">
        <f ca="1">IFERROR(__xludf.DUMMYFUNCTION("""COMPUTED_VALUE"""),"MTLSZ001590A22")</f>
        <v>MTLSZ001590A22</v>
      </c>
      <c r="I227" s="2">
        <f ca="1">IFERROR(__xludf.DUMMYFUNCTION("""COMPUTED_VALUE"""),44599)</f>
        <v>44599</v>
      </c>
      <c r="J227" s="2">
        <f ca="1">IFERROR(__xludf.DUMMYFUNCTION("""COMPUTED_VALUE"""),44963)</f>
        <v>44963</v>
      </c>
    </row>
    <row r="228" spans="1:10" x14ac:dyDescent="0.25">
      <c r="A228" s="1" t="str">
        <f ca="1">IFERROR(__xludf.DUMMYFUNCTION("""COMPUTED_VALUE"""),"Soproni TSE")</f>
        <v>Soproni TSE</v>
      </c>
      <c r="B228" s="1" t="str">
        <f ca="1">IFERROR(__xludf.DUMMYFUNCTION("""COMPUTED_VALUE"""),"Nagy Borostyán")</f>
        <v>Nagy Borostyán</v>
      </c>
      <c r="C228" s="1"/>
      <c r="D228" s="1" t="str">
        <f ca="1">IFERROR(__xludf.DUMMYFUNCTION("""COMPUTED_VALUE"""),"Nő")</f>
        <v>Nő</v>
      </c>
      <c r="E228" s="1"/>
      <c r="F228" s="1">
        <f ca="1">IFERROR(__xludf.DUMMYFUNCTION("""COMPUTED_VALUE"""),2001)</f>
        <v>2001</v>
      </c>
      <c r="G228" s="1">
        <f ca="1">IFERROR(__xludf.DUMMYFUNCTION("""COMPUTED_VALUE"""),2956)</f>
        <v>2956</v>
      </c>
      <c r="H228" s="1" t="str">
        <f ca="1">IFERROR(__xludf.DUMMYFUNCTION("""COMPUTED_VALUE"""),"MTLSZ002956A22")</f>
        <v>MTLSZ002956A22</v>
      </c>
      <c r="I228" s="2">
        <f ca="1">IFERROR(__xludf.DUMMYFUNCTION("""COMPUTED_VALUE"""),44599)</f>
        <v>44599</v>
      </c>
      <c r="J228" s="2">
        <f ca="1">IFERROR(__xludf.DUMMYFUNCTION("""COMPUTED_VALUE"""),44963)</f>
        <v>44963</v>
      </c>
    </row>
    <row r="229" spans="1:10" x14ac:dyDescent="0.25">
      <c r="A229" s="1" t="str">
        <f ca="1">IFERROR(__xludf.DUMMYFUNCTION("""COMPUTED_VALUE"""),"Soproni TSE")</f>
        <v>Soproni TSE</v>
      </c>
      <c r="B229" s="1" t="str">
        <f ca="1">IFERROR(__xludf.DUMMYFUNCTION("""COMPUTED_VALUE"""),"Oszvald Julianna Réka")</f>
        <v>Oszvald Julianna Réka</v>
      </c>
      <c r="C229" s="1"/>
      <c r="D229" s="1" t="str">
        <f ca="1">IFERROR(__xludf.DUMMYFUNCTION("""COMPUTED_VALUE"""),"Nő")</f>
        <v>Nő</v>
      </c>
      <c r="E229" s="1"/>
      <c r="F229" s="1">
        <f ca="1">IFERROR(__xludf.DUMMYFUNCTION("""COMPUTED_VALUE"""),2002)</f>
        <v>2002</v>
      </c>
      <c r="G229" s="1">
        <f ca="1">IFERROR(__xludf.DUMMYFUNCTION("""COMPUTED_VALUE"""),2957)</f>
        <v>2957</v>
      </c>
      <c r="H229" s="1" t="str">
        <f ca="1">IFERROR(__xludf.DUMMYFUNCTION("""COMPUTED_VALUE"""),"MTLSZ002957A22")</f>
        <v>MTLSZ002957A22</v>
      </c>
      <c r="I229" s="2">
        <f ca="1">IFERROR(__xludf.DUMMYFUNCTION("""COMPUTED_VALUE"""),44599)</f>
        <v>44599</v>
      </c>
      <c r="J229" s="2">
        <f ca="1">IFERROR(__xludf.DUMMYFUNCTION("""COMPUTED_VALUE"""),44963)</f>
        <v>44963</v>
      </c>
    </row>
    <row r="230" spans="1:10" x14ac:dyDescent="0.25">
      <c r="A230" s="1" t="str">
        <f ca="1">IFERROR(__xludf.DUMMYFUNCTION("""COMPUTED_VALUE"""),"Soproni TSE")</f>
        <v>Soproni TSE</v>
      </c>
      <c r="B230" s="1" t="str">
        <f ca="1">IFERROR(__xludf.DUMMYFUNCTION("""COMPUTED_VALUE"""),"Ozsgyán József")</f>
        <v>Ozsgyán József</v>
      </c>
      <c r="C230" s="1"/>
      <c r="D230" s="1" t="str">
        <f ca="1">IFERROR(__xludf.DUMMYFUNCTION("""COMPUTED_VALUE"""),"Férfi")</f>
        <v>Férfi</v>
      </c>
      <c r="E230" s="1"/>
      <c r="F230" s="1">
        <f ca="1">IFERROR(__xludf.DUMMYFUNCTION("""COMPUTED_VALUE"""),1974)</f>
        <v>1974</v>
      </c>
      <c r="G230" s="1">
        <f ca="1">IFERROR(__xludf.DUMMYFUNCTION("""COMPUTED_VALUE"""),3886)</f>
        <v>3886</v>
      </c>
      <c r="H230" s="1" t="str">
        <f ca="1">IFERROR(__xludf.DUMMYFUNCTION("""COMPUTED_VALUE"""),"MTLSZ003886A22")</f>
        <v>MTLSZ003886A22</v>
      </c>
      <c r="I230" s="2">
        <f ca="1">IFERROR(__xludf.DUMMYFUNCTION("""COMPUTED_VALUE"""),44599)</f>
        <v>44599</v>
      </c>
      <c r="J230" s="2">
        <f ca="1">IFERROR(__xludf.DUMMYFUNCTION("""COMPUTED_VALUE"""),44963)</f>
        <v>44963</v>
      </c>
    </row>
    <row r="231" spans="1:10" x14ac:dyDescent="0.25">
      <c r="A231" s="1" t="str">
        <f ca="1">IFERROR(__xludf.DUMMYFUNCTION("""COMPUTED_VALUE"""),"BEAC")</f>
        <v>BEAC</v>
      </c>
      <c r="B231" s="1" t="str">
        <f ca="1">IFERROR(__xludf.DUMMYFUNCTION("""COMPUTED_VALUE"""),"Esse Bálint")</f>
        <v>Esse Bálint</v>
      </c>
      <c r="C231" s="1"/>
      <c r="D231" s="1" t="str">
        <f ca="1">IFERROR(__xludf.DUMMYFUNCTION("""COMPUTED_VALUE"""),"Férfi")</f>
        <v>Férfi</v>
      </c>
      <c r="E231" s="1"/>
      <c r="F231" s="1">
        <f ca="1">IFERROR(__xludf.DUMMYFUNCTION("""COMPUTED_VALUE"""),1981)</f>
        <v>1981</v>
      </c>
      <c r="G231" s="1">
        <f ca="1">IFERROR(__xludf.DUMMYFUNCTION("""COMPUTED_VALUE"""),1799)</f>
        <v>1799</v>
      </c>
      <c r="H231" s="1" t="str">
        <f ca="1">IFERROR(__xludf.DUMMYFUNCTION("""COMPUTED_VALUE"""),"MTLSZ001799A22")</f>
        <v>MTLSZ001799A22</v>
      </c>
      <c r="I231" s="2">
        <f ca="1">IFERROR(__xludf.DUMMYFUNCTION("""COMPUTED_VALUE"""),44595)</f>
        <v>44595</v>
      </c>
      <c r="J231" s="2">
        <f ca="1">IFERROR(__xludf.DUMMYFUNCTION("""COMPUTED_VALUE"""),44959)</f>
        <v>44959</v>
      </c>
    </row>
    <row r="232" spans="1:10" x14ac:dyDescent="0.25">
      <c r="A232" s="1" t="str">
        <f ca="1">IFERROR(__xludf.DUMMYFUNCTION("""COMPUTED_VALUE"""),"Bodajki TSE")</f>
        <v>Bodajki TSE</v>
      </c>
      <c r="B232" s="1" t="str">
        <f ca="1">IFERROR(__xludf.DUMMYFUNCTION("""COMPUTED_VALUE"""),"Dobó Krisztina")</f>
        <v>Dobó Krisztina</v>
      </c>
      <c r="C232" s="1"/>
      <c r="D232" s="1" t="str">
        <f ca="1">IFERROR(__xludf.DUMMYFUNCTION("""COMPUTED_VALUE"""),"Nő")</f>
        <v>Nő</v>
      </c>
      <c r="E232" s="1"/>
      <c r="F232" s="1">
        <f ca="1">IFERROR(__xludf.DUMMYFUNCTION("""COMPUTED_VALUE"""),1976)</f>
        <v>1976</v>
      </c>
      <c r="G232" s="1">
        <f ca="1">IFERROR(__xludf.DUMMYFUNCTION("""COMPUTED_VALUE"""),4079)</f>
        <v>4079</v>
      </c>
      <c r="H232" s="1" t="str">
        <f ca="1">IFERROR(__xludf.DUMMYFUNCTION("""COMPUTED_VALUE"""),"MTLSZ004079A22")</f>
        <v>MTLSZ004079A22</v>
      </c>
      <c r="I232" s="2">
        <f ca="1">IFERROR(__xludf.DUMMYFUNCTION("""COMPUTED_VALUE"""),44595)</f>
        <v>44595</v>
      </c>
      <c r="J232" s="2">
        <f ca="1">IFERROR(__xludf.DUMMYFUNCTION("""COMPUTED_VALUE"""),44959)</f>
        <v>44959</v>
      </c>
    </row>
    <row r="233" spans="1:10" x14ac:dyDescent="0.25">
      <c r="A233" s="1" t="str">
        <f ca="1">IFERROR(__xludf.DUMMYFUNCTION("""COMPUTED_VALUE"""),"Bodajki TSE")</f>
        <v>Bodajki TSE</v>
      </c>
      <c r="B233" s="1" t="str">
        <f ca="1">IFERROR(__xludf.DUMMYFUNCTION("""COMPUTED_VALUE"""),"Péter Gábor István")</f>
        <v>Péter Gábor István</v>
      </c>
      <c r="C233" s="1"/>
      <c r="D233" s="1" t="str">
        <f ca="1">IFERROR(__xludf.DUMMYFUNCTION("""COMPUTED_VALUE"""),"Férfi")</f>
        <v>Férfi</v>
      </c>
      <c r="E233" s="1"/>
      <c r="F233" s="1">
        <f ca="1">IFERROR(__xludf.DUMMYFUNCTION("""COMPUTED_VALUE"""),1968)</f>
        <v>1968</v>
      </c>
      <c r="G233" s="1">
        <f ca="1">IFERROR(__xludf.DUMMYFUNCTION("""COMPUTED_VALUE"""),4077)</f>
        <v>4077</v>
      </c>
      <c r="H233" s="1" t="str">
        <f ca="1">IFERROR(__xludf.DUMMYFUNCTION("""COMPUTED_VALUE"""),"MTLSZ004077A22")</f>
        <v>MTLSZ004077A22</v>
      </c>
      <c r="I233" s="2">
        <f ca="1">IFERROR(__xludf.DUMMYFUNCTION("""COMPUTED_VALUE"""),44595)</f>
        <v>44595</v>
      </c>
      <c r="J233" s="2">
        <f ca="1">IFERROR(__xludf.DUMMYFUNCTION("""COMPUTED_VALUE"""),44959)</f>
        <v>44959</v>
      </c>
    </row>
    <row r="234" spans="1:10" x14ac:dyDescent="0.25">
      <c r="A234" s="1" t="str">
        <f ca="1">IFERROR(__xludf.DUMMYFUNCTION("""COMPUTED_VALUE"""),"CET SE")</f>
        <v>CET SE</v>
      </c>
      <c r="B234" s="1" t="str">
        <f ca="1">IFERROR(__xludf.DUMMYFUNCTION("""COMPUTED_VALUE"""),"Németh Roland")</f>
        <v>Németh Roland</v>
      </c>
      <c r="C234" s="1"/>
      <c r="D234" s="1" t="str">
        <f ca="1">IFERROR(__xludf.DUMMYFUNCTION("""COMPUTED_VALUE"""),"Férfi")</f>
        <v>Férfi</v>
      </c>
      <c r="E234" s="1"/>
      <c r="F234" s="1">
        <f ca="1">IFERROR(__xludf.DUMMYFUNCTION("""COMPUTED_VALUE"""),2004)</f>
        <v>2004</v>
      </c>
      <c r="G234" s="1">
        <f ca="1">IFERROR(__xludf.DUMMYFUNCTION("""COMPUTED_VALUE"""),3094)</f>
        <v>3094</v>
      </c>
      <c r="H234" s="1" t="str">
        <f ca="1">IFERROR(__xludf.DUMMYFUNCTION("""COMPUTED_VALUE"""),"MTLSZ003094A22")</f>
        <v>MTLSZ003094A22</v>
      </c>
      <c r="I234" s="2">
        <f ca="1">IFERROR(__xludf.DUMMYFUNCTION("""COMPUTED_VALUE"""),44595)</f>
        <v>44595</v>
      </c>
      <c r="J234" s="2">
        <f ca="1">IFERROR(__xludf.DUMMYFUNCTION("""COMPUTED_VALUE"""),44959)</f>
        <v>44959</v>
      </c>
    </row>
    <row r="235" spans="1:10" x14ac:dyDescent="0.25">
      <c r="A235" s="1" t="str">
        <f ca="1">IFERROR(__xludf.DUMMYFUNCTION("""COMPUTED_VALUE"""),"Danubius KSE")</f>
        <v>Danubius KSE</v>
      </c>
      <c r="B235" s="1" t="str">
        <f ca="1">IFERROR(__xludf.DUMMYFUNCTION("""COMPUTED_VALUE"""),"Rostási Tibor")</f>
        <v>Rostási Tibor</v>
      </c>
      <c r="C235" s="1"/>
      <c r="D235" s="1" t="str">
        <f ca="1">IFERROR(__xludf.DUMMYFUNCTION("""COMPUTED_VALUE"""),"Férfi")</f>
        <v>Férfi</v>
      </c>
      <c r="E235" s="1"/>
      <c r="F235" s="1">
        <f ca="1">IFERROR(__xludf.DUMMYFUNCTION("""COMPUTED_VALUE"""),1977)</f>
        <v>1977</v>
      </c>
      <c r="G235" s="1">
        <f ca="1">IFERROR(__xludf.DUMMYFUNCTION("""COMPUTED_VALUE"""),1643)</f>
        <v>1643</v>
      </c>
      <c r="H235" s="1" t="str">
        <f ca="1">IFERROR(__xludf.DUMMYFUNCTION("""COMPUTED_VALUE"""),"MTLSZ001643A22")</f>
        <v>MTLSZ001643A22</v>
      </c>
      <c r="I235" s="2">
        <f ca="1">IFERROR(__xludf.DUMMYFUNCTION("""COMPUTED_VALUE"""),44595)</f>
        <v>44595</v>
      </c>
      <c r="J235" s="2">
        <f ca="1">IFERROR(__xludf.DUMMYFUNCTION("""COMPUTED_VALUE"""),44959)</f>
        <v>44959</v>
      </c>
    </row>
    <row r="236" spans="1:10" x14ac:dyDescent="0.25">
      <c r="A236" s="1" t="str">
        <f ca="1">IFERROR(__xludf.DUMMYFUNCTION("""COMPUTED_VALUE"""),"Életmód SE")</f>
        <v>Életmód SE</v>
      </c>
      <c r="B236" s="1" t="str">
        <f ca="1">IFERROR(__xludf.DUMMYFUNCTION("""COMPUTED_VALUE"""),"Bujdosó Zoltán")</f>
        <v>Bujdosó Zoltán</v>
      </c>
      <c r="C236" s="1"/>
      <c r="D236" s="1" t="str">
        <f ca="1">IFERROR(__xludf.DUMMYFUNCTION("""COMPUTED_VALUE"""),"Férfi")</f>
        <v>Férfi</v>
      </c>
      <c r="E236" s="1"/>
      <c r="F236" s="1">
        <f ca="1">IFERROR(__xludf.DUMMYFUNCTION("""COMPUTED_VALUE"""),1965)</f>
        <v>1965</v>
      </c>
      <c r="G236" s="1">
        <f ca="1">IFERROR(__xludf.DUMMYFUNCTION("""COMPUTED_VALUE"""),119)</f>
        <v>119</v>
      </c>
      <c r="H236" s="1" t="str">
        <f ca="1">IFERROR(__xludf.DUMMYFUNCTION("""COMPUTED_VALUE"""),"MTLSZ000119A22")</f>
        <v>MTLSZ000119A22</v>
      </c>
      <c r="I236" s="2">
        <f ca="1">IFERROR(__xludf.DUMMYFUNCTION("""COMPUTED_VALUE"""),44595)</f>
        <v>44595</v>
      </c>
      <c r="J236" s="2">
        <f ca="1">IFERROR(__xludf.DUMMYFUNCTION("""COMPUTED_VALUE"""),44959)</f>
        <v>44959</v>
      </c>
    </row>
    <row r="237" spans="1:10" x14ac:dyDescent="0.25">
      <c r="A237" s="1" t="str">
        <f ca="1">IFERROR(__xludf.DUMMYFUNCTION("""COMPUTED_VALUE"""),"Életmód SE")</f>
        <v>Életmód SE</v>
      </c>
      <c r="B237" s="1" t="str">
        <f ca="1">IFERROR(__xludf.DUMMYFUNCTION("""COMPUTED_VALUE"""),"Jakab-Tóth Ágnes dr.")</f>
        <v>Jakab-Tóth Ágnes dr.</v>
      </c>
      <c r="C237" s="1"/>
      <c r="D237" s="1" t="str">
        <f ca="1">IFERROR(__xludf.DUMMYFUNCTION("""COMPUTED_VALUE"""),"Nő")</f>
        <v>Nő</v>
      </c>
      <c r="E237" s="1"/>
      <c r="F237" s="1">
        <f ca="1">IFERROR(__xludf.DUMMYFUNCTION("""COMPUTED_VALUE"""),1979)</f>
        <v>1979</v>
      </c>
      <c r="G237" s="1">
        <f ca="1">IFERROR(__xludf.DUMMYFUNCTION("""COMPUTED_VALUE"""),4768)</f>
        <v>4768</v>
      </c>
      <c r="H237" s="1" t="str">
        <f ca="1">IFERROR(__xludf.DUMMYFUNCTION("""COMPUTED_VALUE"""),"MTLSZ004768A22")</f>
        <v>MTLSZ004768A22</v>
      </c>
      <c r="I237" s="2">
        <f ca="1">IFERROR(__xludf.DUMMYFUNCTION("""COMPUTED_VALUE"""),44595)</f>
        <v>44595</v>
      </c>
      <c r="J237" s="2">
        <f ca="1">IFERROR(__xludf.DUMMYFUNCTION("""COMPUTED_VALUE"""),44959)</f>
        <v>44959</v>
      </c>
    </row>
    <row r="238" spans="1:10" x14ac:dyDescent="0.25">
      <c r="A238" s="1" t="str">
        <f ca="1">IFERROR(__xludf.DUMMYFUNCTION("""COMPUTED_VALUE"""),"Életmód SE")</f>
        <v>Életmód SE</v>
      </c>
      <c r="B238" s="1" t="str">
        <f ca="1">IFERROR(__xludf.DUMMYFUNCTION("""COMPUTED_VALUE"""),"Megyes Ádám")</f>
        <v>Megyes Ádám</v>
      </c>
      <c r="C238" s="1"/>
      <c r="D238" s="1" t="str">
        <f ca="1">IFERROR(__xludf.DUMMYFUNCTION("""COMPUTED_VALUE"""),"Férfi")</f>
        <v>Férfi</v>
      </c>
      <c r="E238" s="1"/>
      <c r="F238" s="1">
        <f ca="1">IFERROR(__xludf.DUMMYFUNCTION("""COMPUTED_VALUE"""),1993)</f>
        <v>1993</v>
      </c>
      <c r="G238" s="1">
        <f ca="1">IFERROR(__xludf.DUMMYFUNCTION("""COMPUTED_VALUE"""),3788)</f>
        <v>3788</v>
      </c>
      <c r="H238" s="1" t="str">
        <f ca="1">IFERROR(__xludf.DUMMYFUNCTION("""COMPUTED_VALUE"""),"MTLSZ003788A22")</f>
        <v>MTLSZ003788A22</v>
      </c>
      <c r="I238" s="2">
        <f ca="1">IFERROR(__xludf.DUMMYFUNCTION("""COMPUTED_VALUE"""),44595)</f>
        <v>44595</v>
      </c>
      <c r="J238" s="2">
        <f ca="1">IFERROR(__xludf.DUMMYFUNCTION("""COMPUTED_VALUE"""),44959)</f>
        <v>44959</v>
      </c>
    </row>
    <row r="239" spans="1:10" x14ac:dyDescent="0.25">
      <c r="A239" s="1" t="str">
        <f ca="1">IFERROR(__xludf.DUMMYFUNCTION("""COMPUTED_VALUE"""),"Életmód SE")</f>
        <v>Életmód SE</v>
      </c>
      <c r="B239" s="1" t="str">
        <f ca="1">IFERROR(__xludf.DUMMYFUNCTION("""COMPUTED_VALUE"""),"Rózsa Bianka Dóra")</f>
        <v>Rózsa Bianka Dóra</v>
      </c>
      <c r="C239" s="1"/>
      <c r="D239" s="1" t="str">
        <f ca="1">IFERROR(__xludf.DUMMYFUNCTION("""COMPUTED_VALUE"""),"Nő")</f>
        <v>Nő</v>
      </c>
      <c r="E239" s="1"/>
      <c r="F239" s="1">
        <f ca="1">IFERROR(__xludf.DUMMYFUNCTION("""COMPUTED_VALUE"""),2011)</f>
        <v>2011</v>
      </c>
      <c r="G239" s="1">
        <f ca="1">IFERROR(__xludf.DUMMYFUNCTION("""COMPUTED_VALUE"""),3628)</f>
        <v>3628</v>
      </c>
      <c r="H239" s="1" t="str">
        <f ca="1">IFERROR(__xludf.DUMMYFUNCTION("""COMPUTED_VALUE"""),"MTLSZ003628A22")</f>
        <v>MTLSZ003628A22</v>
      </c>
      <c r="I239" s="2">
        <f ca="1">IFERROR(__xludf.DUMMYFUNCTION("""COMPUTED_VALUE"""),44595)</f>
        <v>44595</v>
      </c>
      <c r="J239" s="2">
        <f ca="1">IFERROR(__xludf.DUMMYFUNCTION("""COMPUTED_VALUE"""),44959)</f>
        <v>44959</v>
      </c>
    </row>
    <row r="240" spans="1:10" x14ac:dyDescent="0.25">
      <c r="A240" s="1" t="str">
        <f ca="1">IFERROR(__xludf.DUMMYFUNCTION("""COMPUTED_VALUE"""),"Győri TSE")</f>
        <v>Győri TSE</v>
      </c>
      <c r="B240" s="1" t="str">
        <f ca="1">IFERROR(__xludf.DUMMYFUNCTION("""COMPUTED_VALUE"""),"Tóth Gábor")</f>
        <v>Tóth Gábor</v>
      </c>
      <c r="C240" s="1"/>
      <c r="D240" s="1" t="str">
        <f ca="1">IFERROR(__xludf.DUMMYFUNCTION("""COMPUTED_VALUE"""),"Férfi")</f>
        <v>Férfi</v>
      </c>
      <c r="E240" s="1"/>
      <c r="F240" s="1">
        <f ca="1">IFERROR(__xludf.DUMMYFUNCTION("""COMPUTED_VALUE"""),1974)</f>
        <v>1974</v>
      </c>
      <c r="G240" s="1">
        <f ca="1">IFERROR(__xludf.DUMMYFUNCTION("""COMPUTED_VALUE"""),3076)</f>
        <v>3076</v>
      </c>
      <c r="H240" s="1" t="str">
        <f ca="1">IFERROR(__xludf.DUMMYFUNCTION("""COMPUTED_VALUE"""),"MTLSZ003076A22")</f>
        <v>MTLSZ003076A22</v>
      </c>
      <c r="I240" s="2">
        <f ca="1">IFERROR(__xludf.DUMMYFUNCTION("""COMPUTED_VALUE"""),44595)</f>
        <v>44595</v>
      </c>
      <c r="J240" s="2">
        <f ca="1">IFERROR(__xludf.DUMMYFUNCTION("""COMPUTED_VALUE"""),44959)</f>
        <v>44959</v>
      </c>
    </row>
    <row r="241" spans="1:10" x14ac:dyDescent="0.25">
      <c r="A241" s="1" t="str">
        <f ca="1">IFERROR(__xludf.DUMMYFUNCTION("""COMPUTED_VALUE"""),"Kék Sólymok SE")</f>
        <v>Kék Sólymok SE</v>
      </c>
      <c r="B241" s="1" t="str">
        <f ca="1">IFERROR(__xludf.DUMMYFUNCTION("""COMPUTED_VALUE"""),"Barna László")</f>
        <v>Barna László</v>
      </c>
      <c r="C241" s="1"/>
      <c r="D241" s="1" t="str">
        <f ca="1">IFERROR(__xludf.DUMMYFUNCTION("""COMPUTED_VALUE"""),"Férfi")</f>
        <v>Férfi</v>
      </c>
      <c r="E241" s="1"/>
      <c r="F241" s="1">
        <f ca="1">IFERROR(__xludf.DUMMYFUNCTION("""COMPUTED_VALUE"""),1968)</f>
        <v>1968</v>
      </c>
      <c r="G241" s="1">
        <f ca="1">IFERROR(__xludf.DUMMYFUNCTION("""COMPUTED_VALUE"""),3386)</f>
        <v>3386</v>
      </c>
      <c r="H241" s="1" t="str">
        <f ca="1">IFERROR(__xludf.DUMMYFUNCTION("""COMPUTED_VALUE"""),"MTLSZ003386A22")</f>
        <v>MTLSZ003386A22</v>
      </c>
      <c r="I241" s="2">
        <f ca="1">IFERROR(__xludf.DUMMYFUNCTION("""COMPUTED_VALUE"""),44595)</f>
        <v>44595</v>
      </c>
      <c r="J241" s="2">
        <f ca="1">IFERROR(__xludf.DUMMYFUNCTION("""COMPUTED_VALUE"""),44959)</f>
        <v>44959</v>
      </c>
    </row>
    <row r="242" spans="1:10" x14ac:dyDescent="0.25">
      <c r="A242" s="1" t="str">
        <f ca="1">IFERROR(__xludf.DUMMYFUNCTION("""COMPUTED_VALUE"""),"Tisza TSE")</f>
        <v>Tisza TSE</v>
      </c>
      <c r="B242" s="1" t="str">
        <f ca="1">IFERROR(__xludf.DUMMYFUNCTION("""COMPUTED_VALUE"""),"Kereszti Zoltán")</f>
        <v>Kereszti Zoltán</v>
      </c>
      <c r="C242" s="1"/>
      <c r="D242" s="1" t="str">
        <f ca="1">IFERROR(__xludf.DUMMYFUNCTION("""COMPUTED_VALUE"""),"Férfi")</f>
        <v>Férfi</v>
      </c>
      <c r="E242" s="1"/>
      <c r="F242" s="1">
        <f ca="1">IFERROR(__xludf.DUMMYFUNCTION("""COMPUTED_VALUE"""),1987)</f>
        <v>1987</v>
      </c>
      <c r="G242" s="1">
        <f ca="1">IFERROR(__xludf.DUMMYFUNCTION("""COMPUTED_VALUE"""),456)</f>
        <v>456</v>
      </c>
      <c r="H242" s="1" t="str">
        <f ca="1">IFERROR(__xludf.DUMMYFUNCTION("""COMPUTED_VALUE"""),"MTLSZ000456A22")</f>
        <v>MTLSZ000456A22</v>
      </c>
      <c r="I242" s="2">
        <f ca="1">IFERROR(__xludf.DUMMYFUNCTION("""COMPUTED_VALUE"""),44595)</f>
        <v>44595</v>
      </c>
      <c r="J242" s="2">
        <f ca="1">IFERROR(__xludf.DUMMYFUNCTION("""COMPUTED_VALUE"""),44959)</f>
        <v>44959</v>
      </c>
    </row>
    <row r="243" spans="1:10" x14ac:dyDescent="0.25">
      <c r="A243" s="1" t="str">
        <f ca="1">IFERROR(__xludf.DUMMYFUNCTION("""COMPUTED_VALUE"""),"Újpest TSE")</f>
        <v>Újpest TSE</v>
      </c>
      <c r="B243" s="1" t="str">
        <f ca="1">IFERROR(__xludf.DUMMYFUNCTION("""COMPUTED_VALUE"""),"Nagy Gergely Milán Dr.")</f>
        <v>Nagy Gergely Milán Dr.</v>
      </c>
      <c r="C243" s="1"/>
      <c r="D243" s="1" t="str">
        <f ca="1">IFERROR(__xludf.DUMMYFUNCTION("""COMPUTED_VALUE"""),"Férfi")</f>
        <v>Férfi</v>
      </c>
      <c r="E243" s="1"/>
      <c r="F243" s="1">
        <f ca="1">IFERROR(__xludf.DUMMYFUNCTION("""COMPUTED_VALUE"""),1973)</f>
        <v>1973</v>
      </c>
      <c r="G243" s="1">
        <f ca="1">IFERROR(__xludf.DUMMYFUNCTION("""COMPUTED_VALUE"""),2927)</f>
        <v>2927</v>
      </c>
      <c r="H243" s="1" t="str">
        <f ca="1">IFERROR(__xludf.DUMMYFUNCTION("""COMPUTED_VALUE"""),"MTLSZ002927A22")</f>
        <v>MTLSZ002927A22</v>
      </c>
      <c r="I243" s="2">
        <f ca="1">IFERROR(__xludf.DUMMYFUNCTION("""COMPUTED_VALUE"""),44595)</f>
        <v>44595</v>
      </c>
      <c r="J243" s="2">
        <f ca="1">IFERROR(__xludf.DUMMYFUNCTION("""COMPUTED_VALUE"""),44959)</f>
        <v>44959</v>
      </c>
    </row>
    <row r="244" spans="1:10" x14ac:dyDescent="0.25">
      <c r="A244" s="1" t="str">
        <f ca="1">IFERROR(__xludf.DUMMYFUNCTION("""COMPUTED_VALUE"""),"VSD")</f>
        <v>VSD</v>
      </c>
      <c r="B244" s="1" t="str">
        <f ca="1">IFERROR(__xludf.DUMMYFUNCTION("""COMPUTED_VALUE"""),"Pusztai Balázs")</f>
        <v>Pusztai Balázs</v>
      </c>
      <c r="C244" s="1"/>
      <c r="D244" s="1" t="str">
        <f ca="1">IFERROR(__xludf.DUMMYFUNCTION("""COMPUTED_VALUE"""),"Férfi")</f>
        <v>Férfi</v>
      </c>
      <c r="E244" s="1"/>
      <c r="F244" s="1">
        <f ca="1">IFERROR(__xludf.DUMMYFUNCTION("""COMPUTED_VALUE"""),1985)</f>
        <v>1985</v>
      </c>
      <c r="G244" s="1">
        <f ca="1">IFERROR(__xludf.DUMMYFUNCTION("""COMPUTED_VALUE"""),790)</f>
        <v>790</v>
      </c>
      <c r="H244" s="1" t="str">
        <f ca="1">IFERROR(__xludf.DUMMYFUNCTION("""COMPUTED_VALUE"""),"MTLSZ000790A22")</f>
        <v>MTLSZ000790A22</v>
      </c>
      <c r="I244" s="2">
        <f ca="1">IFERROR(__xludf.DUMMYFUNCTION("""COMPUTED_VALUE"""),44595)</f>
        <v>44595</v>
      </c>
      <c r="J244" s="2">
        <f ca="1">IFERROR(__xludf.DUMMYFUNCTION("""COMPUTED_VALUE"""),44959)</f>
        <v>44959</v>
      </c>
    </row>
    <row r="245" spans="1:10" x14ac:dyDescent="0.25">
      <c r="A245" s="1" t="str">
        <f ca="1">IFERROR(__xludf.DUMMYFUNCTION("""COMPUTED_VALUE"""),"VSD")</f>
        <v>VSD</v>
      </c>
      <c r="B245" s="1" t="str">
        <f ca="1">IFERROR(__xludf.DUMMYFUNCTION("""COMPUTED_VALUE"""),"Szöllősi Péter")</f>
        <v>Szöllősi Péter</v>
      </c>
      <c r="C245" s="1"/>
      <c r="D245" s="1" t="str">
        <f ca="1">IFERROR(__xludf.DUMMYFUNCTION("""COMPUTED_VALUE"""),"Férfi")</f>
        <v>Férfi</v>
      </c>
      <c r="E245" s="1"/>
      <c r="F245" s="1">
        <f ca="1">IFERROR(__xludf.DUMMYFUNCTION("""COMPUTED_VALUE"""),1983)</f>
        <v>1983</v>
      </c>
      <c r="G245" s="1">
        <f ca="1">IFERROR(__xludf.DUMMYFUNCTION("""COMPUTED_VALUE"""),2644)</f>
        <v>2644</v>
      </c>
      <c r="H245" s="1" t="str">
        <f ca="1">IFERROR(__xludf.DUMMYFUNCTION("""COMPUTED_VALUE"""),"MTLSZ002644A22")</f>
        <v>MTLSZ002644A22</v>
      </c>
      <c r="I245" s="2">
        <f ca="1">IFERROR(__xludf.DUMMYFUNCTION("""COMPUTED_VALUE"""),44595)</f>
        <v>44595</v>
      </c>
      <c r="J245" s="2">
        <f ca="1">IFERROR(__xludf.DUMMYFUNCTION("""COMPUTED_VALUE"""),44959)</f>
        <v>44959</v>
      </c>
    </row>
    <row r="246" spans="1:10" x14ac:dyDescent="0.25">
      <c r="A246" s="1" t="str">
        <f ca="1">IFERROR(__xludf.DUMMYFUNCTION("""COMPUTED_VALUE"""),"Seregélyesi PDSE")</f>
        <v>Seregélyesi PDSE</v>
      </c>
      <c r="B246" s="1" t="str">
        <f ca="1">IFERROR(__xludf.DUMMYFUNCTION("""COMPUTED_VALUE"""),"Ispaits Viktória")</f>
        <v>Ispaits Viktória</v>
      </c>
      <c r="C246" s="1"/>
      <c r="D246" s="1" t="str">
        <f ca="1">IFERROR(__xludf.DUMMYFUNCTION("""COMPUTED_VALUE"""),"Nő")</f>
        <v>Nő</v>
      </c>
      <c r="E246" s="1"/>
      <c r="F246" s="1">
        <f ca="1">IFERROR(__xludf.DUMMYFUNCTION("""COMPUTED_VALUE"""),1998)</f>
        <v>1998</v>
      </c>
      <c r="G246" s="1">
        <f ca="1">IFERROR(__xludf.DUMMYFUNCTION("""COMPUTED_VALUE"""),2280)</f>
        <v>2280</v>
      </c>
      <c r="H246" s="1" t="str">
        <f ca="1">IFERROR(__xludf.DUMMYFUNCTION("""COMPUTED_VALUE"""),"MTLSZ002280A22")</f>
        <v>MTLSZ002280A22</v>
      </c>
      <c r="I246" s="2">
        <f ca="1">IFERROR(__xludf.DUMMYFUNCTION("""COMPUTED_VALUE"""),44592)</f>
        <v>44592</v>
      </c>
      <c r="J246" s="2">
        <f ca="1">IFERROR(__xludf.DUMMYFUNCTION("""COMPUTED_VALUE"""),44956)</f>
        <v>44956</v>
      </c>
    </row>
    <row r="247" spans="1:10" x14ac:dyDescent="0.25">
      <c r="A247" s="1" t="str">
        <f ca="1">IFERROR(__xludf.DUMMYFUNCTION("""COMPUTED_VALUE"""),"Talentum TSE")</f>
        <v>Talentum TSE</v>
      </c>
      <c r="B247" s="1" t="str">
        <f ca="1">IFERROR(__xludf.DUMMYFUNCTION("""COMPUTED_VALUE"""),"Megyesi Máté")</f>
        <v>Megyesi Máté</v>
      </c>
      <c r="C247" s="1"/>
      <c r="D247" s="1" t="str">
        <f ca="1">IFERROR(__xludf.DUMMYFUNCTION("""COMPUTED_VALUE"""),"Férfi")</f>
        <v>Férfi</v>
      </c>
      <c r="E247" s="1"/>
      <c r="F247" s="1">
        <f ca="1">IFERROR(__xludf.DUMMYFUNCTION("""COMPUTED_VALUE"""),2005)</f>
        <v>2005</v>
      </c>
      <c r="G247" s="1">
        <f ca="1">IFERROR(__xludf.DUMMYFUNCTION("""COMPUTED_VALUE"""),3033)</f>
        <v>3033</v>
      </c>
      <c r="H247" s="1" t="str">
        <f ca="1">IFERROR(__xludf.DUMMYFUNCTION("""COMPUTED_VALUE"""),"MTLSZ003033A22")</f>
        <v>MTLSZ003033A22</v>
      </c>
      <c r="I247" s="2">
        <f ca="1">IFERROR(__xludf.DUMMYFUNCTION("""COMPUTED_VALUE"""),44592)</f>
        <v>44592</v>
      </c>
      <c r="J247" s="2">
        <f ca="1">IFERROR(__xludf.DUMMYFUNCTION("""COMPUTED_VALUE"""),44956)</f>
        <v>44956</v>
      </c>
    </row>
    <row r="248" spans="1:10" x14ac:dyDescent="0.25">
      <c r="A248" s="1" t="str">
        <f ca="1">IFERROR(__xludf.DUMMYFUNCTION("""COMPUTED_VALUE"""),"Talentum TSE")</f>
        <v>Talentum TSE</v>
      </c>
      <c r="B248" s="1" t="str">
        <f ca="1">IFERROR(__xludf.DUMMYFUNCTION("""COMPUTED_VALUE"""),"Németh Ádám")</f>
        <v>Németh Ádám</v>
      </c>
      <c r="C248" s="1"/>
      <c r="D248" s="1" t="str">
        <f ca="1">IFERROR(__xludf.DUMMYFUNCTION("""COMPUTED_VALUE"""),"Férfi")</f>
        <v>Férfi</v>
      </c>
      <c r="E248" s="1"/>
      <c r="F248" s="1">
        <f ca="1">IFERROR(__xludf.DUMMYFUNCTION("""COMPUTED_VALUE"""),2008)</f>
        <v>2008</v>
      </c>
      <c r="G248" s="1">
        <f ca="1">IFERROR(__xludf.DUMMYFUNCTION("""COMPUTED_VALUE"""),3323)</f>
        <v>3323</v>
      </c>
      <c r="H248" s="1" t="str">
        <f ca="1">IFERROR(__xludf.DUMMYFUNCTION("""COMPUTED_VALUE"""),"MTLSZ003323A22")</f>
        <v>MTLSZ003323A22</v>
      </c>
      <c r="I248" s="2">
        <f ca="1">IFERROR(__xludf.DUMMYFUNCTION("""COMPUTED_VALUE"""),44592)</f>
        <v>44592</v>
      </c>
      <c r="J248" s="2">
        <f ca="1">IFERROR(__xludf.DUMMYFUNCTION("""COMPUTED_VALUE"""),44956)</f>
        <v>44956</v>
      </c>
    </row>
    <row r="249" spans="1:10" x14ac:dyDescent="0.25">
      <c r="A249" s="1" t="str">
        <f ca="1">IFERROR(__xludf.DUMMYFUNCTION("""COMPUTED_VALUE"""),"CET SE")</f>
        <v>CET SE</v>
      </c>
      <c r="B249" s="1" t="str">
        <f ca="1">IFERROR(__xludf.DUMMYFUNCTION("""COMPUTED_VALUE"""),"Tóth-Kuthy Kinga")</f>
        <v>Tóth-Kuthy Kinga</v>
      </c>
      <c r="C249" s="1"/>
      <c r="D249" s="1" t="str">
        <f ca="1">IFERROR(__xludf.DUMMYFUNCTION("""COMPUTED_VALUE"""),"Nő")</f>
        <v>Nő</v>
      </c>
      <c r="E249" s="1"/>
      <c r="F249" s="1">
        <f ca="1">IFERROR(__xludf.DUMMYFUNCTION("""COMPUTED_VALUE"""),2007)</f>
        <v>2007</v>
      </c>
      <c r="G249" s="1">
        <f ca="1">IFERROR(__xludf.DUMMYFUNCTION("""COMPUTED_VALUE"""),3282)</f>
        <v>3282</v>
      </c>
      <c r="H249" s="1" t="str">
        <f ca="1">IFERROR(__xludf.DUMMYFUNCTION("""COMPUTED_VALUE"""),"MTLSZ003282A22")</f>
        <v>MTLSZ003282A22</v>
      </c>
      <c r="I249" s="2">
        <f ca="1">IFERROR(__xludf.DUMMYFUNCTION("""COMPUTED_VALUE"""),44589)</f>
        <v>44589</v>
      </c>
      <c r="J249" s="2">
        <f ca="1">IFERROR(__xludf.DUMMYFUNCTION("""COMPUTED_VALUE"""),44953)</f>
        <v>44953</v>
      </c>
    </row>
    <row r="250" spans="1:10" x14ac:dyDescent="0.25">
      <c r="A250" s="1" t="str">
        <f ca="1">IFERROR(__xludf.DUMMYFUNCTION("""COMPUTED_VALUE"""),"Multi Alarm SE")</f>
        <v>Multi Alarm SE</v>
      </c>
      <c r="B250" s="1" t="str">
        <f ca="1">IFERROR(__xludf.DUMMYFUNCTION("""COMPUTED_VALUE"""),"Torba Katica Kincső")</f>
        <v>Torba Katica Kincső</v>
      </c>
      <c r="C250" s="1"/>
      <c r="D250" s="1" t="str">
        <f ca="1">IFERROR(__xludf.DUMMYFUNCTION("""COMPUTED_VALUE"""),"Nő")</f>
        <v>Nő</v>
      </c>
      <c r="E250" s="1"/>
      <c r="F250" s="1">
        <f ca="1">IFERROR(__xludf.DUMMYFUNCTION("""COMPUTED_VALUE"""),2005)</f>
        <v>2005</v>
      </c>
      <c r="G250" s="1">
        <f ca="1">IFERROR(__xludf.DUMMYFUNCTION("""COMPUTED_VALUE"""),2794)</f>
        <v>2794</v>
      </c>
      <c r="H250" s="1" t="str">
        <f ca="1">IFERROR(__xludf.DUMMYFUNCTION("""COMPUTED_VALUE"""),"MTLSZ002794A22")</f>
        <v>MTLSZ002794A22</v>
      </c>
      <c r="I250" s="2">
        <f ca="1">IFERROR(__xludf.DUMMYFUNCTION("""COMPUTED_VALUE"""),44589)</f>
        <v>44589</v>
      </c>
      <c r="J250" s="2">
        <f ca="1">IFERROR(__xludf.DUMMYFUNCTION("""COMPUTED_VALUE"""),44953)</f>
        <v>44953</v>
      </c>
    </row>
    <row r="251" spans="1:10" x14ac:dyDescent="0.25">
      <c r="A251" s="1" t="str">
        <f ca="1">IFERROR(__xludf.DUMMYFUNCTION("""COMPUTED_VALUE"""),"Seregélyesi PDSE")</f>
        <v>Seregélyesi PDSE</v>
      </c>
      <c r="B251" s="1" t="str">
        <f ca="1">IFERROR(__xludf.DUMMYFUNCTION("""COMPUTED_VALUE"""),"Gergely Dávid")</f>
        <v>Gergely Dávid</v>
      </c>
      <c r="C251" s="1"/>
      <c r="D251" s="1" t="str">
        <f ca="1">IFERROR(__xludf.DUMMYFUNCTION("""COMPUTED_VALUE"""),"Férfi")</f>
        <v>Férfi</v>
      </c>
      <c r="E251" s="1"/>
      <c r="F251" s="1">
        <f ca="1">IFERROR(__xludf.DUMMYFUNCTION("""COMPUTED_VALUE"""),2012)</f>
        <v>2012</v>
      </c>
      <c r="G251" s="1">
        <f ca="1">IFERROR(__xludf.DUMMYFUNCTION("""COMPUTED_VALUE"""),4764)</f>
        <v>4764</v>
      </c>
      <c r="H251" s="1" t="str">
        <f ca="1">IFERROR(__xludf.DUMMYFUNCTION("""COMPUTED_VALUE"""),"MTLSZ004764A22")</f>
        <v>MTLSZ004764A22</v>
      </c>
      <c r="I251" s="2">
        <f ca="1">IFERROR(__xludf.DUMMYFUNCTION("""COMPUTED_VALUE"""),44588)</f>
        <v>44588</v>
      </c>
      <c r="J251" s="2">
        <f ca="1">IFERROR(__xludf.DUMMYFUNCTION("""COMPUTED_VALUE"""),44952)</f>
        <v>44952</v>
      </c>
    </row>
    <row r="252" spans="1:10" x14ac:dyDescent="0.25">
      <c r="A252" s="1" t="str">
        <f ca="1">IFERROR(__xludf.DUMMYFUNCTION("""COMPUTED_VALUE"""),"Tollas Gólyák SE")</f>
        <v>Tollas Gólyák SE</v>
      </c>
      <c r="B252" s="1" t="str">
        <f ca="1">IFERROR(__xludf.DUMMYFUNCTION("""COMPUTED_VALUE"""),"Erdélyi Zoltán")</f>
        <v>Erdélyi Zoltán</v>
      </c>
      <c r="C252" s="1"/>
      <c r="D252" s="1" t="str">
        <f ca="1">IFERROR(__xludf.DUMMYFUNCTION("""COMPUTED_VALUE"""),"Férfi")</f>
        <v>Férfi</v>
      </c>
      <c r="E252" s="1"/>
      <c r="F252" s="1">
        <f ca="1">IFERROR(__xludf.DUMMYFUNCTION("""COMPUTED_VALUE"""),2011)</f>
        <v>2011</v>
      </c>
      <c r="G252" s="1">
        <f ca="1">IFERROR(__xludf.DUMMYFUNCTION("""COMPUTED_VALUE"""),4766)</f>
        <v>4766</v>
      </c>
      <c r="H252" s="1" t="str">
        <f ca="1">IFERROR(__xludf.DUMMYFUNCTION("""COMPUTED_VALUE"""),"MTLSZ004766A22")</f>
        <v>MTLSZ004766A22</v>
      </c>
      <c r="I252" s="2">
        <f ca="1">IFERROR(__xludf.DUMMYFUNCTION("""COMPUTED_VALUE"""),44588)</f>
        <v>44588</v>
      </c>
      <c r="J252" s="2">
        <f ca="1">IFERROR(__xludf.DUMMYFUNCTION("""COMPUTED_VALUE"""),44952)</f>
        <v>44952</v>
      </c>
    </row>
    <row r="253" spans="1:10" x14ac:dyDescent="0.25">
      <c r="A253" s="1" t="str">
        <f ca="1">IFERROR(__xludf.DUMMYFUNCTION("""COMPUTED_VALUE"""),"Tollas Gólyák SE")</f>
        <v>Tollas Gólyák SE</v>
      </c>
      <c r="B253" s="1" t="str">
        <f ca="1">IFERROR(__xludf.DUMMYFUNCTION("""COMPUTED_VALUE"""),"Varga Eszter")</f>
        <v>Varga Eszter</v>
      </c>
      <c r="C253" s="1"/>
      <c r="D253" s="1" t="str">
        <f ca="1">IFERROR(__xludf.DUMMYFUNCTION("""COMPUTED_VALUE"""),"Nő")</f>
        <v>Nő</v>
      </c>
      <c r="E253" s="1"/>
      <c r="F253" s="1">
        <f ca="1">IFERROR(__xludf.DUMMYFUNCTION("""COMPUTED_VALUE"""),2011)</f>
        <v>2011</v>
      </c>
      <c r="G253" s="1">
        <f ca="1">IFERROR(__xludf.DUMMYFUNCTION("""COMPUTED_VALUE"""),4765)</f>
        <v>4765</v>
      </c>
      <c r="H253" s="1" t="str">
        <f ca="1">IFERROR(__xludf.DUMMYFUNCTION("""COMPUTED_VALUE"""),"MTLSZ004765A22")</f>
        <v>MTLSZ004765A22</v>
      </c>
      <c r="I253" s="2">
        <f ca="1">IFERROR(__xludf.DUMMYFUNCTION("""COMPUTED_VALUE"""),44588)</f>
        <v>44588</v>
      </c>
      <c r="J253" s="2">
        <f ca="1">IFERROR(__xludf.DUMMYFUNCTION("""COMPUTED_VALUE"""),44952)</f>
        <v>44952</v>
      </c>
    </row>
    <row r="254" spans="1:10" x14ac:dyDescent="0.25">
      <c r="A254" s="1" t="str">
        <f ca="1">IFERROR(__xludf.DUMMYFUNCTION("""COMPUTED_VALUE"""),"Tollas Gólyák SE")</f>
        <v>Tollas Gólyák SE</v>
      </c>
      <c r="B254" s="1" t="str">
        <f ca="1">IFERROR(__xludf.DUMMYFUNCTION("""COMPUTED_VALUE"""),"Varga Máté")</f>
        <v>Varga Máté</v>
      </c>
      <c r="C254" s="1"/>
      <c r="D254" s="1" t="str">
        <f ca="1">IFERROR(__xludf.DUMMYFUNCTION("""COMPUTED_VALUE"""),"Férfi")</f>
        <v>Férfi</v>
      </c>
      <c r="E254" s="1"/>
      <c r="F254" s="1">
        <f ca="1">IFERROR(__xludf.DUMMYFUNCTION("""COMPUTED_VALUE"""),2011)</f>
        <v>2011</v>
      </c>
      <c r="G254" s="1">
        <f ca="1">IFERROR(__xludf.DUMMYFUNCTION("""COMPUTED_VALUE"""),4767)</f>
        <v>4767</v>
      </c>
      <c r="H254" s="1" t="str">
        <f ca="1">IFERROR(__xludf.DUMMYFUNCTION("""COMPUTED_VALUE"""),"MTLSZ004767A22")</f>
        <v>MTLSZ004767A22</v>
      </c>
      <c r="I254" s="2">
        <f ca="1">IFERROR(__xludf.DUMMYFUNCTION("""COMPUTED_VALUE"""),44588)</f>
        <v>44588</v>
      </c>
      <c r="J254" s="2">
        <f ca="1">IFERROR(__xludf.DUMMYFUNCTION("""COMPUTED_VALUE"""),44952)</f>
        <v>44952</v>
      </c>
    </row>
    <row r="255" spans="1:10" x14ac:dyDescent="0.25">
      <c r="A255" s="1" t="str">
        <f ca="1">IFERROR(__xludf.DUMMYFUNCTION("""COMPUTED_VALUE"""),"Multi Alarm SE")</f>
        <v>Multi Alarm SE</v>
      </c>
      <c r="B255" s="1" t="str">
        <f ca="1">IFERROR(__xludf.DUMMYFUNCTION("""COMPUTED_VALUE"""),"Lujber Barbara")</f>
        <v>Lujber Barbara</v>
      </c>
      <c r="C255" s="1"/>
      <c r="D255" s="1" t="str">
        <f ca="1">IFERROR(__xludf.DUMMYFUNCTION("""COMPUTED_VALUE"""),"Nő")</f>
        <v>Nő</v>
      </c>
      <c r="E255" s="1"/>
      <c r="F255" s="1">
        <f ca="1">IFERROR(__xludf.DUMMYFUNCTION("""COMPUTED_VALUE"""),2012)</f>
        <v>2012</v>
      </c>
      <c r="G255" s="1">
        <f ca="1">IFERROR(__xludf.DUMMYFUNCTION("""COMPUTED_VALUE"""),3924)</f>
        <v>3924</v>
      </c>
      <c r="H255" s="1" t="str">
        <f ca="1">IFERROR(__xludf.DUMMYFUNCTION("""COMPUTED_VALUE"""),"MTLSZ003924A22")</f>
        <v>MTLSZ003924A22</v>
      </c>
      <c r="I255" s="2">
        <f ca="1">IFERROR(__xludf.DUMMYFUNCTION("""COMPUTED_VALUE"""),44587)</f>
        <v>44587</v>
      </c>
      <c r="J255" s="2">
        <f ca="1">IFERROR(__xludf.DUMMYFUNCTION("""COMPUTED_VALUE"""),44951)</f>
        <v>44951</v>
      </c>
    </row>
    <row r="256" spans="1:10" x14ac:dyDescent="0.25">
      <c r="A256" s="1" t="str">
        <f ca="1">IFERROR(__xludf.DUMMYFUNCTION("""COMPUTED_VALUE"""),"Életmód SE")</f>
        <v>Életmód SE</v>
      </c>
      <c r="B256" s="1" t="str">
        <f ca="1">IFERROR(__xludf.DUMMYFUNCTION("""COMPUTED_VALUE"""),"Revák Péter")</f>
        <v>Revák Péter</v>
      </c>
      <c r="C256" s="1"/>
      <c r="D256" s="1" t="str">
        <f ca="1">IFERROR(__xludf.DUMMYFUNCTION("""COMPUTED_VALUE"""),"Férfi")</f>
        <v>Férfi</v>
      </c>
      <c r="E256" s="1"/>
      <c r="F256" s="1">
        <f ca="1">IFERROR(__xludf.DUMMYFUNCTION("""COMPUTED_VALUE"""),1992)</f>
        <v>1992</v>
      </c>
      <c r="G256" s="1">
        <f ca="1">IFERROR(__xludf.DUMMYFUNCTION("""COMPUTED_VALUE"""),3496)</f>
        <v>3496</v>
      </c>
      <c r="H256" s="1" t="str">
        <f ca="1">IFERROR(__xludf.DUMMYFUNCTION("""COMPUTED_VALUE"""),"MTLSZ003496A22")</f>
        <v>MTLSZ003496A22</v>
      </c>
      <c r="I256" s="2">
        <f ca="1">IFERROR(__xludf.DUMMYFUNCTION("""COMPUTED_VALUE"""),44585)</f>
        <v>44585</v>
      </c>
      <c r="J256" s="2">
        <f ca="1">IFERROR(__xludf.DUMMYFUNCTION("""COMPUTED_VALUE"""),44949)</f>
        <v>44949</v>
      </c>
    </row>
    <row r="257" spans="1:10" x14ac:dyDescent="0.25">
      <c r="A257" s="1" t="str">
        <f ca="1">IFERROR(__xludf.DUMMYFUNCTION("""COMPUTED_VALUE"""),"Zsámbéki SE")</f>
        <v>Zsámbéki SE</v>
      </c>
      <c r="B257" s="1" t="str">
        <f ca="1">IFERROR(__xludf.DUMMYFUNCTION("""COMPUTED_VALUE"""),"Bőhm Ákos")</f>
        <v>Bőhm Ákos</v>
      </c>
      <c r="C257" s="1"/>
      <c r="D257" s="1" t="str">
        <f ca="1">IFERROR(__xludf.DUMMYFUNCTION("""COMPUTED_VALUE"""),"Férfi")</f>
        <v>Férfi</v>
      </c>
      <c r="E257" s="1"/>
      <c r="F257" s="1">
        <f ca="1">IFERROR(__xludf.DUMMYFUNCTION("""COMPUTED_VALUE"""),2002)</f>
        <v>2002</v>
      </c>
      <c r="G257" s="1">
        <f ca="1">IFERROR(__xludf.DUMMYFUNCTION("""COMPUTED_VALUE"""),2494)</f>
        <v>2494</v>
      </c>
      <c r="H257" s="1" t="str">
        <f ca="1">IFERROR(__xludf.DUMMYFUNCTION("""COMPUTED_VALUE"""),"MTLSZ002494A22")</f>
        <v>MTLSZ002494A22</v>
      </c>
      <c r="I257" s="2">
        <f ca="1">IFERROR(__xludf.DUMMYFUNCTION("""COMPUTED_VALUE"""),44582)</f>
        <v>44582</v>
      </c>
      <c r="J257" s="2">
        <f ca="1">IFERROR(__xludf.DUMMYFUNCTION("""COMPUTED_VALUE"""),44946)</f>
        <v>44946</v>
      </c>
    </row>
    <row r="258" spans="1:10" x14ac:dyDescent="0.25">
      <c r="A258" s="1" t="str">
        <f ca="1">IFERROR(__xludf.DUMMYFUNCTION("""COMPUTED_VALUE"""),"Zsámbéki SE")</f>
        <v>Zsámbéki SE</v>
      </c>
      <c r="B258" s="1"/>
      <c r="C258" s="1"/>
      <c r="D258" s="1"/>
      <c r="E258" s="1"/>
      <c r="F258" s="1">
        <f ca="1">IFERROR(__xludf.DUMMYFUNCTION("""COMPUTED_VALUE"""),1899)</f>
        <v>1899</v>
      </c>
      <c r="G258" s="1">
        <f ca="1">IFERROR(__xludf.DUMMYFUNCTION("""COMPUTED_VALUE"""),4763)</f>
        <v>4763</v>
      </c>
      <c r="H258" s="1"/>
      <c r="I258" s="2">
        <f ca="1">IFERROR(__xludf.DUMMYFUNCTION("""COMPUTED_VALUE"""),44582)</f>
        <v>44582</v>
      </c>
      <c r="J258" s="2">
        <f ca="1">IFERROR(__xludf.DUMMYFUNCTION("""COMPUTED_VALUE"""),44946)</f>
        <v>44946</v>
      </c>
    </row>
    <row r="259" spans="1:10" x14ac:dyDescent="0.25">
      <c r="A259" s="1" t="str">
        <f ca="1">IFERROR(__xludf.DUMMYFUNCTION("""COMPUTED_VALUE"""),"Újpest TSE")</f>
        <v>Újpest TSE</v>
      </c>
      <c r="B259" s="1" t="str">
        <f ca="1">IFERROR(__xludf.DUMMYFUNCTION("""COMPUTED_VALUE"""),"Hajdinák Vanda")</f>
        <v>Hajdinák Vanda</v>
      </c>
      <c r="C259" s="1"/>
      <c r="D259" s="1" t="str">
        <f ca="1">IFERROR(__xludf.DUMMYFUNCTION("""COMPUTED_VALUE"""),"Nő")</f>
        <v>Nő</v>
      </c>
      <c r="E259" s="1"/>
      <c r="F259" s="1">
        <f ca="1">IFERROR(__xludf.DUMMYFUNCTION("""COMPUTED_VALUE"""),1993)</f>
        <v>1993</v>
      </c>
      <c r="G259" s="1">
        <f ca="1">IFERROR(__xludf.DUMMYFUNCTION("""COMPUTED_VALUE"""),1397)</f>
        <v>1397</v>
      </c>
      <c r="H259" s="1" t="str">
        <f ca="1">IFERROR(__xludf.DUMMYFUNCTION("""COMPUTED_VALUE"""),"MTLSZ001397A22")</f>
        <v>MTLSZ001397A22</v>
      </c>
      <c r="I259" s="2">
        <f ca="1">IFERROR(__xludf.DUMMYFUNCTION("""COMPUTED_VALUE"""),44579)</f>
        <v>44579</v>
      </c>
      <c r="J259" s="2">
        <f ca="1">IFERROR(__xludf.DUMMYFUNCTION("""COMPUTED_VALUE"""),44943)</f>
        <v>44943</v>
      </c>
    </row>
    <row r="260" spans="1:10" x14ac:dyDescent="0.25">
      <c r="A260" s="1" t="str">
        <f ca="1">IFERROR(__xludf.DUMMYFUNCTION("""COMPUTED_VALUE"""),"CET SE")</f>
        <v>CET SE</v>
      </c>
      <c r="B260" s="1" t="str">
        <f ca="1">IFERROR(__xludf.DUMMYFUNCTION("""COMPUTED_VALUE"""),"Sedró Kornél")</f>
        <v>Sedró Kornél</v>
      </c>
      <c r="C260" s="1"/>
      <c r="D260" s="1" t="str">
        <f ca="1">IFERROR(__xludf.DUMMYFUNCTION("""COMPUTED_VALUE"""),"Férfi")</f>
        <v>Férfi</v>
      </c>
      <c r="E260" s="1"/>
      <c r="F260" s="1">
        <f ca="1">IFERROR(__xludf.DUMMYFUNCTION("""COMPUTED_VALUE"""),2006)</f>
        <v>2006</v>
      </c>
      <c r="G260" s="1">
        <f ca="1">IFERROR(__xludf.DUMMYFUNCTION("""COMPUTED_VALUE"""),2744)</f>
        <v>2744</v>
      </c>
      <c r="H260" s="1" t="str">
        <f ca="1">IFERROR(__xludf.DUMMYFUNCTION("""COMPUTED_VALUE"""),"MTLSZ002744A22")</f>
        <v>MTLSZ002744A22</v>
      </c>
      <c r="I260" s="2">
        <f ca="1">IFERROR(__xludf.DUMMYFUNCTION("""COMPUTED_VALUE"""),44578)</f>
        <v>44578</v>
      </c>
      <c r="J260" s="2">
        <f ca="1">IFERROR(__xludf.DUMMYFUNCTION("""COMPUTED_VALUE"""),44942)</f>
        <v>44942</v>
      </c>
    </row>
    <row r="261" spans="1:10" x14ac:dyDescent="0.25">
      <c r="A261" s="1" t="str">
        <f ca="1">IFERROR(__xludf.DUMMYFUNCTION("""COMPUTED_VALUE"""),"DSK")</f>
        <v>DSK</v>
      </c>
      <c r="B261" s="1" t="str">
        <f ca="1">IFERROR(__xludf.DUMMYFUNCTION("""COMPUTED_VALUE"""),"Sedró Krisztián")</f>
        <v>Sedró Krisztián</v>
      </c>
      <c r="C261" s="1"/>
      <c r="D261" s="1" t="str">
        <f ca="1">IFERROR(__xludf.DUMMYFUNCTION("""COMPUTED_VALUE"""),"Férfi")</f>
        <v>Férfi</v>
      </c>
      <c r="E261" s="1"/>
      <c r="F261" s="1">
        <f ca="1">IFERROR(__xludf.DUMMYFUNCTION("""COMPUTED_VALUE"""),1974)</f>
        <v>1974</v>
      </c>
      <c r="G261" s="1">
        <f ca="1">IFERROR(__xludf.DUMMYFUNCTION("""COMPUTED_VALUE"""),846)</f>
        <v>846</v>
      </c>
      <c r="H261" s="1" t="str">
        <f ca="1">IFERROR(__xludf.DUMMYFUNCTION("""COMPUTED_VALUE"""),"MTLSZ000846A22")</f>
        <v>MTLSZ000846A22</v>
      </c>
      <c r="I261" s="2">
        <f ca="1">IFERROR(__xludf.DUMMYFUNCTION("""COMPUTED_VALUE"""),44578)</f>
        <v>44578</v>
      </c>
      <c r="J261" s="2">
        <f ca="1">IFERROR(__xludf.DUMMYFUNCTION("""COMPUTED_VALUE"""),44942)</f>
        <v>44942</v>
      </c>
    </row>
    <row r="262" spans="1:10" x14ac:dyDescent="0.25">
      <c r="A262" s="1" t="str">
        <f ca="1">IFERROR(__xludf.DUMMYFUNCTION("""COMPUTED_VALUE"""),"Életmód SE")</f>
        <v>Életmód SE</v>
      </c>
      <c r="B262" s="1" t="str">
        <f ca="1">IFERROR(__xludf.DUMMYFUNCTION("""COMPUTED_VALUE"""),"Bálint Bekény")</f>
        <v>Bálint Bekény</v>
      </c>
      <c r="C262" s="1"/>
      <c r="D262" s="1" t="str">
        <f ca="1">IFERROR(__xludf.DUMMYFUNCTION("""COMPUTED_VALUE"""),"Férfi")</f>
        <v>Férfi</v>
      </c>
      <c r="E262" s="1"/>
      <c r="F262" s="1">
        <f ca="1">IFERROR(__xludf.DUMMYFUNCTION("""COMPUTED_VALUE"""),1982)</f>
        <v>1982</v>
      </c>
      <c r="G262" s="1">
        <f ca="1">IFERROR(__xludf.DUMMYFUNCTION("""COMPUTED_VALUE"""),3029)</f>
        <v>3029</v>
      </c>
      <c r="H262" s="1" t="str">
        <f ca="1">IFERROR(__xludf.DUMMYFUNCTION("""COMPUTED_VALUE"""),"MTLSZ003029A22")</f>
        <v>MTLSZ003029A22</v>
      </c>
      <c r="I262" s="2">
        <f ca="1">IFERROR(__xludf.DUMMYFUNCTION("""COMPUTED_VALUE"""),44578)</f>
        <v>44578</v>
      </c>
      <c r="J262" s="2">
        <f ca="1">IFERROR(__xludf.DUMMYFUNCTION("""COMPUTED_VALUE"""),44942)</f>
        <v>44942</v>
      </c>
    </row>
    <row r="263" spans="1:10" x14ac:dyDescent="0.25">
      <c r="A263" s="1" t="str">
        <f ca="1">IFERROR(__xludf.DUMMYFUNCTION("""COMPUTED_VALUE"""),"Életmód SE")</f>
        <v>Életmód SE</v>
      </c>
      <c r="B263" s="1" t="str">
        <f ca="1">IFERROR(__xludf.DUMMYFUNCTION("""COMPUTED_VALUE"""),"Szatmári Tamás id.")</f>
        <v>Szatmári Tamás id.</v>
      </c>
      <c r="C263" s="1"/>
      <c r="D263" s="1" t="str">
        <f ca="1">IFERROR(__xludf.DUMMYFUNCTION("""COMPUTED_VALUE"""),"Férfi")</f>
        <v>Férfi</v>
      </c>
      <c r="E263" s="1"/>
      <c r="F263" s="1">
        <f ca="1">IFERROR(__xludf.DUMMYFUNCTION("""COMPUTED_VALUE"""),1980)</f>
        <v>1980</v>
      </c>
      <c r="G263" s="1">
        <f ca="1">IFERROR(__xludf.DUMMYFUNCTION("""COMPUTED_VALUE"""),3443)</f>
        <v>3443</v>
      </c>
      <c r="H263" s="1" t="str">
        <f ca="1">IFERROR(__xludf.DUMMYFUNCTION("""COMPUTED_VALUE"""),"MTLSZ003443A22")</f>
        <v>MTLSZ003443A22</v>
      </c>
      <c r="I263" s="2">
        <f ca="1">IFERROR(__xludf.DUMMYFUNCTION("""COMPUTED_VALUE"""),44578)</f>
        <v>44578</v>
      </c>
      <c r="J263" s="2">
        <f ca="1">IFERROR(__xludf.DUMMYFUNCTION("""COMPUTED_VALUE"""),44942)</f>
        <v>44942</v>
      </c>
    </row>
    <row r="264" spans="1:10" x14ac:dyDescent="0.25">
      <c r="A264" s="1" t="str">
        <f ca="1">IFERROR(__xludf.DUMMYFUNCTION("""COMPUTED_VALUE"""),"OSC")</f>
        <v>OSC</v>
      </c>
      <c r="B264" s="1" t="str">
        <f ca="1">IFERROR(__xludf.DUMMYFUNCTION("""COMPUTED_VALUE"""),"Sedró Kristóf")</f>
        <v>Sedró Kristóf</v>
      </c>
      <c r="C264" s="1"/>
      <c r="D264" s="1" t="str">
        <f ca="1">IFERROR(__xludf.DUMMYFUNCTION("""COMPUTED_VALUE"""),"Férfi")</f>
        <v>Férfi</v>
      </c>
      <c r="E264" s="1"/>
      <c r="F264" s="1">
        <f ca="1">IFERROR(__xludf.DUMMYFUNCTION("""COMPUTED_VALUE"""),2000)</f>
        <v>2000</v>
      </c>
      <c r="G264" s="1">
        <f ca="1">IFERROR(__xludf.DUMMYFUNCTION("""COMPUTED_VALUE"""),2499)</f>
        <v>2499</v>
      </c>
      <c r="H264" s="1" t="str">
        <f ca="1">IFERROR(__xludf.DUMMYFUNCTION("""COMPUTED_VALUE"""),"MTLSZ002499A22")</f>
        <v>MTLSZ002499A22</v>
      </c>
      <c r="I264" s="2">
        <f ca="1">IFERROR(__xludf.DUMMYFUNCTION("""COMPUTED_VALUE"""),44578)</f>
        <v>44578</v>
      </c>
      <c r="J264" s="2">
        <f ca="1">IFERROR(__xludf.DUMMYFUNCTION("""COMPUTED_VALUE"""),44942)</f>
        <v>44942</v>
      </c>
    </row>
    <row r="265" spans="1:10" x14ac:dyDescent="0.25">
      <c r="A265" s="1" t="str">
        <f ca="1">IFERROR(__xludf.DUMMYFUNCTION("""COMPUTED_VALUE"""),"Tisza TSE")</f>
        <v>Tisza TSE</v>
      </c>
      <c r="B265" s="1" t="str">
        <f ca="1">IFERROR(__xludf.DUMMYFUNCTION("""COMPUTED_VALUE"""),"Muhari Márton")</f>
        <v>Muhari Márton</v>
      </c>
      <c r="C265" s="1"/>
      <c r="D265" s="1" t="str">
        <f ca="1">IFERROR(__xludf.DUMMYFUNCTION("""COMPUTED_VALUE"""),"Férfi")</f>
        <v>Férfi</v>
      </c>
      <c r="E265" s="1"/>
      <c r="F265" s="1">
        <f ca="1">IFERROR(__xludf.DUMMYFUNCTION("""COMPUTED_VALUE"""),2004)</f>
        <v>2004</v>
      </c>
      <c r="G265" s="1">
        <f ca="1">IFERROR(__xludf.DUMMYFUNCTION("""COMPUTED_VALUE"""),3132)</f>
        <v>3132</v>
      </c>
      <c r="H265" s="1" t="str">
        <f ca="1">IFERROR(__xludf.DUMMYFUNCTION("""COMPUTED_VALUE"""),"MTLSZ003132A22")</f>
        <v>MTLSZ003132A22</v>
      </c>
      <c r="I265" s="2">
        <f ca="1">IFERROR(__xludf.DUMMYFUNCTION("""COMPUTED_VALUE"""),44578)</f>
        <v>44578</v>
      </c>
      <c r="J265" s="2">
        <f ca="1">IFERROR(__xludf.DUMMYFUNCTION("""COMPUTED_VALUE"""),44942)</f>
        <v>44942</v>
      </c>
    </row>
    <row r="266" spans="1:10" x14ac:dyDescent="0.25">
      <c r="A266" s="1" t="str">
        <f ca="1">IFERROR(__xludf.DUMMYFUNCTION("""COMPUTED_VALUE"""),"T(r)ollas SE")</f>
        <v>T(r)ollas SE</v>
      </c>
      <c r="B266" s="1" t="str">
        <f ca="1">IFERROR(__xludf.DUMMYFUNCTION("""COMPUTED_VALUE"""),"Rácz Detti")</f>
        <v>Rácz Detti</v>
      </c>
      <c r="C266" s="1"/>
      <c r="D266" s="1" t="str">
        <f ca="1">IFERROR(__xludf.DUMMYFUNCTION("""COMPUTED_VALUE"""),"Nő")</f>
        <v>Nő</v>
      </c>
      <c r="E266" s="1"/>
      <c r="F266" s="1">
        <f ca="1">IFERROR(__xludf.DUMMYFUNCTION("""COMPUTED_VALUE"""),1979)</f>
        <v>1979</v>
      </c>
      <c r="G266" s="1">
        <f ca="1">IFERROR(__xludf.DUMMYFUNCTION("""COMPUTED_VALUE"""),3357)</f>
        <v>3357</v>
      </c>
      <c r="H266" s="1" t="str">
        <f ca="1">IFERROR(__xludf.DUMMYFUNCTION("""COMPUTED_VALUE"""),"MTLSZ003357A22")</f>
        <v>MTLSZ003357A22</v>
      </c>
      <c r="I266" s="2">
        <f ca="1">IFERROR(__xludf.DUMMYFUNCTION("""COMPUTED_VALUE"""),44578)</f>
        <v>44578</v>
      </c>
      <c r="J266" s="2">
        <f ca="1">IFERROR(__xludf.DUMMYFUNCTION("""COMPUTED_VALUE"""),44942)</f>
        <v>44942</v>
      </c>
    </row>
    <row r="267" spans="1:10" x14ac:dyDescent="0.25">
      <c r="A267" s="1" t="str">
        <f ca="1">IFERROR(__xludf.DUMMYFUNCTION("""COMPUTED_VALUE"""),"T(r)ollas SE")</f>
        <v>T(r)ollas SE</v>
      </c>
      <c r="B267" s="1" t="str">
        <f ca="1">IFERROR(__xludf.DUMMYFUNCTION("""COMPUTED_VALUE"""),"Takács Miklós Zoltán")</f>
        <v>Takács Miklós Zoltán</v>
      </c>
      <c r="C267" s="1"/>
      <c r="D267" s="1" t="str">
        <f ca="1">IFERROR(__xludf.DUMMYFUNCTION("""COMPUTED_VALUE"""),"Férfi")</f>
        <v>Férfi</v>
      </c>
      <c r="E267" s="1"/>
      <c r="F267" s="1">
        <f ca="1">IFERROR(__xludf.DUMMYFUNCTION("""COMPUTED_VALUE"""),1968)</f>
        <v>1968</v>
      </c>
      <c r="G267" s="1">
        <f ca="1">IFERROR(__xludf.DUMMYFUNCTION("""COMPUTED_VALUE"""),3295)</f>
        <v>3295</v>
      </c>
      <c r="H267" s="1" t="str">
        <f ca="1">IFERROR(__xludf.DUMMYFUNCTION("""COMPUTED_VALUE"""),"MTLSZ003295A22")</f>
        <v>MTLSZ003295A22</v>
      </c>
      <c r="I267" s="2">
        <f ca="1">IFERROR(__xludf.DUMMYFUNCTION("""COMPUTED_VALUE"""),44578)</f>
        <v>44578</v>
      </c>
      <c r="J267" s="2">
        <f ca="1">IFERROR(__xludf.DUMMYFUNCTION("""COMPUTED_VALUE"""),44942)</f>
        <v>44942</v>
      </c>
    </row>
    <row r="268" spans="1:10" x14ac:dyDescent="0.25">
      <c r="A268" s="1" t="str">
        <f ca="1">IFERROR(__xludf.DUMMYFUNCTION("""COMPUTED_VALUE"""),"Danubius KSE")</f>
        <v>Danubius KSE</v>
      </c>
      <c r="B268" s="1" t="str">
        <f ca="1">IFERROR(__xludf.DUMMYFUNCTION("""COMPUTED_VALUE"""),"Borbély Hanna")</f>
        <v>Borbély Hanna</v>
      </c>
      <c r="C268" s="1"/>
      <c r="D268" s="1" t="str">
        <f ca="1">IFERROR(__xludf.DUMMYFUNCTION("""COMPUTED_VALUE"""),"Nő")</f>
        <v>Nő</v>
      </c>
      <c r="E268" s="1"/>
      <c r="F268" s="1">
        <f ca="1">IFERROR(__xludf.DUMMYFUNCTION("""COMPUTED_VALUE"""),2004)</f>
        <v>2004</v>
      </c>
      <c r="G268" s="1">
        <f ca="1">IFERROR(__xludf.DUMMYFUNCTION("""COMPUTED_VALUE"""),2616)</f>
        <v>2616</v>
      </c>
      <c r="H268" s="1" t="str">
        <f ca="1">IFERROR(__xludf.DUMMYFUNCTION("""COMPUTED_VALUE"""),"MTLSZ002616A22")</f>
        <v>MTLSZ002616A22</v>
      </c>
      <c r="I268" s="2">
        <f ca="1">IFERROR(__xludf.DUMMYFUNCTION("""COMPUTED_VALUE"""),44577)</f>
        <v>44577</v>
      </c>
      <c r="J268" s="2">
        <f ca="1">IFERROR(__xludf.DUMMYFUNCTION("""COMPUTED_VALUE"""),44941)</f>
        <v>44941</v>
      </c>
    </row>
    <row r="269" spans="1:10" x14ac:dyDescent="0.25">
      <c r="A269" s="1" t="str">
        <f ca="1">IFERROR(__xludf.DUMMYFUNCTION("""COMPUTED_VALUE"""),"Danubius KSE")</f>
        <v>Danubius KSE</v>
      </c>
      <c r="B269" s="1" t="str">
        <f ca="1">IFERROR(__xludf.DUMMYFUNCTION("""COMPUTED_VALUE"""),"Jakab János")</f>
        <v>Jakab János</v>
      </c>
      <c r="C269" s="1"/>
      <c r="D269" s="1" t="str">
        <f ca="1">IFERROR(__xludf.DUMMYFUNCTION("""COMPUTED_VALUE"""),"Férfi")</f>
        <v>Férfi</v>
      </c>
      <c r="E269" s="1"/>
      <c r="F269" s="1">
        <f ca="1">IFERROR(__xludf.DUMMYFUNCTION("""COMPUTED_VALUE"""),1961)</f>
        <v>1961</v>
      </c>
      <c r="G269" s="1">
        <f ca="1">IFERROR(__xludf.DUMMYFUNCTION("""COMPUTED_VALUE"""),1615)</f>
        <v>1615</v>
      </c>
      <c r="H269" s="1" t="str">
        <f ca="1">IFERROR(__xludf.DUMMYFUNCTION("""COMPUTED_VALUE"""),"MTLSZ001615A22")</f>
        <v>MTLSZ001615A22</v>
      </c>
      <c r="I269" s="2">
        <f ca="1">IFERROR(__xludf.DUMMYFUNCTION("""COMPUTED_VALUE"""),44577)</f>
        <v>44577</v>
      </c>
      <c r="J269" s="2">
        <f ca="1">IFERROR(__xludf.DUMMYFUNCTION("""COMPUTED_VALUE"""),44941)</f>
        <v>44941</v>
      </c>
    </row>
    <row r="270" spans="1:10" x14ac:dyDescent="0.25">
      <c r="A270" s="1" t="str">
        <f ca="1">IFERROR(__xludf.DUMMYFUNCTION("""COMPUTED_VALUE"""),"Danubius KSE")</f>
        <v>Danubius KSE</v>
      </c>
      <c r="B270" s="1" t="str">
        <f ca="1">IFERROR(__xludf.DUMMYFUNCTION("""COMPUTED_VALUE"""),"Korom Ádám")</f>
        <v>Korom Ádám</v>
      </c>
      <c r="C270" s="1"/>
      <c r="D270" s="1" t="str">
        <f ca="1">IFERROR(__xludf.DUMMYFUNCTION("""COMPUTED_VALUE"""),"Férfi")</f>
        <v>Férfi</v>
      </c>
      <c r="E270" s="1"/>
      <c r="F270" s="1">
        <f ca="1">IFERROR(__xludf.DUMMYFUNCTION("""COMPUTED_VALUE"""),1995)</f>
        <v>1995</v>
      </c>
      <c r="G270" s="1">
        <f ca="1">IFERROR(__xludf.DUMMYFUNCTION("""COMPUTED_VALUE"""),1757)</f>
        <v>1757</v>
      </c>
      <c r="H270" s="1" t="str">
        <f ca="1">IFERROR(__xludf.DUMMYFUNCTION("""COMPUTED_VALUE"""),"MTLSZ001757A22")</f>
        <v>MTLSZ001757A22</v>
      </c>
      <c r="I270" s="2">
        <f ca="1">IFERROR(__xludf.DUMMYFUNCTION("""COMPUTED_VALUE"""),44577)</f>
        <v>44577</v>
      </c>
      <c r="J270" s="2">
        <f ca="1">IFERROR(__xludf.DUMMYFUNCTION("""COMPUTED_VALUE"""),44941)</f>
        <v>44941</v>
      </c>
    </row>
    <row r="271" spans="1:10" x14ac:dyDescent="0.25">
      <c r="A271" s="1" t="str">
        <f ca="1">IFERROR(__xludf.DUMMYFUNCTION("""COMPUTED_VALUE"""),"Danubius KSE")</f>
        <v>Danubius KSE</v>
      </c>
      <c r="B271" s="1" t="str">
        <f ca="1">IFERROR(__xludf.DUMMYFUNCTION("""COMPUTED_VALUE"""),"Pintér Gergő")</f>
        <v>Pintér Gergő</v>
      </c>
      <c r="C271" s="1"/>
      <c r="D271" s="1" t="str">
        <f ca="1">IFERROR(__xludf.DUMMYFUNCTION("""COMPUTED_VALUE"""),"Férfi")</f>
        <v>Férfi</v>
      </c>
      <c r="E271" s="1"/>
      <c r="F271" s="1">
        <f ca="1">IFERROR(__xludf.DUMMYFUNCTION("""COMPUTED_VALUE"""),2000)</f>
        <v>2000</v>
      </c>
      <c r="G271" s="1">
        <f ca="1">IFERROR(__xludf.DUMMYFUNCTION("""COMPUTED_VALUE"""),2421)</f>
        <v>2421</v>
      </c>
      <c r="H271" s="1" t="str">
        <f ca="1">IFERROR(__xludf.DUMMYFUNCTION("""COMPUTED_VALUE"""),"MTLSZ002421A22")</f>
        <v>MTLSZ002421A22</v>
      </c>
      <c r="I271" s="2">
        <f ca="1">IFERROR(__xludf.DUMMYFUNCTION("""COMPUTED_VALUE"""),44577)</f>
        <v>44577</v>
      </c>
      <c r="J271" s="2">
        <f ca="1">IFERROR(__xludf.DUMMYFUNCTION("""COMPUTED_VALUE"""),44941)</f>
        <v>44941</v>
      </c>
    </row>
    <row r="272" spans="1:10" x14ac:dyDescent="0.25">
      <c r="A272" s="1" t="str">
        <f ca="1">IFERROR(__xludf.DUMMYFUNCTION("""COMPUTED_VALUE"""),"Danubius KSE")</f>
        <v>Danubius KSE</v>
      </c>
      <c r="B272" s="1" t="str">
        <f ca="1">IFERROR(__xludf.DUMMYFUNCTION("""COMPUTED_VALUE"""),"Varga Gabriella")</f>
        <v>Varga Gabriella</v>
      </c>
      <c r="C272" s="1"/>
      <c r="D272" s="1" t="str">
        <f ca="1">IFERROR(__xludf.DUMMYFUNCTION("""COMPUTED_VALUE"""),"Nő")</f>
        <v>Nő</v>
      </c>
      <c r="E272" s="1"/>
      <c r="F272" s="1">
        <f ca="1">IFERROR(__xludf.DUMMYFUNCTION("""COMPUTED_VALUE"""),1966)</f>
        <v>1966</v>
      </c>
      <c r="G272" s="1">
        <f ca="1">IFERROR(__xludf.DUMMYFUNCTION("""COMPUTED_VALUE"""),1625)</f>
        <v>1625</v>
      </c>
      <c r="H272" s="1" t="str">
        <f ca="1">IFERROR(__xludf.DUMMYFUNCTION("""COMPUTED_VALUE"""),"MTLSZ001625A22")</f>
        <v>MTLSZ001625A22</v>
      </c>
      <c r="I272" s="2">
        <f ca="1">IFERROR(__xludf.DUMMYFUNCTION("""COMPUTED_VALUE"""),44577)</f>
        <v>44577</v>
      </c>
      <c r="J272" s="2">
        <f ca="1">IFERROR(__xludf.DUMMYFUNCTION("""COMPUTED_VALUE"""),44941)</f>
        <v>44941</v>
      </c>
    </row>
    <row r="273" spans="1:10" x14ac:dyDescent="0.25">
      <c r="A273" s="1" t="str">
        <f ca="1">IFERROR(__xludf.DUMMYFUNCTION("""COMPUTED_VALUE"""),"Seregélyesi PDSE")</f>
        <v>Seregélyesi PDSE</v>
      </c>
      <c r="B273" s="1" t="str">
        <f ca="1">IFERROR(__xludf.DUMMYFUNCTION("""COMPUTED_VALUE"""),"Fekete Gábor")</f>
        <v>Fekete Gábor</v>
      </c>
      <c r="C273" s="1"/>
      <c r="D273" s="1" t="str">
        <f ca="1">IFERROR(__xludf.DUMMYFUNCTION("""COMPUTED_VALUE"""),"Férfi")</f>
        <v>Férfi</v>
      </c>
      <c r="E273" s="1"/>
      <c r="F273" s="1">
        <f ca="1">IFERROR(__xludf.DUMMYFUNCTION("""COMPUTED_VALUE"""),1994)</f>
        <v>1994</v>
      </c>
      <c r="G273" s="1">
        <f ca="1">IFERROR(__xludf.DUMMYFUNCTION("""COMPUTED_VALUE"""),1612)</f>
        <v>1612</v>
      </c>
      <c r="H273" s="1" t="str">
        <f ca="1">IFERROR(__xludf.DUMMYFUNCTION("""COMPUTED_VALUE"""),"MTLSZ001612A22")</f>
        <v>MTLSZ001612A22</v>
      </c>
      <c r="I273" s="2">
        <f ca="1">IFERROR(__xludf.DUMMYFUNCTION("""COMPUTED_VALUE"""),44577)</f>
        <v>44577</v>
      </c>
      <c r="J273" s="2">
        <f ca="1">IFERROR(__xludf.DUMMYFUNCTION("""COMPUTED_VALUE"""),44941)</f>
        <v>44941</v>
      </c>
    </row>
    <row r="274" spans="1:10" x14ac:dyDescent="0.25">
      <c r="A274" s="1" t="str">
        <f ca="1">IFERROR(__xludf.DUMMYFUNCTION("""COMPUTED_VALUE"""),"BEAC")</f>
        <v>BEAC</v>
      </c>
      <c r="B274" s="1" t="str">
        <f ca="1">IFERROR(__xludf.DUMMYFUNCTION("""COMPUTED_VALUE"""),"Ledő Sebestyén")</f>
        <v>Ledő Sebestyén</v>
      </c>
      <c r="C274" s="1"/>
      <c r="D274" s="1" t="str">
        <f ca="1">IFERROR(__xludf.DUMMYFUNCTION("""COMPUTED_VALUE"""),"Férfi")</f>
        <v>Férfi</v>
      </c>
      <c r="E274" s="1"/>
      <c r="F274" s="1">
        <f ca="1">IFERROR(__xludf.DUMMYFUNCTION("""COMPUTED_VALUE"""),2002)</f>
        <v>2002</v>
      </c>
      <c r="G274" s="1">
        <f ca="1">IFERROR(__xludf.DUMMYFUNCTION("""COMPUTED_VALUE"""),2833)</f>
        <v>2833</v>
      </c>
      <c r="H274" s="1" t="str">
        <f ca="1">IFERROR(__xludf.DUMMYFUNCTION("""COMPUTED_VALUE"""),"MTLSZ002833A22")</f>
        <v>MTLSZ002833A22</v>
      </c>
      <c r="I274" s="2">
        <f ca="1">IFERROR(__xludf.DUMMYFUNCTION("""COMPUTED_VALUE"""),44575)</f>
        <v>44575</v>
      </c>
      <c r="J274" s="2">
        <f ca="1">IFERROR(__xludf.DUMMYFUNCTION("""COMPUTED_VALUE"""),44939)</f>
        <v>44939</v>
      </c>
    </row>
    <row r="275" spans="1:10" x14ac:dyDescent="0.25">
      <c r="A275" s="1" t="str">
        <f ca="1">IFERROR(__xludf.DUMMYFUNCTION("""COMPUTED_VALUE"""),"Életmód SE")</f>
        <v>Életmód SE</v>
      </c>
      <c r="B275" s="1" t="str">
        <f ca="1">IFERROR(__xludf.DUMMYFUNCTION("""COMPUTED_VALUE"""),"Bimbó Petra")</f>
        <v>Bimbó Petra</v>
      </c>
      <c r="C275" s="1"/>
      <c r="D275" s="1" t="str">
        <f ca="1">IFERROR(__xludf.DUMMYFUNCTION("""COMPUTED_VALUE"""),"Nő")</f>
        <v>Nő</v>
      </c>
      <c r="E275" s="1"/>
      <c r="F275" s="1">
        <f ca="1">IFERROR(__xludf.DUMMYFUNCTION("""COMPUTED_VALUE"""),2006)</f>
        <v>2006</v>
      </c>
      <c r="G275" s="1">
        <f ca="1">IFERROR(__xludf.DUMMYFUNCTION("""COMPUTED_VALUE"""),3275)</f>
        <v>3275</v>
      </c>
      <c r="H275" s="1" t="str">
        <f ca="1">IFERROR(__xludf.DUMMYFUNCTION("""COMPUTED_VALUE"""),"MTLSZ003275A22")</f>
        <v>MTLSZ003275A22</v>
      </c>
      <c r="I275" s="2">
        <f ca="1">IFERROR(__xludf.DUMMYFUNCTION("""COMPUTED_VALUE"""),44575)</f>
        <v>44575</v>
      </c>
      <c r="J275" s="2">
        <f ca="1">IFERROR(__xludf.DUMMYFUNCTION("""COMPUTED_VALUE"""),44939)</f>
        <v>44939</v>
      </c>
    </row>
    <row r="276" spans="1:10" x14ac:dyDescent="0.25">
      <c r="A276" s="1" t="str">
        <f ca="1">IFERROR(__xludf.DUMMYFUNCTION("""COMPUTED_VALUE"""),"Életmód SE")</f>
        <v>Életmód SE</v>
      </c>
      <c r="B276" s="1" t="str">
        <f ca="1">IFERROR(__xludf.DUMMYFUNCTION("""COMPUTED_VALUE"""),"Szalkai Petra Kira")</f>
        <v>Szalkai Petra Kira</v>
      </c>
      <c r="C276" s="1"/>
      <c r="D276" s="1" t="str">
        <f ca="1">IFERROR(__xludf.DUMMYFUNCTION("""COMPUTED_VALUE"""),"Nő")</f>
        <v>Nő</v>
      </c>
      <c r="E276" s="1"/>
      <c r="F276" s="1">
        <f ca="1">IFERROR(__xludf.DUMMYFUNCTION("""COMPUTED_VALUE"""),2006)</f>
        <v>2006</v>
      </c>
      <c r="G276" s="1">
        <f ca="1">IFERROR(__xludf.DUMMYFUNCTION("""COMPUTED_VALUE"""),3280)</f>
        <v>3280</v>
      </c>
      <c r="H276" s="1" t="str">
        <f ca="1">IFERROR(__xludf.DUMMYFUNCTION("""COMPUTED_VALUE"""),"MTLSZ003280A22")</f>
        <v>MTLSZ003280A22</v>
      </c>
      <c r="I276" s="2">
        <f ca="1">IFERROR(__xludf.DUMMYFUNCTION("""COMPUTED_VALUE"""),44575)</f>
        <v>44575</v>
      </c>
      <c r="J276" s="2">
        <f ca="1">IFERROR(__xludf.DUMMYFUNCTION("""COMPUTED_VALUE"""),44939)</f>
        <v>44939</v>
      </c>
    </row>
    <row r="277" spans="1:10" x14ac:dyDescent="0.25">
      <c r="A277" s="1" t="str">
        <f ca="1">IFERROR(__xludf.DUMMYFUNCTION("""COMPUTED_VALUE"""),"Érdi VSE")</f>
        <v>Érdi VSE</v>
      </c>
      <c r="B277" s="1" t="str">
        <f ca="1">IFERROR(__xludf.DUMMYFUNCTION("""COMPUTED_VALUE"""),"Zsarnai Milán")</f>
        <v>Zsarnai Milán</v>
      </c>
      <c r="C277" s="1"/>
      <c r="D277" s="1" t="str">
        <f ca="1">IFERROR(__xludf.DUMMYFUNCTION("""COMPUTED_VALUE"""),"Férfi")</f>
        <v>Férfi</v>
      </c>
      <c r="E277" s="1"/>
      <c r="F277" s="1">
        <f ca="1">IFERROR(__xludf.DUMMYFUNCTION("""COMPUTED_VALUE"""),2008)</f>
        <v>2008</v>
      </c>
      <c r="G277" s="1">
        <f ca="1">IFERROR(__xludf.DUMMYFUNCTION("""COMPUTED_VALUE"""),2897)</f>
        <v>2897</v>
      </c>
      <c r="H277" s="1" t="str">
        <f ca="1">IFERROR(__xludf.DUMMYFUNCTION("""COMPUTED_VALUE"""),"MTLSZ002897A22")</f>
        <v>MTLSZ002897A22</v>
      </c>
      <c r="I277" s="2">
        <f ca="1">IFERROR(__xludf.DUMMYFUNCTION("""COMPUTED_VALUE"""),44575)</f>
        <v>44575</v>
      </c>
      <c r="J277" s="2">
        <f ca="1">IFERROR(__xludf.DUMMYFUNCTION("""COMPUTED_VALUE"""),44939)</f>
        <v>44939</v>
      </c>
    </row>
    <row r="278" spans="1:10" x14ac:dyDescent="0.25">
      <c r="A278" s="1" t="str">
        <f ca="1">IFERROR(__xludf.DUMMYFUNCTION("""COMPUTED_VALUE"""),"Újpest TSE")</f>
        <v>Újpest TSE</v>
      </c>
      <c r="B278" s="1" t="str">
        <f ca="1">IFERROR(__xludf.DUMMYFUNCTION("""COMPUTED_VALUE"""),"Nagy Bence Adrián")</f>
        <v>Nagy Bence Adrián</v>
      </c>
      <c r="C278" s="1"/>
      <c r="D278" s="1" t="str">
        <f ca="1">IFERROR(__xludf.DUMMYFUNCTION("""COMPUTED_VALUE"""),"Férfi")</f>
        <v>Férfi</v>
      </c>
      <c r="E278" s="1"/>
      <c r="F278" s="1">
        <f ca="1">IFERROR(__xludf.DUMMYFUNCTION("""COMPUTED_VALUE"""),2003)</f>
        <v>2003</v>
      </c>
      <c r="G278" s="1">
        <f ca="1">IFERROR(__xludf.DUMMYFUNCTION("""COMPUTED_VALUE"""),2924)</f>
        <v>2924</v>
      </c>
      <c r="H278" s="1" t="str">
        <f ca="1">IFERROR(__xludf.DUMMYFUNCTION("""COMPUTED_VALUE"""),"MTLSZ002924A22")</f>
        <v>MTLSZ002924A22</v>
      </c>
      <c r="I278" s="2">
        <f ca="1">IFERROR(__xludf.DUMMYFUNCTION("""COMPUTED_VALUE"""),44575)</f>
        <v>44575</v>
      </c>
      <c r="J278" s="2">
        <f ca="1">IFERROR(__xludf.DUMMYFUNCTION("""COMPUTED_VALUE"""),44939)</f>
        <v>44939</v>
      </c>
    </row>
    <row r="279" spans="1:10" x14ac:dyDescent="0.25">
      <c r="A279" s="1" t="str">
        <f ca="1">IFERROR(__xludf.DUMMYFUNCTION("""COMPUTED_VALUE"""),"Életmód SE")</f>
        <v>Életmód SE</v>
      </c>
      <c r="B279" s="1" t="str">
        <f ca="1">IFERROR(__xludf.DUMMYFUNCTION("""COMPUTED_VALUE"""),"Kormányos Nóra dr.")</f>
        <v>Kormányos Nóra dr.</v>
      </c>
      <c r="C279" s="1"/>
      <c r="D279" s="1" t="str">
        <f ca="1">IFERROR(__xludf.DUMMYFUNCTION("""COMPUTED_VALUE"""),"Nő")</f>
        <v>Nő</v>
      </c>
      <c r="E279" s="1"/>
      <c r="F279" s="1">
        <f ca="1">IFERROR(__xludf.DUMMYFUNCTION("""COMPUTED_VALUE"""),1979)</f>
        <v>1979</v>
      </c>
      <c r="G279" s="1">
        <f ca="1">IFERROR(__xludf.DUMMYFUNCTION("""COMPUTED_VALUE"""),3548)</f>
        <v>3548</v>
      </c>
      <c r="H279" s="1" t="str">
        <f ca="1">IFERROR(__xludf.DUMMYFUNCTION("""COMPUTED_VALUE"""),"MTLSZ003548A22")</f>
        <v>MTLSZ003548A22</v>
      </c>
      <c r="I279" s="2">
        <f ca="1">IFERROR(__xludf.DUMMYFUNCTION("""COMPUTED_VALUE"""),44574)</f>
        <v>44574</v>
      </c>
      <c r="J279" s="2">
        <f ca="1">IFERROR(__xludf.DUMMYFUNCTION("""COMPUTED_VALUE"""),44938)</f>
        <v>44938</v>
      </c>
    </row>
    <row r="280" spans="1:10" x14ac:dyDescent="0.25">
      <c r="A280" s="1" t="str">
        <f ca="1">IFERROR(__xludf.DUMMYFUNCTION("""COMPUTED_VALUE"""),"Életmód SE")</f>
        <v>Életmód SE</v>
      </c>
      <c r="B280" s="1" t="str">
        <f ca="1">IFERROR(__xludf.DUMMYFUNCTION("""COMPUTED_VALUE"""),"Laczkó Tibor dr.")</f>
        <v>Laczkó Tibor dr.</v>
      </c>
      <c r="C280" s="1"/>
      <c r="D280" s="1" t="str">
        <f ca="1">IFERROR(__xludf.DUMMYFUNCTION("""COMPUTED_VALUE"""),"Férfi")</f>
        <v>Férfi</v>
      </c>
      <c r="E280" s="1"/>
      <c r="F280" s="1">
        <f ca="1">IFERROR(__xludf.DUMMYFUNCTION("""COMPUTED_VALUE"""),1963)</f>
        <v>1963</v>
      </c>
      <c r="G280" s="1">
        <f ca="1">IFERROR(__xludf.DUMMYFUNCTION("""COMPUTED_VALUE"""),3026)</f>
        <v>3026</v>
      </c>
      <c r="H280" s="1" t="str">
        <f ca="1">IFERROR(__xludf.DUMMYFUNCTION("""COMPUTED_VALUE"""),"MTLSZ003026A22")</f>
        <v>MTLSZ003026A22</v>
      </c>
      <c r="I280" s="2">
        <f ca="1">IFERROR(__xludf.DUMMYFUNCTION("""COMPUTED_VALUE"""),44574)</f>
        <v>44574</v>
      </c>
      <c r="J280" s="2">
        <f ca="1">IFERROR(__xludf.DUMMYFUNCTION("""COMPUTED_VALUE"""),44938)</f>
        <v>44938</v>
      </c>
    </row>
    <row r="281" spans="1:10" x14ac:dyDescent="0.25">
      <c r="A281" s="1" t="str">
        <f ca="1">IFERROR(__xludf.DUMMYFUNCTION("""COMPUTED_VALUE"""),"Talentum TSE")</f>
        <v>Talentum TSE</v>
      </c>
      <c r="B281" s="1" t="str">
        <f ca="1">IFERROR(__xludf.DUMMYFUNCTION("""COMPUTED_VALUE"""),"Csapó Krisztián")</f>
        <v>Csapó Krisztián</v>
      </c>
      <c r="C281" s="1"/>
      <c r="D281" s="1" t="str">
        <f ca="1">IFERROR(__xludf.DUMMYFUNCTION("""COMPUTED_VALUE"""),"Férfi")</f>
        <v>Férfi</v>
      </c>
      <c r="E281" s="1"/>
      <c r="F281" s="1">
        <f ca="1">IFERROR(__xludf.DUMMYFUNCTION("""COMPUTED_VALUE"""),2001)</f>
        <v>2001</v>
      </c>
      <c r="G281" s="1">
        <f ca="1">IFERROR(__xludf.DUMMYFUNCTION("""COMPUTED_VALUE"""),3127)</f>
        <v>3127</v>
      </c>
      <c r="H281" s="1" t="str">
        <f ca="1">IFERROR(__xludf.DUMMYFUNCTION("""COMPUTED_VALUE"""),"MTLSZ003127A22")</f>
        <v>MTLSZ003127A22</v>
      </c>
      <c r="I281" s="2">
        <f ca="1">IFERROR(__xludf.DUMMYFUNCTION("""COMPUTED_VALUE"""),44574)</f>
        <v>44574</v>
      </c>
      <c r="J281" s="2">
        <f ca="1">IFERROR(__xludf.DUMMYFUNCTION("""COMPUTED_VALUE"""),44938)</f>
        <v>44938</v>
      </c>
    </row>
    <row r="282" spans="1:10" x14ac:dyDescent="0.25">
      <c r="A282" s="1" t="str">
        <f ca="1">IFERROR(__xludf.DUMMYFUNCTION("""COMPUTED_VALUE"""),"Talentum TSE")</f>
        <v>Talentum TSE</v>
      </c>
      <c r="B282" s="1" t="str">
        <f ca="1">IFERROR(__xludf.DUMMYFUNCTION("""COMPUTED_VALUE"""),"Kapronyi Ferenc")</f>
        <v>Kapronyi Ferenc</v>
      </c>
      <c r="C282" s="1"/>
      <c r="D282" s="1" t="str">
        <f ca="1">IFERROR(__xludf.DUMMYFUNCTION("""COMPUTED_VALUE"""),"Férfi")</f>
        <v>Férfi</v>
      </c>
      <c r="E282" s="1"/>
      <c r="F282" s="1">
        <f ca="1">IFERROR(__xludf.DUMMYFUNCTION("""COMPUTED_VALUE"""),2009)</f>
        <v>2009</v>
      </c>
      <c r="G282" s="1">
        <f ca="1">IFERROR(__xludf.DUMMYFUNCTION("""COMPUTED_VALUE"""),3083)</f>
        <v>3083</v>
      </c>
      <c r="H282" s="1" t="str">
        <f ca="1">IFERROR(__xludf.DUMMYFUNCTION("""COMPUTED_VALUE"""),"MTLSZ003083A22")</f>
        <v>MTLSZ003083A22</v>
      </c>
      <c r="I282" s="2">
        <f ca="1">IFERROR(__xludf.DUMMYFUNCTION("""COMPUTED_VALUE"""),44574)</f>
        <v>44574</v>
      </c>
      <c r="J282" s="2">
        <f ca="1">IFERROR(__xludf.DUMMYFUNCTION("""COMPUTED_VALUE"""),44938)</f>
        <v>44938</v>
      </c>
    </row>
    <row r="283" spans="1:10" x14ac:dyDescent="0.25">
      <c r="A283" s="1" t="str">
        <f ca="1">IFERROR(__xludf.DUMMYFUNCTION("""COMPUTED_VALUE"""),"Talentum TSE")</f>
        <v>Talentum TSE</v>
      </c>
      <c r="B283" s="1" t="str">
        <f ca="1">IFERROR(__xludf.DUMMYFUNCTION("""COMPUTED_VALUE"""),"Laboncz Lőrinc")</f>
        <v>Laboncz Lőrinc</v>
      </c>
      <c r="C283" s="1"/>
      <c r="D283" s="1" t="str">
        <f ca="1">IFERROR(__xludf.DUMMYFUNCTION("""COMPUTED_VALUE"""),"Férfi")</f>
        <v>Férfi</v>
      </c>
      <c r="E283" s="1"/>
      <c r="F283" s="1">
        <f ca="1">IFERROR(__xludf.DUMMYFUNCTION("""COMPUTED_VALUE"""),2011)</f>
        <v>2011</v>
      </c>
      <c r="G283" s="1">
        <f ca="1">IFERROR(__xludf.DUMMYFUNCTION("""COMPUTED_VALUE"""),4762)</f>
        <v>4762</v>
      </c>
      <c r="H283" s="1" t="str">
        <f ca="1">IFERROR(__xludf.DUMMYFUNCTION("""COMPUTED_VALUE"""),"MTLSZ004762A22")</f>
        <v>MTLSZ004762A22</v>
      </c>
      <c r="I283" s="2">
        <f ca="1">IFERROR(__xludf.DUMMYFUNCTION("""COMPUTED_VALUE"""),44574)</f>
        <v>44574</v>
      </c>
      <c r="J283" s="2">
        <f ca="1">IFERROR(__xludf.DUMMYFUNCTION("""COMPUTED_VALUE"""),44938)</f>
        <v>44938</v>
      </c>
    </row>
    <row r="284" spans="1:10" x14ac:dyDescent="0.25">
      <c r="A284" s="1" t="str">
        <f ca="1">IFERROR(__xludf.DUMMYFUNCTION("""COMPUTED_VALUE"""),"Bodajki TSE")</f>
        <v>Bodajki TSE</v>
      </c>
      <c r="B284" s="1" t="str">
        <f ca="1">IFERROR(__xludf.DUMMYFUNCTION("""COMPUTED_VALUE"""),"Lenger Kata")</f>
        <v>Lenger Kata</v>
      </c>
      <c r="C284" s="1"/>
      <c r="D284" s="1" t="str">
        <f ca="1">IFERROR(__xludf.DUMMYFUNCTION("""COMPUTED_VALUE"""),"Nő")</f>
        <v>Nő</v>
      </c>
      <c r="E284" s="1"/>
      <c r="F284" s="1">
        <f ca="1">IFERROR(__xludf.DUMMYFUNCTION("""COMPUTED_VALUE"""),1998)</f>
        <v>1998</v>
      </c>
      <c r="G284" s="1">
        <f ca="1">IFERROR(__xludf.DUMMYFUNCTION("""COMPUTED_VALUE"""),4761)</f>
        <v>4761</v>
      </c>
      <c r="H284" s="1" t="str">
        <f ca="1">IFERROR(__xludf.DUMMYFUNCTION("""COMPUTED_VALUE"""),"MTLSZ004761A22")</f>
        <v>MTLSZ004761A22</v>
      </c>
      <c r="I284" s="2">
        <f ca="1">IFERROR(__xludf.DUMMYFUNCTION("""COMPUTED_VALUE"""),44573)</f>
        <v>44573</v>
      </c>
      <c r="J284" s="2">
        <f ca="1">IFERROR(__xludf.DUMMYFUNCTION("""COMPUTED_VALUE"""),44937)</f>
        <v>44937</v>
      </c>
    </row>
    <row r="285" spans="1:10" x14ac:dyDescent="0.25">
      <c r="A285" s="1" t="str">
        <f ca="1">IFERROR(__xludf.DUMMYFUNCTION("""COMPUTED_VALUE"""),"Újpest TSE")</f>
        <v>Újpest TSE</v>
      </c>
      <c r="B285" s="1" t="str">
        <f ca="1">IFERROR(__xludf.DUMMYFUNCTION("""COMPUTED_VALUE"""),"Boros Maja Veronika")</f>
        <v>Boros Maja Veronika</v>
      </c>
      <c r="C285" s="1"/>
      <c r="D285" s="1" t="str">
        <f ca="1">IFERROR(__xludf.DUMMYFUNCTION("""COMPUTED_VALUE"""),"Nő")</f>
        <v>Nő</v>
      </c>
      <c r="E285" s="1"/>
      <c r="F285" s="1">
        <f ca="1">IFERROR(__xludf.DUMMYFUNCTION("""COMPUTED_VALUE"""),2009)</f>
        <v>2009</v>
      </c>
      <c r="G285" s="1">
        <f ca="1">IFERROR(__xludf.DUMMYFUNCTION("""COMPUTED_VALUE"""),3085)</f>
        <v>3085</v>
      </c>
      <c r="H285" s="1" t="str">
        <f ca="1">IFERROR(__xludf.DUMMYFUNCTION("""COMPUTED_VALUE"""),"MTLSZ003085A22")</f>
        <v>MTLSZ003085A22</v>
      </c>
      <c r="I285" s="2">
        <f ca="1">IFERROR(__xludf.DUMMYFUNCTION("""COMPUTED_VALUE"""),44567)</f>
        <v>44567</v>
      </c>
      <c r="J285" s="2">
        <f ca="1">IFERROR(__xludf.DUMMYFUNCTION("""COMPUTED_VALUE"""),44931)</f>
        <v>44931</v>
      </c>
    </row>
    <row r="286" spans="1:10" x14ac:dyDescent="0.25">
      <c r="A286" s="1" t="str">
        <f ca="1">IFERROR(__xludf.DUMMYFUNCTION("""COMPUTED_VALUE"""),"Újpest TSE")</f>
        <v>Újpest TSE</v>
      </c>
      <c r="B286" s="1" t="str">
        <f ca="1">IFERROR(__xludf.DUMMYFUNCTION("""COMPUTED_VALUE"""),"Boros Vince Félix")</f>
        <v>Boros Vince Félix</v>
      </c>
      <c r="C286" s="1"/>
      <c r="D286" s="1" t="str">
        <f ca="1">IFERROR(__xludf.DUMMYFUNCTION("""COMPUTED_VALUE"""),"Férfi")</f>
        <v>Férfi</v>
      </c>
      <c r="E286" s="1"/>
      <c r="F286" s="1">
        <f ca="1">IFERROR(__xludf.DUMMYFUNCTION("""COMPUTED_VALUE"""),2007)</f>
        <v>2007</v>
      </c>
      <c r="G286" s="1">
        <f ca="1">IFERROR(__xludf.DUMMYFUNCTION("""COMPUTED_VALUE"""),2807)</f>
        <v>2807</v>
      </c>
      <c r="H286" s="1" t="str">
        <f ca="1">IFERROR(__xludf.DUMMYFUNCTION("""COMPUTED_VALUE"""),"MTLSZ002807A22")</f>
        <v>MTLSZ002807A22</v>
      </c>
      <c r="I286" s="2">
        <f ca="1">IFERROR(__xludf.DUMMYFUNCTION("""COMPUTED_VALUE"""),44567)</f>
        <v>44567</v>
      </c>
      <c r="J286" s="2">
        <f ca="1">IFERROR(__xludf.DUMMYFUNCTION("""COMPUTED_VALUE"""),44931)</f>
        <v>44931</v>
      </c>
    </row>
    <row r="287" spans="1:10" x14ac:dyDescent="0.25">
      <c r="A287" s="1" t="str">
        <f ca="1">IFERROR(__xludf.DUMMYFUNCTION("""COMPUTED_VALUE"""),"Életmód SE")</f>
        <v>Életmód SE</v>
      </c>
      <c r="B287" s="1" t="str">
        <f ca="1">IFERROR(__xludf.DUMMYFUNCTION("""COMPUTED_VALUE"""),"Sándorházi Vivien")</f>
        <v>Sándorházi Vivien</v>
      </c>
      <c r="C287" s="1"/>
      <c r="D287" s="1" t="str">
        <f ca="1">IFERROR(__xludf.DUMMYFUNCTION("""COMPUTED_VALUE"""),"Nő")</f>
        <v>Nő</v>
      </c>
      <c r="E287" s="1"/>
      <c r="F287" s="1">
        <f ca="1">IFERROR(__xludf.DUMMYFUNCTION("""COMPUTED_VALUE"""),2001)</f>
        <v>2001</v>
      </c>
      <c r="G287" s="1">
        <f ca="1">IFERROR(__xludf.DUMMYFUNCTION("""COMPUTED_VALUE"""),2267)</f>
        <v>2267</v>
      </c>
      <c r="H287" s="1" t="str">
        <f ca="1">IFERROR(__xludf.DUMMYFUNCTION("""COMPUTED_VALUE"""),"MTLSZ002267A22")</f>
        <v>MTLSZ002267A22</v>
      </c>
      <c r="I287" s="2">
        <f ca="1">IFERROR(__xludf.DUMMYFUNCTION("""COMPUTED_VALUE"""),44566)</f>
        <v>44566</v>
      </c>
      <c r="J287" s="2">
        <f ca="1">IFERROR(__xludf.DUMMYFUNCTION("""COMPUTED_VALUE"""),44930)</f>
        <v>44930</v>
      </c>
    </row>
    <row r="288" spans="1:10" x14ac:dyDescent="0.25">
      <c r="A288" s="1" t="str">
        <f ca="1">IFERROR(__xludf.DUMMYFUNCTION("""COMPUTED_VALUE"""),"Ludovika SE")</f>
        <v>Ludovika SE</v>
      </c>
      <c r="B288" s="1" t="str">
        <f ca="1">IFERROR(__xludf.DUMMYFUNCTION("""COMPUTED_VALUE"""),"Molnár Kristóf")</f>
        <v>Molnár Kristóf</v>
      </c>
      <c r="C288" s="1"/>
      <c r="D288" s="1" t="str">
        <f ca="1">IFERROR(__xludf.DUMMYFUNCTION("""COMPUTED_VALUE"""),"Férfi")</f>
        <v>Férfi</v>
      </c>
      <c r="E288" s="1"/>
      <c r="F288" s="1">
        <f ca="1">IFERROR(__xludf.DUMMYFUNCTION("""COMPUTED_VALUE"""),1996)</f>
        <v>1996</v>
      </c>
      <c r="G288" s="1">
        <f ca="1">IFERROR(__xludf.DUMMYFUNCTION("""COMPUTED_VALUE"""),2052)</f>
        <v>2052</v>
      </c>
      <c r="H288" s="1" t="str">
        <f ca="1">IFERROR(__xludf.DUMMYFUNCTION("""COMPUTED_VALUE"""),"MTLSZ002052A22")</f>
        <v>MTLSZ002052A22</v>
      </c>
      <c r="I288" s="2">
        <f ca="1">IFERROR(__xludf.DUMMYFUNCTION("""COMPUTED_VALUE"""),44564)</f>
        <v>44564</v>
      </c>
      <c r="J288" s="2">
        <f ca="1">IFERROR(__xludf.DUMMYFUNCTION("""COMPUTED_VALUE"""),44928)</f>
        <v>44928</v>
      </c>
    </row>
    <row r="289" spans="1:10" x14ac:dyDescent="0.25">
      <c r="A289" s="1" t="str">
        <f ca="1">IFERROR(__xludf.DUMMYFUNCTION("""COMPUTED_VALUE"""),"Ludovika SE")</f>
        <v>Ludovika SE</v>
      </c>
      <c r="B289" s="1" t="str">
        <f ca="1">IFERROR(__xludf.DUMMYFUNCTION("""COMPUTED_VALUE"""),"Horányi Gábor")</f>
        <v>Horányi Gábor</v>
      </c>
      <c r="C289" s="1"/>
      <c r="D289" s="1" t="str">
        <f ca="1">IFERROR(__xludf.DUMMYFUNCTION("""COMPUTED_VALUE"""),"Férfi")</f>
        <v>Férfi</v>
      </c>
      <c r="E289" s="1"/>
      <c r="F289" s="1">
        <f ca="1">IFERROR(__xludf.DUMMYFUNCTION("""COMPUTED_VALUE"""),1990)</f>
        <v>1990</v>
      </c>
      <c r="G289" s="1">
        <f ca="1">IFERROR(__xludf.DUMMYFUNCTION("""COMPUTED_VALUE"""),1554)</f>
        <v>1554</v>
      </c>
      <c r="H289" s="1" t="str">
        <f ca="1">IFERROR(__xludf.DUMMYFUNCTION("""COMPUTED_VALUE"""),"MTLSZ001554A21")</f>
        <v>MTLSZ001554A21</v>
      </c>
      <c r="I289" s="2">
        <f ca="1">IFERROR(__xludf.DUMMYFUNCTION("""COMPUTED_VALUE"""),44546)</f>
        <v>44546</v>
      </c>
      <c r="J289" s="2">
        <f ca="1">IFERROR(__xludf.DUMMYFUNCTION("""COMPUTED_VALUE"""),44910)</f>
        <v>44910</v>
      </c>
    </row>
    <row r="290" spans="1:10" x14ac:dyDescent="0.25">
      <c r="A290" s="1" t="str">
        <f ca="1">IFERROR(__xludf.DUMMYFUNCTION("""COMPUTED_VALUE"""),"Talentum TSE")</f>
        <v>Talentum TSE</v>
      </c>
      <c r="B290" s="1" t="str">
        <f ca="1">IFERROR(__xludf.DUMMYFUNCTION("""COMPUTED_VALUE"""),"Galba Mátyás")</f>
        <v>Galba Mátyás</v>
      </c>
      <c r="C290" s="1"/>
      <c r="D290" s="1" t="str">
        <f ca="1">IFERROR(__xludf.DUMMYFUNCTION("""COMPUTED_VALUE"""),"Férfi")</f>
        <v>Férfi</v>
      </c>
      <c r="E290" s="1"/>
      <c r="F290" s="1">
        <f ca="1">IFERROR(__xludf.DUMMYFUNCTION("""COMPUTED_VALUE"""),2014)</f>
        <v>2014</v>
      </c>
      <c r="G290" s="1">
        <f ca="1">IFERROR(__xludf.DUMMYFUNCTION("""COMPUTED_VALUE"""),4759)</f>
        <v>4759</v>
      </c>
      <c r="H290" s="1" t="str">
        <f ca="1">IFERROR(__xludf.DUMMYFUNCTION("""COMPUTED_VALUE"""),"MTLSZ004759A21")</f>
        <v>MTLSZ004759A21</v>
      </c>
      <c r="I290" s="2">
        <f ca="1">IFERROR(__xludf.DUMMYFUNCTION("""COMPUTED_VALUE"""),44546)</f>
        <v>44546</v>
      </c>
      <c r="J290" s="2">
        <f ca="1">IFERROR(__xludf.DUMMYFUNCTION("""COMPUTED_VALUE"""),44910)</f>
        <v>44910</v>
      </c>
    </row>
    <row r="291" spans="1:10" x14ac:dyDescent="0.25">
      <c r="A291" s="1" t="str">
        <f ca="1">IFERROR(__xludf.DUMMYFUNCTION("""COMPUTED_VALUE"""),"Életmód SE")</f>
        <v>Életmód SE</v>
      </c>
      <c r="B291" s="1" t="str">
        <f ca="1">IFERROR(__xludf.DUMMYFUNCTION("""COMPUTED_VALUE"""),"Tóth Péter Ferenc")</f>
        <v>Tóth Péter Ferenc</v>
      </c>
      <c r="C291" s="1"/>
      <c r="D291" s="1" t="str">
        <f ca="1">IFERROR(__xludf.DUMMYFUNCTION("""COMPUTED_VALUE"""),"Férfi")</f>
        <v>Férfi</v>
      </c>
      <c r="E291" s="1"/>
      <c r="F291" s="1">
        <f ca="1">IFERROR(__xludf.DUMMYFUNCTION("""COMPUTED_VALUE"""),2007)</f>
        <v>2007</v>
      </c>
      <c r="G291" s="1">
        <f ca="1">IFERROR(__xludf.DUMMYFUNCTION("""COMPUTED_VALUE"""),4757)</f>
        <v>4757</v>
      </c>
      <c r="H291" s="1" t="str">
        <f ca="1">IFERROR(__xludf.DUMMYFUNCTION("""COMPUTED_VALUE"""),"MTLSZ004757A21")</f>
        <v>MTLSZ004757A21</v>
      </c>
      <c r="I291" s="2">
        <f ca="1">IFERROR(__xludf.DUMMYFUNCTION("""COMPUTED_VALUE"""),44545)</f>
        <v>44545</v>
      </c>
      <c r="J291" s="2">
        <f ca="1">IFERROR(__xludf.DUMMYFUNCTION("""COMPUTED_VALUE"""),44909)</f>
        <v>44909</v>
      </c>
    </row>
    <row r="292" spans="1:10" x14ac:dyDescent="0.25">
      <c r="A292" s="1" t="str">
        <f ca="1">IFERROR(__xludf.DUMMYFUNCTION("""COMPUTED_VALUE"""),"FBSE")</f>
        <v>FBSE</v>
      </c>
      <c r="B292" s="1" t="str">
        <f ca="1">IFERROR(__xludf.DUMMYFUNCTION("""COMPUTED_VALUE"""),"Németh Antal")</f>
        <v>Németh Antal</v>
      </c>
      <c r="C292" s="1"/>
      <c r="D292" s="1" t="str">
        <f ca="1">IFERROR(__xludf.DUMMYFUNCTION("""COMPUTED_VALUE"""),"Férfi")</f>
        <v>Férfi</v>
      </c>
      <c r="E292" s="1"/>
      <c r="F292" s="1">
        <f ca="1">IFERROR(__xludf.DUMMYFUNCTION("""COMPUTED_VALUE"""),1977)</f>
        <v>1977</v>
      </c>
      <c r="G292" s="1">
        <f ca="1">IFERROR(__xludf.DUMMYFUNCTION("""COMPUTED_VALUE"""),4758)</f>
        <v>4758</v>
      </c>
      <c r="H292" s="1" t="str">
        <f ca="1">IFERROR(__xludf.DUMMYFUNCTION("""COMPUTED_VALUE"""),"MTLSZ004758A21")</f>
        <v>MTLSZ004758A21</v>
      </c>
      <c r="I292" s="2">
        <f ca="1">IFERROR(__xludf.DUMMYFUNCTION("""COMPUTED_VALUE"""),44545)</f>
        <v>44545</v>
      </c>
      <c r="J292" s="2">
        <f ca="1">IFERROR(__xludf.DUMMYFUNCTION("""COMPUTED_VALUE"""),44909)</f>
        <v>44909</v>
      </c>
    </row>
    <row r="293" spans="1:10" x14ac:dyDescent="0.25">
      <c r="A293" s="1" t="str">
        <f ca="1">IFERROR(__xludf.DUMMYFUNCTION("""COMPUTED_VALUE"""),"Újpest TSE")</f>
        <v>Újpest TSE</v>
      </c>
      <c r="B293" s="1" t="str">
        <f ca="1">IFERROR(__xludf.DUMMYFUNCTION("""COMPUTED_VALUE"""),"Bernáth Zalán")</f>
        <v>Bernáth Zalán</v>
      </c>
      <c r="C293" s="1"/>
      <c r="D293" s="1" t="str">
        <f ca="1">IFERROR(__xludf.DUMMYFUNCTION("""COMPUTED_VALUE"""),"Férfi")</f>
        <v>Férfi</v>
      </c>
      <c r="E293" s="1"/>
      <c r="F293" s="1">
        <f ca="1">IFERROR(__xludf.DUMMYFUNCTION("""COMPUTED_VALUE"""),2012)</f>
        <v>2012</v>
      </c>
      <c r="G293" s="1">
        <f ca="1">IFERROR(__xludf.DUMMYFUNCTION("""COMPUTED_VALUE"""),3526)</f>
        <v>3526</v>
      </c>
      <c r="H293" s="1" t="str">
        <f ca="1">IFERROR(__xludf.DUMMYFUNCTION("""COMPUTED_VALUE"""),"MTLSZ003526A21")</f>
        <v>MTLSZ003526A21</v>
      </c>
      <c r="I293" s="2">
        <f ca="1">IFERROR(__xludf.DUMMYFUNCTION("""COMPUTED_VALUE"""),44545)</f>
        <v>44545</v>
      </c>
      <c r="J293" s="2">
        <f ca="1">IFERROR(__xludf.DUMMYFUNCTION("""COMPUTED_VALUE"""),44909)</f>
        <v>44909</v>
      </c>
    </row>
    <row r="294" spans="1:10" x14ac:dyDescent="0.25">
      <c r="A294" s="1" t="str">
        <f ca="1">IFERROR(__xludf.DUMMYFUNCTION("""COMPUTED_VALUE"""),"CET SE")</f>
        <v>CET SE</v>
      </c>
      <c r="B294" s="1" t="str">
        <f ca="1">IFERROR(__xludf.DUMMYFUNCTION("""COMPUTED_VALUE"""),"Bodor Balázs")</f>
        <v>Bodor Balázs</v>
      </c>
      <c r="C294" s="1"/>
      <c r="D294" s="1" t="str">
        <f ca="1">IFERROR(__xludf.DUMMYFUNCTION("""COMPUTED_VALUE"""),"Férfi")</f>
        <v>Férfi</v>
      </c>
      <c r="E294" s="1"/>
      <c r="F294" s="1">
        <f ca="1">IFERROR(__xludf.DUMMYFUNCTION("""COMPUTED_VALUE"""),2007)</f>
        <v>2007</v>
      </c>
      <c r="G294" s="1">
        <f ca="1">IFERROR(__xludf.DUMMYFUNCTION("""COMPUTED_VALUE"""),4700)</f>
        <v>4700</v>
      </c>
      <c r="H294" s="1" t="str">
        <f ca="1">IFERROR(__xludf.DUMMYFUNCTION("""COMPUTED_VALUE"""),"MTLSZ004700A21")</f>
        <v>MTLSZ004700A21</v>
      </c>
      <c r="I294" s="2">
        <f ca="1">IFERROR(__xludf.DUMMYFUNCTION("""COMPUTED_VALUE"""),44543)</f>
        <v>44543</v>
      </c>
      <c r="J294" s="2">
        <f ca="1">IFERROR(__xludf.DUMMYFUNCTION("""COMPUTED_VALUE"""),44907)</f>
        <v>44907</v>
      </c>
    </row>
    <row r="295" spans="1:10" x14ac:dyDescent="0.25">
      <c r="A295" s="1" t="str">
        <f ca="1">IFERROR(__xludf.DUMMYFUNCTION("""COMPUTED_VALUE"""),"Győri TSE")</f>
        <v>Győri TSE</v>
      </c>
      <c r="B295" s="1" t="str">
        <f ca="1">IFERROR(__xludf.DUMMYFUNCTION("""COMPUTED_VALUE"""),"Kakassy István")</f>
        <v>Kakassy István</v>
      </c>
      <c r="C295" s="1"/>
      <c r="D295" s="1" t="str">
        <f ca="1">IFERROR(__xludf.DUMMYFUNCTION("""COMPUTED_VALUE"""),"Férfi")</f>
        <v>Férfi</v>
      </c>
      <c r="E295" s="1"/>
      <c r="F295" s="1">
        <f ca="1">IFERROR(__xludf.DUMMYFUNCTION("""COMPUTED_VALUE"""),1971)</f>
        <v>1971</v>
      </c>
      <c r="G295" s="1">
        <f ca="1">IFERROR(__xludf.DUMMYFUNCTION("""COMPUTED_VALUE"""),2669)</f>
        <v>2669</v>
      </c>
      <c r="H295" s="1" t="str">
        <f ca="1">IFERROR(__xludf.DUMMYFUNCTION("""COMPUTED_VALUE"""),"MTLSZ002669A21")</f>
        <v>MTLSZ002669A21</v>
      </c>
      <c r="I295" s="2">
        <f ca="1">IFERROR(__xludf.DUMMYFUNCTION("""COMPUTED_VALUE"""),44540)</f>
        <v>44540</v>
      </c>
      <c r="J295" s="2">
        <f ca="1">IFERROR(__xludf.DUMMYFUNCTION("""COMPUTED_VALUE"""),44904)</f>
        <v>44904</v>
      </c>
    </row>
    <row r="296" spans="1:10" x14ac:dyDescent="0.25">
      <c r="A296" s="1" t="str">
        <f ca="1">IFERROR(__xludf.DUMMYFUNCTION("""COMPUTED_VALUE"""),"BEAC")</f>
        <v>BEAC</v>
      </c>
      <c r="B296" s="1" t="str">
        <f ca="1">IFERROR(__xludf.DUMMYFUNCTION("""COMPUTED_VALUE"""),"Váczi Vivien")</f>
        <v>Váczi Vivien</v>
      </c>
      <c r="C296" s="1"/>
      <c r="D296" s="1" t="str">
        <f ca="1">IFERROR(__xludf.DUMMYFUNCTION("""COMPUTED_VALUE"""),"Nő")</f>
        <v>Nő</v>
      </c>
      <c r="E296" s="1"/>
      <c r="F296" s="1">
        <f ca="1">IFERROR(__xludf.DUMMYFUNCTION("""COMPUTED_VALUE"""),1992)</f>
        <v>1992</v>
      </c>
      <c r="G296" s="1">
        <f ca="1">IFERROR(__xludf.DUMMYFUNCTION("""COMPUTED_VALUE"""),2265)</f>
        <v>2265</v>
      </c>
      <c r="H296" s="1" t="str">
        <f ca="1">IFERROR(__xludf.DUMMYFUNCTION("""COMPUTED_VALUE"""),"MTLSZ002265A21")</f>
        <v>MTLSZ002265A21</v>
      </c>
      <c r="I296" s="2">
        <f ca="1">IFERROR(__xludf.DUMMYFUNCTION("""COMPUTED_VALUE"""),44539)</f>
        <v>44539</v>
      </c>
      <c r="J296" s="2">
        <f ca="1">IFERROR(__xludf.DUMMYFUNCTION("""COMPUTED_VALUE"""),44903)</f>
        <v>44903</v>
      </c>
    </row>
    <row r="297" spans="1:10" x14ac:dyDescent="0.25">
      <c r="A297" s="1" t="str">
        <f ca="1">IFERROR(__xludf.DUMMYFUNCTION("""COMPUTED_VALUE"""),"Győri TSE")</f>
        <v>Győri TSE</v>
      </c>
      <c r="B297" s="1" t="str">
        <f ca="1">IFERROR(__xludf.DUMMYFUNCTION("""COMPUTED_VALUE"""),"Németh Dániel")</f>
        <v>Németh Dániel</v>
      </c>
      <c r="C297" s="1"/>
      <c r="D297" s="1" t="str">
        <f ca="1">IFERROR(__xludf.DUMMYFUNCTION("""COMPUTED_VALUE"""),"Férfi")</f>
        <v>Férfi</v>
      </c>
      <c r="E297" s="1"/>
      <c r="F297" s="1">
        <f ca="1">IFERROR(__xludf.DUMMYFUNCTION("""COMPUTED_VALUE"""),2002)</f>
        <v>2002</v>
      </c>
      <c r="G297" s="1">
        <f ca="1">IFERROR(__xludf.DUMMYFUNCTION("""COMPUTED_VALUE"""),3202)</f>
        <v>3202</v>
      </c>
      <c r="H297" s="1" t="str">
        <f ca="1">IFERROR(__xludf.DUMMYFUNCTION("""COMPUTED_VALUE"""),"MTLSZ003202A21")</f>
        <v>MTLSZ003202A21</v>
      </c>
      <c r="I297" s="2">
        <f ca="1">IFERROR(__xludf.DUMMYFUNCTION("""COMPUTED_VALUE"""),44539)</f>
        <v>44539</v>
      </c>
      <c r="J297" s="2">
        <f ca="1">IFERROR(__xludf.DUMMYFUNCTION("""COMPUTED_VALUE"""),44903)</f>
        <v>44903</v>
      </c>
    </row>
    <row r="298" spans="1:10" x14ac:dyDescent="0.25">
      <c r="A298" s="1" t="str">
        <f ca="1">IFERROR(__xludf.DUMMYFUNCTION("""COMPUTED_VALUE"""),"Talentum TSE")</f>
        <v>Talentum TSE</v>
      </c>
      <c r="B298" s="1" t="str">
        <f ca="1">IFERROR(__xludf.DUMMYFUNCTION("""COMPUTED_VALUE"""),"Földesi Lilla Mária")</f>
        <v>Földesi Lilla Mária</v>
      </c>
      <c r="C298" s="1"/>
      <c r="D298" s="1" t="str">
        <f ca="1">IFERROR(__xludf.DUMMYFUNCTION("""COMPUTED_VALUE"""),"Nő")</f>
        <v>Nő</v>
      </c>
      <c r="E298" s="1"/>
      <c r="F298" s="1">
        <f ca="1">IFERROR(__xludf.DUMMYFUNCTION("""COMPUTED_VALUE"""),2005)</f>
        <v>2005</v>
      </c>
      <c r="G298" s="1">
        <f ca="1">IFERROR(__xludf.DUMMYFUNCTION("""COMPUTED_VALUE"""),3428)</f>
        <v>3428</v>
      </c>
      <c r="H298" s="1" t="str">
        <f ca="1">IFERROR(__xludf.DUMMYFUNCTION("""COMPUTED_VALUE"""),"MTLSZ003428A21")</f>
        <v>MTLSZ003428A21</v>
      </c>
      <c r="I298" s="2">
        <f ca="1">IFERROR(__xludf.DUMMYFUNCTION("""COMPUTED_VALUE"""),44538)</f>
        <v>44538</v>
      </c>
      <c r="J298" s="2">
        <f ca="1">IFERROR(__xludf.DUMMYFUNCTION("""COMPUTED_VALUE"""),44902)</f>
        <v>44902</v>
      </c>
    </row>
    <row r="299" spans="1:10" x14ac:dyDescent="0.25">
      <c r="A299" s="1" t="str">
        <f ca="1">IFERROR(__xludf.DUMMYFUNCTION("""COMPUTED_VALUE"""),"Talentum TSE")</f>
        <v>Talentum TSE</v>
      </c>
      <c r="B299" s="1" t="str">
        <f ca="1">IFERROR(__xludf.DUMMYFUNCTION("""COMPUTED_VALUE"""),"Kálfalvy Dániel")</f>
        <v>Kálfalvy Dániel</v>
      </c>
      <c r="C299" s="1"/>
      <c r="D299" s="1" t="str">
        <f ca="1">IFERROR(__xludf.DUMMYFUNCTION("""COMPUTED_VALUE"""),"Férfi")</f>
        <v>Férfi</v>
      </c>
      <c r="E299" s="1"/>
      <c r="F299" s="1">
        <f ca="1">IFERROR(__xludf.DUMMYFUNCTION("""COMPUTED_VALUE"""),1997)</f>
        <v>1997</v>
      </c>
      <c r="G299" s="1">
        <f ca="1">IFERROR(__xludf.DUMMYFUNCTION("""COMPUTED_VALUE"""),1853)</f>
        <v>1853</v>
      </c>
      <c r="H299" s="1" t="str">
        <f ca="1">IFERROR(__xludf.DUMMYFUNCTION("""COMPUTED_VALUE"""),"MTLSZ001853A21")</f>
        <v>MTLSZ001853A21</v>
      </c>
      <c r="I299" s="2">
        <f ca="1">IFERROR(__xludf.DUMMYFUNCTION("""COMPUTED_VALUE"""),44538)</f>
        <v>44538</v>
      </c>
      <c r="J299" s="2">
        <f ca="1">IFERROR(__xludf.DUMMYFUNCTION("""COMPUTED_VALUE"""),44902)</f>
        <v>44902</v>
      </c>
    </row>
    <row r="300" spans="1:10" x14ac:dyDescent="0.25">
      <c r="A300" s="1" t="str">
        <f ca="1">IFERROR(__xludf.DUMMYFUNCTION("""COMPUTED_VALUE"""),"Győri TSE")</f>
        <v>Győri TSE</v>
      </c>
      <c r="B300" s="1" t="str">
        <f ca="1">IFERROR(__xludf.DUMMYFUNCTION("""COMPUTED_VALUE"""),"Tarányi László István")</f>
        <v>Tarányi László István</v>
      </c>
      <c r="C300" s="1"/>
      <c r="D300" s="1" t="str">
        <f ca="1">IFERROR(__xludf.DUMMYFUNCTION("""COMPUTED_VALUE"""),"Férfi")</f>
        <v>Férfi</v>
      </c>
      <c r="E300" s="1"/>
      <c r="F300" s="1">
        <f ca="1">IFERROR(__xludf.DUMMYFUNCTION("""COMPUTED_VALUE"""),1988)</f>
        <v>1988</v>
      </c>
      <c r="G300" s="1">
        <f ca="1">IFERROR(__xludf.DUMMYFUNCTION("""COMPUTED_VALUE"""),4751)</f>
        <v>4751</v>
      </c>
      <c r="H300" s="1" t="str">
        <f ca="1">IFERROR(__xludf.DUMMYFUNCTION("""COMPUTED_VALUE"""),"MTLSZ004751A21")</f>
        <v>MTLSZ004751A21</v>
      </c>
      <c r="I300" s="2">
        <f ca="1">IFERROR(__xludf.DUMMYFUNCTION("""COMPUTED_VALUE"""),44537)</f>
        <v>44537</v>
      </c>
      <c r="J300" s="2">
        <f ca="1">IFERROR(__xludf.DUMMYFUNCTION("""COMPUTED_VALUE"""),44901)</f>
        <v>44901</v>
      </c>
    </row>
    <row r="301" spans="1:10" x14ac:dyDescent="0.25">
      <c r="A301" s="1" t="str">
        <f ca="1">IFERROR(__xludf.DUMMYFUNCTION("""COMPUTED_VALUE"""),"Klébi DSE")</f>
        <v>Klébi DSE</v>
      </c>
      <c r="B301" s="1" t="str">
        <f ca="1">IFERROR(__xludf.DUMMYFUNCTION("""COMPUTED_VALUE"""),"Kovács Dzsun Vince")</f>
        <v>Kovács Dzsun Vince</v>
      </c>
      <c r="C301" s="1"/>
      <c r="D301" s="1" t="str">
        <f ca="1">IFERROR(__xludf.DUMMYFUNCTION("""COMPUTED_VALUE"""),"Férfi")</f>
        <v>Férfi</v>
      </c>
      <c r="E301" s="1"/>
      <c r="F301" s="1">
        <f ca="1">IFERROR(__xludf.DUMMYFUNCTION("""COMPUTED_VALUE"""),2006)</f>
        <v>2006</v>
      </c>
      <c r="G301" s="1">
        <f ca="1">IFERROR(__xludf.DUMMYFUNCTION("""COMPUTED_VALUE"""),4753)</f>
        <v>4753</v>
      </c>
      <c r="H301" s="1" t="str">
        <f ca="1">IFERROR(__xludf.DUMMYFUNCTION("""COMPUTED_VALUE"""),"MTLSZ004753A21")</f>
        <v>MTLSZ004753A21</v>
      </c>
      <c r="I301" s="2">
        <f ca="1">IFERROR(__xludf.DUMMYFUNCTION("""COMPUTED_VALUE"""),44537)</f>
        <v>44537</v>
      </c>
      <c r="J301" s="2">
        <f ca="1">IFERROR(__xludf.DUMMYFUNCTION("""COMPUTED_VALUE"""),44901)</f>
        <v>44901</v>
      </c>
    </row>
    <row r="302" spans="1:10" x14ac:dyDescent="0.25">
      <c r="A302" s="1" t="str">
        <f ca="1">IFERROR(__xludf.DUMMYFUNCTION("""COMPUTED_VALUE"""),"Klébi DSE")</f>
        <v>Klébi DSE</v>
      </c>
      <c r="B302" s="1" t="str">
        <f ca="1">IFERROR(__xludf.DUMMYFUNCTION("""COMPUTED_VALUE"""),"Kovács Előd")</f>
        <v>Kovács Előd</v>
      </c>
      <c r="C302" s="1"/>
      <c r="D302" s="1" t="str">
        <f ca="1">IFERROR(__xludf.DUMMYFUNCTION("""COMPUTED_VALUE"""),"Férfi")</f>
        <v>Férfi</v>
      </c>
      <c r="E302" s="1"/>
      <c r="F302" s="1">
        <f ca="1">IFERROR(__xludf.DUMMYFUNCTION("""COMPUTED_VALUE"""),1976)</f>
        <v>1976</v>
      </c>
      <c r="G302" s="1">
        <f ca="1">IFERROR(__xludf.DUMMYFUNCTION("""COMPUTED_VALUE"""),4755)</f>
        <v>4755</v>
      </c>
      <c r="H302" s="1" t="str">
        <f ca="1">IFERROR(__xludf.DUMMYFUNCTION("""COMPUTED_VALUE"""),"MTLSZ004755A21")</f>
        <v>MTLSZ004755A21</v>
      </c>
      <c r="I302" s="2">
        <f ca="1">IFERROR(__xludf.DUMMYFUNCTION("""COMPUTED_VALUE"""),44537)</f>
        <v>44537</v>
      </c>
      <c r="J302" s="2">
        <f ca="1">IFERROR(__xludf.DUMMYFUNCTION("""COMPUTED_VALUE"""),44901)</f>
        <v>44901</v>
      </c>
    </row>
    <row r="303" spans="1:10" x14ac:dyDescent="0.25">
      <c r="A303" s="1" t="str">
        <f ca="1">IFERROR(__xludf.DUMMYFUNCTION("""COMPUTED_VALUE"""),"Klébi DSE")</f>
        <v>Klébi DSE</v>
      </c>
      <c r="B303" s="1" t="str">
        <f ca="1">IFERROR(__xludf.DUMMYFUNCTION("""COMPUTED_VALUE"""),"Pischoff Anna Kata")</f>
        <v>Pischoff Anna Kata</v>
      </c>
      <c r="C303" s="1"/>
      <c r="D303" s="1" t="str">
        <f ca="1">IFERROR(__xludf.DUMMYFUNCTION("""COMPUTED_VALUE"""),"Nő")</f>
        <v>Nő</v>
      </c>
      <c r="E303" s="1"/>
      <c r="F303" s="1">
        <f ca="1">IFERROR(__xludf.DUMMYFUNCTION("""COMPUTED_VALUE"""),2012)</f>
        <v>2012</v>
      </c>
      <c r="G303" s="1">
        <f ca="1">IFERROR(__xludf.DUMMYFUNCTION("""COMPUTED_VALUE"""),4754)</f>
        <v>4754</v>
      </c>
      <c r="H303" s="1" t="str">
        <f ca="1">IFERROR(__xludf.DUMMYFUNCTION("""COMPUTED_VALUE"""),"MTLSZ004754A21")</f>
        <v>MTLSZ004754A21</v>
      </c>
      <c r="I303" s="2">
        <f ca="1">IFERROR(__xludf.DUMMYFUNCTION("""COMPUTED_VALUE"""),44537)</f>
        <v>44537</v>
      </c>
      <c r="J303" s="2">
        <f ca="1">IFERROR(__xludf.DUMMYFUNCTION("""COMPUTED_VALUE"""),44901)</f>
        <v>44901</v>
      </c>
    </row>
    <row r="304" spans="1:10" x14ac:dyDescent="0.25">
      <c r="A304" s="1" t="str">
        <f ca="1">IFERROR(__xludf.DUMMYFUNCTION("""COMPUTED_VALUE"""),"Talentum TSE")</f>
        <v>Talentum TSE</v>
      </c>
      <c r="B304" s="1" t="str">
        <f ca="1">IFERROR(__xludf.DUMMYFUNCTION("""COMPUTED_VALUE"""),"Egyed Panna")</f>
        <v>Egyed Panna</v>
      </c>
      <c r="C304" s="1"/>
      <c r="D304" s="1" t="str">
        <f ca="1">IFERROR(__xludf.DUMMYFUNCTION("""COMPUTED_VALUE"""),"Nő")</f>
        <v>Nő</v>
      </c>
      <c r="E304" s="1"/>
      <c r="F304" s="1">
        <f ca="1">IFERROR(__xludf.DUMMYFUNCTION("""COMPUTED_VALUE"""),2007)</f>
        <v>2007</v>
      </c>
      <c r="G304" s="1">
        <f ca="1">IFERROR(__xludf.DUMMYFUNCTION("""COMPUTED_VALUE"""),4752)</f>
        <v>4752</v>
      </c>
      <c r="H304" s="1" t="str">
        <f ca="1">IFERROR(__xludf.DUMMYFUNCTION("""COMPUTED_VALUE"""),"MTLSZ004752A21")</f>
        <v>MTLSZ004752A21</v>
      </c>
      <c r="I304" s="2">
        <f ca="1">IFERROR(__xludf.DUMMYFUNCTION("""COMPUTED_VALUE"""),44537)</f>
        <v>44537</v>
      </c>
      <c r="J304" s="2">
        <f ca="1">IFERROR(__xludf.DUMMYFUNCTION("""COMPUTED_VALUE"""),44901)</f>
        <v>44901</v>
      </c>
    </row>
    <row r="305" spans="1:10" x14ac:dyDescent="0.25">
      <c r="A305" s="1" t="str">
        <f ca="1">IFERROR(__xludf.DUMMYFUNCTION("""COMPUTED_VALUE"""),"Tisza TSE")</f>
        <v>Tisza TSE</v>
      </c>
      <c r="B305" s="1" t="str">
        <f ca="1">IFERROR(__xludf.DUMMYFUNCTION("""COMPUTED_VALUE"""),"Bodzsár András")</f>
        <v>Bodzsár András</v>
      </c>
      <c r="C305" s="1"/>
      <c r="D305" s="1" t="str">
        <f ca="1">IFERROR(__xludf.DUMMYFUNCTION("""COMPUTED_VALUE"""),"Férfi")</f>
        <v>Férfi</v>
      </c>
      <c r="E305" s="1"/>
      <c r="F305" s="1">
        <f ca="1">IFERROR(__xludf.DUMMYFUNCTION("""COMPUTED_VALUE"""),2007)</f>
        <v>2007</v>
      </c>
      <c r="G305" s="1">
        <f ca="1">IFERROR(__xludf.DUMMYFUNCTION("""COMPUTED_VALUE"""),3531)</f>
        <v>3531</v>
      </c>
      <c r="H305" s="1" t="str">
        <f ca="1">IFERROR(__xludf.DUMMYFUNCTION("""COMPUTED_VALUE"""),"MTLSZ003531A21")</f>
        <v>MTLSZ003531A21</v>
      </c>
      <c r="I305" s="2">
        <f ca="1">IFERROR(__xludf.DUMMYFUNCTION("""COMPUTED_VALUE"""),44537)</f>
        <v>44537</v>
      </c>
      <c r="J305" s="2">
        <f ca="1">IFERROR(__xludf.DUMMYFUNCTION("""COMPUTED_VALUE"""),44901)</f>
        <v>44901</v>
      </c>
    </row>
    <row r="306" spans="1:10" x14ac:dyDescent="0.25">
      <c r="A306" s="1" t="str">
        <f ca="1">IFERROR(__xludf.DUMMYFUNCTION("""COMPUTED_VALUE"""),"CET SE")</f>
        <v>CET SE</v>
      </c>
      <c r="B306" s="1" t="str">
        <f ca="1">IFERROR(__xludf.DUMMYFUNCTION("""COMPUTED_VALUE"""),"Halász Bence")</f>
        <v>Halász Bence</v>
      </c>
      <c r="C306" s="1"/>
      <c r="D306" s="1" t="str">
        <f ca="1">IFERROR(__xludf.DUMMYFUNCTION("""COMPUTED_VALUE"""),"Férfi")</f>
        <v>Férfi</v>
      </c>
      <c r="E306" s="1"/>
      <c r="F306" s="1">
        <f ca="1">IFERROR(__xludf.DUMMYFUNCTION("""COMPUTED_VALUE"""),1999)</f>
        <v>1999</v>
      </c>
      <c r="G306" s="1">
        <f ca="1">IFERROR(__xludf.DUMMYFUNCTION("""COMPUTED_VALUE"""),2321)</f>
        <v>2321</v>
      </c>
      <c r="H306" s="1" t="str">
        <f ca="1">IFERROR(__xludf.DUMMYFUNCTION("""COMPUTED_VALUE"""),"MTLSZ002321A21")</f>
        <v>MTLSZ002321A21</v>
      </c>
      <c r="I306" s="2">
        <f ca="1">IFERROR(__xludf.DUMMYFUNCTION("""COMPUTED_VALUE"""),44533)</f>
        <v>44533</v>
      </c>
      <c r="J306" s="2">
        <f ca="1">IFERROR(__xludf.DUMMYFUNCTION("""COMPUTED_VALUE"""),44897)</f>
        <v>44897</v>
      </c>
    </row>
    <row r="307" spans="1:10" x14ac:dyDescent="0.25">
      <c r="A307" s="1" t="str">
        <f ca="1">IFERROR(__xludf.DUMMYFUNCTION("""COMPUTED_VALUE"""),"Életmód SE")</f>
        <v>Életmód SE</v>
      </c>
      <c r="B307" s="1" t="str">
        <f ca="1">IFERROR(__xludf.DUMMYFUNCTION("""COMPUTED_VALUE"""),"Kispeti Andrea")</f>
        <v>Kispeti Andrea</v>
      </c>
      <c r="C307" s="1"/>
      <c r="D307" s="1" t="str">
        <f ca="1">IFERROR(__xludf.DUMMYFUNCTION("""COMPUTED_VALUE"""),"Nő")</f>
        <v>Nő</v>
      </c>
      <c r="E307" s="1"/>
      <c r="F307" s="1">
        <f ca="1">IFERROR(__xludf.DUMMYFUNCTION("""COMPUTED_VALUE"""),1976)</f>
        <v>1976</v>
      </c>
      <c r="G307" s="1">
        <f ca="1">IFERROR(__xludf.DUMMYFUNCTION("""COMPUTED_VALUE"""),3547)</f>
        <v>3547</v>
      </c>
      <c r="H307" s="1" t="str">
        <f ca="1">IFERROR(__xludf.DUMMYFUNCTION("""COMPUTED_VALUE"""),"MTLSZ003547A21")</f>
        <v>MTLSZ003547A21</v>
      </c>
      <c r="I307" s="2">
        <f ca="1">IFERROR(__xludf.DUMMYFUNCTION("""COMPUTED_VALUE"""),44533)</f>
        <v>44533</v>
      </c>
      <c r="J307" s="2">
        <f ca="1">IFERROR(__xludf.DUMMYFUNCTION("""COMPUTED_VALUE"""),44897)</f>
        <v>44897</v>
      </c>
    </row>
    <row r="308" spans="1:10" x14ac:dyDescent="0.25">
      <c r="A308" s="1" t="str">
        <f ca="1">IFERROR(__xludf.DUMMYFUNCTION("""COMPUTED_VALUE"""),"Verőcei DE")</f>
        <v>Verőcei DE</v>
      </c>
      <c r="B308" s="1" t="str">
        <f ca="1">IFERROR(__xludf.DUMMYFUNCTION("""COMPUTED_VALUE"""),"Havasi Attila")</f>
        <v>Havasi Attila</v>
      </c>
      <c r="C308" s="1"/>
      <c r="D308" s="1" t="str">
        <f ca="1">IFERROR(__xludf.DUMMYFUNCTION("""COMPUTED_VALUE"""),"Férfi")</f>
        <v>Férfi</v>
      </c>
      <c r="E308" s="1"/>
      <c r="F308" s="1">
        <f ca="1">IFERROR(__xludf.DUMMYFUNCTION("""COMPUTED_VALUE"""),1973)</f>
        <v>1973</v>
      </c>
      <c r="G308" s="1">
        <f ca="1">IFERROR(__xludf.DUMMYFUNCTION("""COMPUTED_VALUE"""),3423)</f>
        <v>3423</v>
      </c>
      <c r="H308" s="1" t="str">
        <f ca="1">IFERROR(__xludf.DUMMYFUNCTION("""COMPUTED_VALUE"""),"MTLSZ003423A21")</f>
        <v>MTLSZ003423A21</v>
      </c>
      <c r="I308" s="2">
        <f ca="1">IFERROR(__xludf.DUMMYFUNCTION("""COMPUTED_VALUE"""),44533)</f>
        <v>44533</v>
      </c>
      <c r="J308" s="2">
        <f ca="1">IFERROR(__xludf.DUMMYFUNCTION("""COMPUTED_VALUE"""),44897)</f>
        <v>44897</v>
      </c>
    </row>
    <row r="309" spans="1:10" x14ac:dyDescent="0.25">
      <c r="A309" s="1" t="str">
        <f ca="1">IFERROR(__xludf.DUMMYFUNCTION("""COMPUTED_VALUE"""),"VSD")</f>
        <v>VSD</v>
      </c>
      <c r="B309" s="1" t="str">
        <f ca="1">IFERROR(__xludf.DUMMYFUNCTION("""COMPUTED_VALUE"""),"Havasi Nóra Luca")</f>
        <v>Havasi Nóra Luca</v>
      </c>
      <c r="C309" s="1"/>
      <c r="D309" s="1" t="str">
        <f ca="1">IFERROR(__xludf.DUMMYFUNCTION("""COMPUTED_VALUE"""),"Nő")</f>
        <v>Nő</v>
      </c>
      <c r="E309" s="1"/>
      <c r="F309" s="1">
        <f ca="1">IFERROR(__xludf.DUMMYFUNCTION("""COMPUTED_VALUE"""),2006)</f>
        <v>2006</v>
      </c>
      <c r="G309" s="1">
        <f ca="1">IFERROR(__xludf.DUMMYFUNCTION("""COMPUTED_VALUE"""),2740)</f>
        <v>2740</v>
      </c>
      <c r="H309" s="1" t="str">
        <f ca="1">IFERROR(__xludf.DUMMYFUNCTION("""COMPUTED_VALUE"""),"MTLSZ002740A21")</f>
        <v>MTLSZ002740A21</v>
      </c>
      <c r="I309" s="2">
        <f ca="1">IFERROR(__xludf.DUMMYFUNCTION("""COMPUTED_VALUE"""),44533)</f>
        <v>44533</v>
      </c>
      <c r="J309" s="2">
        <f ca="1">IFERROR(__xludf.DUMMYFUNCTION("""COMPUTED_VALUE"""),44897)</f>
        <v>44897</v>
      </c>
    </row>
    <row r="310" spans="1:10" x14ac:dyDescent="0.25">
      <c r="A310" s="1" t="str">
        <f ca="1">IFERROR(__xludf.DUMMYFUNCTION("""COMPUTED_VALUE"""),"Talentum TSE")</f>
        <v>Talentum TSE</v>
      </c>
      <c r="B310" s="1" t="str">
        <f ca="1">IFERROR(__xludf.DUMMYFUNCTION("""COMPUTED_VALUE"""),"Czibula Csanád")</f>
        <v>Czibula Csanád</v>
      </c>
      <c r="C310" s="1"/>
      <c r="D310" s="1" t="str">
        <f ca="1">IFERROR(__xludf.DUMMYFUNCTION("""COMPUTED_VALUE"""),"Férfi")</f>
        <v>Férfi</v>
      </c>
      <c r="E310" s="1"/>
      <c r="F310" s="1">
        <f ca="1">IFERROR(__xludf.DUMMYFUNCTION("""COMPUTED_VALUE"""),2007)</f>
        <v>2007</v>
      </c>
      <c r="G310" s="1">
        <f ca="1">IFERROR(__xludf.DUMMYFUNCTION("""COMPUTED_VALUE"""),4749)</f>
        <v>4749</v>
      </c>
      <c r="H310" s="1" t="str">
        <f ca="1">IFERROR(__xludf.DUMMYFUNCTION("""COMPUTED_VALUE"""),"MTLSZ004749A21")</f>
        <v>MTLSZ004749A21</v>
      </c>
      <c r="I310" s="2">
        <f ca="1">IFERROR(__xludf.DUMMYFUNCTION("""COMPUTED_VALUE"""),44531)</f>
        <v>44531</v>
      </c>
      <c r="J310" s="2">
        <f ca="1">IFERROR(__xludf.DUMMYFUNCTION("""COMPUTED_VALUE"""),44895)</f>
        <v>44895</v>
      </c>
    </row>
    <row r="311" spans="1:10" x14ac:dyDescent="0.25">
      <c r="A311" s="1" t="str">
        <f ca="1">IFERROR(__xludf.DUMMYFUNCTION("""COMPUTED_VALUE"""),"Tapolcai TFSE")</f>
        <v>Tapolcai TFSE</v>
      </c>
      <c r="B311" s="1" t="str">
        <f ca="1">IFERROR(__xludf.DUMMYFUNCTION("""COMPUTED_VALUE"""),"Csapó Mónika Piroska")</f>
        <v>Csapó Mónika Piroska</v>
      </c>
      <c r="C311" s="1"/>
      <c r="D311" s="1" t="str">
        <f ca="1">IFERROR(__xludf.DUMMYFUNCTION("""COMPUTED_VALUE"""),"Nő")</f>
        <v>Nő</v>
      </c>
      <c r="E311" s="1"/>
      <c r="F311" s="1">
        <f ca="1">IFERROR(__xludf.DUMMYFUNCTION("""COMPUTED_VALUE"""),1971)</f>
        <v>1971</v>
      </c>
      <c r="G311" s="1">
        <f ca="1">IFERROR(__xludf.DUMMYFUNCTION("""COMPUTED_VALUE"""),3372)</f>
        <v>3372</v>
      </c>
      <c r="H311" s="1" t="str">
        <f ca="1">IFERROR(__xludf.DUMMYFUNCTION("""COMPUTED_VALUE"""),"MTLSZ003372A21")</f>
        <v>MTLSZ003372A21</v>
      </c>
      <c r="I311" s="2">
        <f ca="1">IFERROR(__xludf.DUMMYFUNCTION("""COMPUTED_VALUE"""),44531)</f>
        <v>44531</v>
      </c>
      <c r="J311" s="2">
        <f ca="1">IFERROR(__xludf.DUMMYFUNCTION("""COMPUTED_VALUE"""),44895)</f>
        <v>44895</v>
      </c>
    </row>
    <row r="312" spans="1:10" x14ac:dyDescent="0.25">
      <c r="A312" s="1" t="str">
        <f ca="1">IFERROR(__xludf.DUMMYFUNCTION("""COMPUTED_VALUE"""),"Tapolcai TFSE")</f>
        <v>Tapolcai TFSE</v>
      </c>
      <c r="B312" s="1" t="str">
        <f ca="1">IFERROR(__xludf.DUMMYFUNCTION("""COMPUTED_VALUE"""),"Csizmadia László")</f>
        <v>Csizmadia László</v>
      </c>
      <c r="C312" s="1"/>
      <c r="D312" s="1" t="str">
        <f ca="1">IFERROR(__xludf.DUMMYFUNCTION("""COMPUTED_VALUE"""),"Férfi")</f>
        <v>Férfi</v>
      </c>
      <c r="E312" s="1"/>
      <c r="F312" s="1">
        <f ca="1">IFERROR(__xludf.DUMMYFUNCTION("""COMPUTED_VALUE"""),1983)</f>
        <v>1983</v>
      </c>
      <c r="G312" s="1">
        <f ca="1">IFERROR(__xludf.DUMMYFUNCTION("""COMPUTED_VALUE"""),3373)</f>
        <v>3373</v>
      </c>
      <c r="H312" s="1" t="str">
        <f ca="1">IFERROR(__xludf.DUMMYFUNCTION("""COMPUTED_VALUE"""),"MTLSZ003373A21")</f>
        <v>MTLSZ003373A21</v>
      </c>
      <c r="I312" s="2">
        <f ca="1">IFERROR(__xludf.DUMMYFUNCTION("""COMPUTED_VALUE"""),44531)</f>
        <v>44531</v>
      </c>
      <c r="J312" s="2">
        <f ca="1">IFERROR(__xludf.DUMMYFUNCTION("""COMPUTED_VALUE"""),44895)</f>
        <v>44895</v>
      </c>
    </row>
    <row r="313" spans="1:10" x14ac:dyDescent="0.25">
      <c r="A313" s="1" t="str">
        <f ca="1">IFERROR(__xludf.DUMMYFUNCTION("""COMPUTED_VALUE"""),"Tapolcai TFSE")</f>
        <v>Tapolcai TFSE</v>
      </c>
      <c r="B313" s="1" t="str">
        <f ca="1">IFERROR(__xludf.DUMMYFUNCTION("""COMPUTED_VALUE"""),"Galambos István")</f>
        <v>Galambos István</v>
      </c>
      <c r="C313" s="1"/>
      <c r="D313" s="1" t="str">
        <f ca="1">IFERROR(__xludf.DUMMYFUNCTION("""COMPUTED_VALUE"""),"Férfi")</f>
        <v>Férfi</v>
      </c>
      <c r="E313" s="1"/>
      <c r="F313" s="1">
        <f ca="1">IFERROR(__xludf.DUMMYFUNCTION("""COMPUTED_VALUE"""),1976)</f>
        <v>1976</v>
      </c>
      <c r="G313" s="1">
        <f ca="1">IFERROR(__xludf.DUMMYFUNCTION("""COMPUTED_VALUE"""),3374)</f>
        <v>3374</v>
      </c>
      <c r="H313" s="1" t="str">
        <f ca="1">IFERROR(__xludf.DUMMYFUNCTION("""COMPUTED_VALUE"""),"MTLSZ003374A21")</f>
        <v>MTLSZ003374A21</v>
      </c>
      <c r="I313" s="2">
        <f ca="1">IFERROR(__xludf.DUMMYFUNCTION("""COMPUTED_VALUE"""),44531)</f>
        <v>44531</v>
      </c>
      <c r="J313" s="2">
        <f ca="1">IFERROR(__xludf.DUMMYFUNCTION("""COMPUTED_VALUE"""),44895)</f>
        <v>44895</v>
      </c>
    </row>
    <row r="314" spans="1:10" x14ac:dyDescent="0.25">
      <c r="A314" s="1" t="str">
        <f ca="1">IFERROR(__xludf.DUMMYFUNCTION("""COMPUTED_VALUE"""),"Tapolcai TFSE")</f>
        <v>Tapolcai TFSE</v>
      </c>
      <c r="B314" s="1" t="str">
        <f ca="1">IFERROR(__xludf.DUMMYFUNCTION("""COMPUTED_VALUE"""),"Gyarmati Zoltán")</f>
        <v>Gyarmati Zoltán</v>
      </c>
      <c r="C314" s="1"/>
      <c r="D314" s="1" t="str">
        <f ca="1">IFERROR(__xludf.DUMMYFUNCTION("""COMPUTED_VALUE"""),"Férfi")</f>
        <v>Férfi</v>
      </c>
      <c r="E314" s="1"/>
      <c r="F314" s="1">
        <f ca="1">IFERROR(__xludf.DUMMYFUNCTION("""COMPUTED_VALUE"""),1970)</f>
        <v>1970</v>
      </c>
      <c r="G314" s="1">
        <f ca="1">IFERROR(__xludf.DUMMYFUNCTION("""COMPUTED_VALUE"""),3376)</f>
        <v>3376</v>
      </c>
      <c r="H314" s="1" t="str">
        <f ca="1">IFERROR(__xludf.DUMMYFUNCTION("""COMPUTED_VALUE"""),"MTLSZ003376A21")</f>
        <v>MTLSZ003376A21</v>
      </c>
      <c r="I314" s="2">
        <f ca="1">IFERROR(__xludf.DUMMYFUNCTION("""COMPUTED_VALUE"""),44531)</f>
        <v>44531</v>
      </c>
      <c r="J314" s="2">
        <f ca="1">IFERROR(__xludf.DUMMYFUNCTION("""COMPUTED_VALUE"""),44895)</f>
        <v>44895</v>
      </c>
    </row>
    <row r="315" spans="1:10" x14ac:dyDescent="0.25">
      <c r="A315" s="1" t="str">
        <f ca="1">IFERROR(__xludf.DUMMYFUNCTION("""COMPUTED_VALUE"""),"Tapolcai TFSE")</f>
        <v>Tapolcai TFSE</v>
      </c>
      <c r="B315" s="1" t="str">
        <f ca="1">IFERROR(__xludf.DUMMYFUNCTION("""COMPUTED_VALUE"""),"Kassai Balázs")</f>
        <v>Kassai Balázs</v>
      </c>
      <c r="C315" s="1"/>
      <c r="D315" s="1" t="str">
        <f ca="1">IFERROR(__xludf.DUMMYFUNCTION("""COMPUTED_VALUE"""),"Férfi")</f>
        <v>Férfi</v>
      </c>
      <c r="E315" s="1"/>
      <c r="F315" s="1">
        <f ca="1">IFERROR(__xludf.DUMMYFUNCTION("""COMPUTED_VALUE"""),1969)</f>
        <v>1969</v>
      </c>
      <c r="G315" s="1">
        <f ca="1">IFERROR(__xludf.DUMMYFUNCTION("""COMPUTED_VALUE"""),2765)</f>
        <v>2765</v>
      </c>
      <c r="H315" s="1" t="str">
        <f ca="1">IFERROR(__xludf.DUMMYFUNCTION("""COMPUTED_VALUE"""),"MTLSZ002765A21")</f>
        <v>MTLSZ002765A21</v>
      </c>
      <c r="I315" s="2">
        <f ca="1">IFERROR(__xludf.DUMMYFUNCTION("""COMPUTED_VALUE"""),44531)</f>
        <v>44531</v>
      </c>
      <c r="J315" s="2">
        <f ca="1">IFERROR(__xludf.DUMMYFUNCTION("""COMPUTED_VALUE"""),44895)</f>
        <v>44895</v>
      </c>
    </row>
    <row r="316" spans="1:10" x14ac:dyDescent="0.25">
      <c r="A316" s="1" t="str">
        <f ca="1">IFERROR(__xludf.DUMMYFUNCTION("""COMPUTED_VALUE"""),"Tapolcai TFSE")</f>
        <v>Tapolcai TFSE</v>
      </c>
      <c r="B316" s="1" t="str">
        <f ca="1">IFERROR(__xludf.DUMMYFUNCTION("""COMPUTED_VALUE"""),"Süle Tamás")</f>
        <v>Süle Tamás</v>
      </c>
      <c r="C316" s="1"/>
      <c r="D316" s="1" t="str">
        <f ca="1">IFERROR(__xludf.DUMMYFUNCTION("""COMPUTED_VALUE"""),"Férfi")</f>
        <v>Férfi</v>
      </c>
      <c r="E316" s="1"/>
      <c r="F316" s="1">
        <f ca="1">IFERROR(__xludf.DUMMYFUNCTION("""COMPUTED_VALUE"""),1976)</f>
        <v>1976</v>
      </c>
      <c r="G316" s="1">
        <f ca="1">IFERROR(__xludf.DUMMYFUNCTION("""COMPUTED_VALUE"""),3574)</f>
        <v>3574</v>
      </c>
      <c r="H316" s="1" t="str">
        <f ca="1">IFERROR(__xludf.DUMMYFUNCTION("""COMPUTED_VALUE"""),"MTLSZ003574A21")</f>
        <v>MTLSZ003574A21</v>
      </c>
      <c r="I316" s="2">
        <f ca="1">IFERROR(__xludf.DUMMYFUNCTION("""COMPUTED_VALUE"""),44531)</f>
        <v>44531</v>
      </c>
      <c r="J316" s="2">
        <f ca="1">IFERROR(__xludf.DUMMYFUNCTION("""COMPUTED_VALUE"""),44895)</f>
        <v>44895</v>
      </c>
    </row>
    <row r="317" spans="1:10" x14ac:dyDescent="0.25">
      <c r="A317" s="1" t="str">
        <f ca="1">IFERROR(__xludf.DUMMYFUNCTION("""COMPUTED_VALUE"""),"Tapolcai TFSE")</f>
        <v>Tapolcai TFSE</v>
      </c>
      <c r="B317" s="1" t="str">
        <f ca="1">IFERROR(__xludf.DUMMYFUNCTION("""COMPUTED_VALUE"""),"Süléné Gyönge Anita")</f>
        <v>Süléné Gyönge Anita</v>
      </c>
      <c r="C317" s="1"/>
      <c r="D317" s="1" t="str">
        <f ca="1">IFERROR(__xludf.DUMMYFUNCTION("""COMPUTED_VALUE"""),"Nő")</f>
        <v>Nő</v>
      </c>
      <c r="E317" s="1"/>
      <c r="F317" s="1">
        <f ca="1">IFERROR(__xludf.DUMMYFUNCTION("""COMPUTED_VALUE"""),1979)</f>
        <v>1979</v>
      </c>
      <c r="G317" s="1">
        <f ca="1">IFERROR(__xludf.DUMMYFUNCTION("""COMPUTED_VALUE"""),3371)</f>
        <v>3371</v>
      </c>
      <c r="H317" s="1" t="str">
        <f ca="1">IFERROR(__xludf.DUMMYFUNCTION("""COMPUTED_VALUE"""),"MTLSZ003371A21")</f>
        <v>MTLSZ003371A21</v>
      </c>
      <c r="I317" s="2">
        <f ca="1">IFERROR(__xludf.DUMMYFUNCTION("""COMPUTED_VALUE"""),44531)</f>
        <v>44531</v>
      </c>
      <c r="J317" s="2">
        <f ca="1">IFERROR(__xludf.DUMMYFUNCTION("""COMPUTED_VALUE"""),44895)</f>
        <v>44895</v>
      </c>
    </row>
    <row r="318" spans="1:10" x14ac:dyDescent="0.25">
      <c r="A318" s="1" t="str">
        <f ca="1">IFERROR(__xludf.DUMMYFUNCTION("""COMPUTED_VALUE"""),"Tapolcai TFSE")</f>
        <v>Tapolcai TFSE</v>
      </c>
      <c r="B318" s="1" t="str">
        <f ca="1">IFERROR(__xludf.DUMMYFUNCTION("""COMPUTED_VALUE"""),"Szabó Bence")</f>
        <v>Szabó Bence</v>
      </c>
      <c r="C318" s="1"/>
      <c r="D318" s="1" t="str">
        <f ca="1">IFERROR(__xludf.DUMMYFUNCTION("""COMPUTED_VALUE"""),"Férfi")</f>
        <v>Férfi</v>
      </c>
      <c r="E318" s="1"/>
      <c r="F318" s="1">
        <f ca="1">IFERROR(__xludf.DUMMYFUNCTION("""COMPUTED_VALUE"""),1980)</f>
        <v>1980</v>
      </c>
      <c r="G318" s="1">
        <f ca="1">IFERROR(__xludf.DUMMYFUNCTION("""COMPUTED_VALUE"""),4748)</f>
        <v>4748</v>
      </c>
      <c r="H318" s="1" t="str">
        <f ca="1">IFERROR(__xludf.DUMMYFUNCTION("""COMPUTED_VALUE"""),"MTLSZ004748A21")</f>
        <v>MTLSZ004748A21</v>
      </c>
      <c r="I318" s="2">
        <f ca="1">IFERROR(__xludf.DUMMYFUNCTION("""COMPUTED_VALUE"""),44531)</f>
        <v>44531</v>
      </c>
      <c r="J318" s="2">
        <f ca="1">IFERROR(__xludf.DUMMYFUNCTION("""COMPUTED_VALUE"""),44895)</f>
        <v>44895</v>
      </c>
    </row>
    <row r="319" spans="1:10" x14ac:dyDescent="0.25">
      <c r="A319" s="1" t="str">
        <f ca="1">IFERROR(__xludf.DUMMYFUNCTION("""COMPUTED_VALUE"""),"Tapolcai TFSE")</f>
        <v>Tapolcai TFSE</v>
      </c>
      <c r="B319" s="1" t="str">
        <f ca="1">IFERROR(__xludf.DUMMYFUNCTION("""COMPUTED_VALUE"""),"Szabó László")</f>
        <v>Szabó László</v>
      </c>
      <c r="C319" s="1"/>
      <c r="D319" s="1" t="str">
        <f ca="1">IFERROR(__xludf.DUMMYFUNCTION("""COMPUTED_VALUE"""),"Férfi")</f>
        <v>Férfi</v>
      </c>
      <c r="E319" s="1"/>
      <c r="F319" s="1">
        <f ca="1">IFERROR(__xludf.DUMMYFUNCTION("""COMPUTED_VALUE"""),1966)</f>
        <v>1966</v>
      </c>
      <c r="G319" s="1">
        <f ca="1">IFERROR(__xludf.DUMMYFUNCTION("""COMPUTED_VALUE"""),3370)</f>
        <v>3370</v>
      </c>
      <c r="H319" s="1" t="str">
        <f ca="1">IFERROR(__xludf.DUMMYFUNCTION("""COMPUTED_VALUE"""),"MTLSZ003370A21")</f>
        <v>MTLSZ003370A21</v>
      </c>
      <c r="I319" s="2">
        <f ca="1">IFERROR(__xludf.DUMMYFUNCTION("""COMPUTED_VALUE"""),44531)</f>
        <v>44531</v>
      </c>
      <c r="J319" s="2">
        <f ca="1">IFERROR(__xludf.DUMMYFUNCTION("""COMPUTED_VALUE"""),44895)</f>
        <v>44895</v>
      </c>
    </row>
    <row r="320" spans="1:10" x14ac:dyDescent="0.25">
      <c r="A320" s="1" t="str">
        <f ca="1">IFERROR(__xludf.DUMMYFUNCTION("""COMPUTED_VALUE"""),"Tapolcai TFSE")</f>
        <v>Tapolcai TFSE</v>
      </c>
      <c r="B320" s="1" t="str">
        <f ca="1">IFERROR(__xludf.DUMMYFUNCTION("""COMPUTED_VALUE"""),"Szennyai Szabolcs")</f>
        <v>Szennyai Szabolcs</v>
      </c>
      <c r="C320" s="1"/>
      <c r="D320" s="1" t="str">
        <f ca="1">IFERROR(__xludf.DUMMYFUNCTION("""COMPUTED_VALUE"""),"Férfi")</f>
        <v>Férfi</v>
      </c>
      <c r="E320" s="1"/>
      <c r="F320" s="1">
        <f ca="1">IFERROR(__xludf.DUMMYFUNCTION("""COMPUTED_VALUE"""),1974)</f>
        <v>1974</v>
      </c>
      <c r="G320" s="1">
        <f ca="1">IFERROR(__xludf.DUMMYFUNCTION("""COMPUTED_VALUE"""),3369)</f>
        <v>3369</v>
      </c>
      <c r="H320" s="1" t="str">
        <f ca="1">IFERROR(__xludf.DUMMYFUNCTION("""COMPUTED_VALUE"""),"MTLSZ003369A21")</f>
        <v>MTLSZ003369A21</v>
      </c>
      <c r="I320" s="2">
        <f ca="1">IFERROR(__xludf.DUMMYFUNCTION("""COMPUTED_VALUE"""),44531)</f>
        <v>44531</v>
      </c>
      <c r="J320" s="2">
        <f ca="1">IFERROR(__xludf.DUMMYFUNCTION("""COMPUTED_VALUE"""),44895)</f>
        <v>44895</v>
      </c>
    </row>
    <row r="321" spans="1:10" x14ac:dyDescent="0.25">
      <c r="A321" s="1" t="str">
        <f ca="1">IFERROR(__xludf.DUMMYFUNCTION("""COMPUTED_VALUE"""),"Tapolcai TFSE")</f>
        <v>Tapolcai TFSE</v>
      </c>
      <c r="B321" s="1" t="str">
        <f ca="1">IFERROR(__xludf.DUMMYFUNCTION("""COMPUTED_VALUE"""),"Tőkés András")</f>
        <v>Tőkés András</v>
      </c>
      <c r="C321" s="1"/>
      <c r="D321" s="1" t="str">
        <f ca="1">IFERROR(__xludf.DUMMYFUNCTION("""COMPUTED_VALUE"""),"Férfi")</f>
        <v>Férfi</v>
      </c>
      <c r="E321" s="1"/>
      <c r="F321" s="1">
        <f ca="1">IFERROR(__xludf.DUMMYFUNCTION("""COMPUTED_VALUE"""),1973)</f>
        <v>1973</v>
      </c>
      <c r="G321" s="1">
        <f ca="1">IFERROR(__xludf.DUMMYFUNCTION("""COMPUTED_VALUE"""),3368)</f>
        <v>3368</v>
      </c>
      <c r="H321" s="1" t="str">
        <f ca="1">IFERROR(__xludf.DUMMYFUNCTION("""COMPUTED_VALUE"""),"MTLSZ003368A21")</f>
        <v>MTLSZ003368A21</v>
      </c>
      <c r="I321" s="2">
        <f ca="1">IFERROR(__xludf.DUMMYFUNCTION("""COMPUTED_VALUE"""),44531)</f>
        <v>44531</v>
      </c>
      <c r="J321" s="2">
        <f ca="1">IFERROR(__xludf.DUMMYFUNCTION("""COMPUTED_VALUE"""),44895)</f>
        <v>44895</v>
      </c>
    </row>
    <row r="322" spans="1:10" x14ac:dyDescent="0.25">
      <c r="A322" s="1" t="str">
        <f ca="1">IFERROR(__xludf.DUMMYFUNCTION("""COMPUTED_VALUE"""),"Tollas Gólyák SE")</f>
        <v>Tollas Gólyák SE</v>
      </c>
      <c r="B322" s="1" t="str">
        <f ca="1">IFERROR(__xludf.DUMMYFUNCTION("""COMPUTED_VALUE"""),"Deszk Réka")</f>
        <v>Deszk Réka</v>
      </c>
      <c r="C322" s="1"/>
      <c r="D322" s="1" t="str">
        <f ca="1">IFERROR(__xludf.DUMMYFUNCTION("""COMPUTED_VALUE"""),"Nő")</f>
        <v>Nő</v>
      </c>
      <c r="E322" s="1"/>
      <c r="F322" s="1">
        <f ca="1">IFERROR(__xludf.DUMMYFUNCTION("""COMPUTED_VALUE"""),2007)</f>
        <v>2007</v>
      </c>
      <c r="G322" s="1">
        <f ca="1">IFERROR(__xludf.DUMMYFUNCTION("""COMPUTED_VALUE"""),4747)</f>
        <v>4747</v>
      </c>
      <c r="H322" s="1" t="str">
        <f ca="1">IFERROR(__xludf.DUMMYFUNCTION("""COMPUTED_VALUE"""),"MTLSZ004747A21")</f>
        <v>MTLSZ004747A21</v>
      </c>
      <c r="I322" s="2">
        <f ca="1">IFERROR(__xludf.DUMMYFUNCTION("""COMPUTED_VALUE"""),44531)</f>
        <v>44531</v>
      </c>
      <c r="J322" s="2">
        <f ca="1">IFERROR(__xludf.DUMMYFUNCTION("""COMPUTED_VALUE"""),44895)</f>
        <v>44895</v>
      </c>
    </row>
    <row r="323" spans="1:10" x14ac:dyDescent="0.25">
      <c r="A323" s="1" t="str">
        <f ca="1">IFERROR(__xludf.DUMMYFUNCTION("""COMPUTED_VALUE"""),"T(r)ollas SE")</f>
        <v>T(r)ollas SE</v>
      </c>
      <c r="B323" s="1" t="str">
        <f ca="1">IFERROR(__xludf.DUMMYFUNCTION("""COMPUTED_VALUE"""),"Jayabalan Prakash")</f>
        <v>Jayabalan Prakash</v>
      </c>
      <c r="C323" s="1"/>
      <c r="D323" s="1" t="str">
        <f ca="1">IFERROR(__xludf.DUMMYFUNCTION("""COMPUTED_VALUE"""),"Férfi")</f>
        <v>Férfi</v>
      </c>
      <c r="E323" s="1"/>
      <c r="F323" s="1">
        <f ca="1">IFERROR(__xludf.DUMMYFUNCTION("""COMPUTED_VALUE"""),1985)</f>
        <v>1985</v>
      </c>
      <c r="G323" s="1">
        <f ca="1">IFERROR(__xludf.DUMMYFUNCTION("""COMPUTED_VALUE"""),4750)</f>
        <v>4750</v>
      </c>
      <c r="H323" s="1" t="str">
        <f ca="1">IFERROR(__xludf.DUMMYFUNCTION("""COMPUTED_VALUE"""),"MTLSZ004750A21")</f>
        <v>MTLSZ004750A21</v>
      </c>
      <c r="I323" s="2">
        <f ca="1">IFERROR(__xludf.DUMMYFUNCTION("""COMPUTED_VALUE"""),44531)</f>
        <v>44531</v>
      </c>
      <c r="J323" s="2">
        <f ca="1">IFERROR(__xludf.DUMMYFUNCTION("""COMPUTED_VALUE"""),44895)</f>
        <v>44895</v>
      </c>
    </row>
    <row r="324" spans="1:10" x14ac:dyDescent="0.25">
      <c r="A324" s="1" t="str">
        <f ca="1">IFERROR(__xludf.DUMMYFUNCTION("""COMPUTED_VALUE"""),"BEAC")</f>
        <v>BEAC</v>
      </c>
      <c r="B324" s="1" t="str">
        <f ca="1">IFERROR(__xludf.DUMMYFUNCTION("""COMPUTED_VALUE"""),"Phillip George")</f>
        <v>Phillip George</v>
      </c>
      <c r="C324" s="1"/>
      <c r="D324" s="1" t="str">
        <f ca="1">IFERROR(__xludf.DUMMYFUNCTION("""COMPUTED_VALUE"""),"Férfi")</f>
        <v>Férfi</v>
      </c>
      <c r="E324" s="1"/>
      <c r="F324" s="1">
        <f ca="1">IFERROR(__xludf.DUMMYFUNCTION("""COMPUTED_VALUE"""),1981)</f>
        <v>1981</v>
      </c>
      <c r="G324" s="1">
        <f ca="1">IFERROR(__xludf.DUMMYFUNCTION("""COMPUTED_VALUE"""),3251)</f>
        <v>3251</v>
      </c>
      <c r="H324" s="1" t="str">
        <f ca="1">IFERROR(__xludf.DUMMYFUNCTION("""COMPUTED_VALUE"""),"MTLSZ003251A21")</f>
        <v>MTLSZ003251A21</v>
      </c>
      <c r="I324" s="2">
        <f ca="1">IFERROR(__xludf.DUMMYFUNCTION("""COMPUTED_VALUE"""),44530)</f>
        <v>44530</v>
      </c>
      <c r="J324" s="2">
        <f ca="1">IFERROR(__xludf.DUMMYFUNCTION("""COMPUTED_VALUE"""),44894)</f>
        <v>44894</v>
      </c>
    </row>
    <row r="325" spans="1:10" x14ac:dyDescent="0.25">
      <c r="A325" s="1" t="str">
        <f ca="1">IFERROR(__xludf.DUMMYFUNCTION("""COMPUTED_VALUE"""),"Életmód SE")</f>
        <v>Életmód SE</v>
      </c>
      <c r="B325" s="1" t="str">
        <f ca="1">IFERROR(__xludf.DUMMYFUNCTION("""COMPUTED_VALUE"""),"Kovács Viktor")</f>
        <v>Kovács Viktor</v>
      </c>
      <c r="C325" s="1"/>
      <c r="D325" s="1" t="str">
        <f ca="1">IFERROR(__xludf.DUMMYFUNCTION("""COMPUTED_VALUE"""),"Férfi")</f>
        <v>Férfi</v>
      </c>
      <c r="E325" s="1"/>
      <c r="F325" s="1">
        <f ca="1">IFERROR(__xludf.DUMMYFUNCTION("""COMPUTED_VALUE"""),1967)</f>
        <v>1967</v>
      </c>
      <c r="G325" s="1">
        <f ca="1">IFERROR(__xludf.DUMMYFUNCTION("""COMPUTED_VALUE"""),3642)</f>
        <v>3642</v>
      </c>
      <c r="H325" s="1" t="str">
        <f ca="1">IFERROR(__xludf.DUMMYFUNCTION("""COMPUTED_VALUE"""),"MTLSZ003642A21")</f>
        <v>MTLSZ003642A21</v>
      </c>
      <c r="I325" s="2">
        <f ca="1">IFERROR(__xludf.DUMMYFUNCTION("""COMPUTED_VALUE"""),44530)</f>
        <v>44530</v>
      </c>
      <c r="J325" s="2">
        <f ca="1">IFERROR(__xludf.DUMMYFUNCTION("""COMPUTED_VALUE"""),44894)</f>
        <v>44894</v>
      </c>
    </row>
    <row r="326" spans="1:10" x14ac:dyDescent="0.25">
      <c r="A326" s="1" t="str">
        <f ca="1">IFERROR(__xludf.DUMMYFUNCTION("""COMPUTED_VALUE"""),"Életmód SE")</f>
        <v>Életmód SE</v>
      </c>
      <c r="B326" s="1" t="str">
        <f ca="1">IFERROR(__xludf.DUMMYFUNCTION("""COMPUTED_VALUE"""),"Szabó Richárd")</f>
        <v>Szabó Richárd</v>
      </c>
      <c r="C326" s="1"/>
      <c r="D326" s="1" t="str">
        <f ca="1">IFERROR(__xludf.DUMMYFUNCTION("""COMPUTED_VALUE"""),"Férfi")</f>
        <v>Férfi</v>
      </c>
      <c r="E326" s="1"/>
      <c r="F326" s="1">
        <f ca="1">IFERROR(__xludf.DUMMYFUNCTION("""COMPUTED_VALUE"""),1996)</f>
        <v>1996</v>
      </c>
      <c r="G326" s="1">
        <f ca="1">IFERROR(__xludf.DUMMYFUNCTION("""COMPUTED_VALUE"""),3789)</f>
        <v>3789</v>
      </c>
      <c r="H326" s="1" t="str">
        <f ca="1">IFERROR(__xludf.DUMMYFUNCTION("""COMPUTED_VALUE"""),"MTLSZ003789A21")</f>
        <v>MTLSZ003789A21</v>
      </c>
      <c r="I326" s="2">
        <f ca="1">IFERROR(__xludf.DUMMYFUNCTION("""COMPUTED_VALUE"""),44530)</f>
        <v>44530</v>
      </c>
      <c r="J326" s="2">
        <f ca="1">IFERROR(__xludf.DUMMYFUNCTION("""COMPUTED_VALUE"""),44894)</f>
        <v>44894</v>
      </c>
    </row>
    <row r="327" spans="1:10" x14ac:dyDescent="0.25">
      <c r="A327" s="1" t="str">
        <f ca="1">IFERROR(__xludf.DUMMYFUNCTION("""COMPUTED_VALUE"""),"Ludovika SE")</f>
        <v>Ludovika SE</v>
      </c>
      <c r="B327" s="1" t="str">
        <f ca="1">IFERROR(__xludf.DUMMYFUNCTION("""COMPUTED_VALUE"""),"Molnár Zsolt")</f>
        <v>Molnár Zsolt</v>
      </c>
      <c r="C327" s="1"/>
      <c r="D327" s="1" t="str">
        <f ca="1">IFERROR(__xludf.DUMMYFUNCTION("""COMPUTED_VALUE"""),"Férfi")</f>
        <v>Férfi</v>
      </c>
      <c r="E327" s="1"/>
      <c r="F327" s="1">
        <f ca="1">IFERROR(__xludf.DUMMYFUNCTION("""COMPUTED_VALUE"""),1974)</f>
        <v>1974</v>
      </c>
      <c r="G327" s="1">
        <f ca="1">IFERROR(__xludf.DUMMYFUNCTION("""COMPUTED_VALUE"""),2706)</f>
        <v>2706</v>
      </c>
      <c r="H327" s="1" t="str">
        <f ca="1">IFERROR(__xludf.DUMMYFUNCTION("""COMPUTED_VALUE"""),"MTLSZ002706A21")</f>
        <v>MTLSZ002706A21</v>
      </c>
      <c r="I327" s="2">
        <f ca="1">IFERROR(__xludf.DUMMYFUNCTION("""COMPUTED_VALUE"""),44530)</f>
        <v>44530</v>
      </c>
      <c r="J327" s="2">
        <f ca="1">IFERROR(__xludf.DUMMYFUNCTION("""COMPUTED_VALUE"""),44894)</f>
        <v>44894</v>
      </c>
    </row>
    <row r="328" spans="1:10" x14ac:dyDescent="0.25">
      <c r="A328" s="1" t="str">
        <f ca="1">IFERROR(__xludf.DUMMYFUNCTION("""COMPUTED_VALUE"""),"T(r)ollas SE")</f>
        <v>T(r)ollas SE</v>
      </c>
      <c r="B328" s="1" t="str">
        <f ca="1">IFERROR(__xludf.DUMMYFUNCTION("""COMPUTED_VALUE"""),"Hammer Alexander")</f>
        <v>Hammer Alexander</v>
      </c>
      <c r="C328" s="1"/>
      <c r="D328" s="1" t="str">
        <f ca="1">IFERROR(__xludf.DUMMYFUNCTION("""COMPUTED_VALUE"""),"Férfi")</f>
        <v>Férfi</v>
      </c>
      <c r="E328" s="1"/>
      <c r="F328" s="1">
        <f ca="1">IFERROR(__xludf.DUMMYFUNCTION("""COMPUTED_VALUE"""),1996)</f>
        <v>1996</v>
      </c>
      <c r="G328" s="1">
        <f ca="1">IFERROR(__xludf.DUMMYFUNCTION("""COMPUTED_VALUE"""),3096)</f>
        <v>3096</v>
      </c>
      <c r="H328" s="1" t="str">
        <f ca="1">IFERROR(__xludf.DUMMYFUNCTION("""COMPUTED_VALUE"""),"MTLSZ003096A21")</f>
        <v>MTLSZ003096A21</v>
      </c>
      <c r="I328" s="2">
        <f ca="1">IFERROR(__xludf.DUMMYFUNCTION("""COMPUTED_VALUE"""),44530)</f>
        <v>44530</v>
      </c>
      <c r="J328" s="2">
        <f ca="1">IFERROR(__xludf.DUMMYFUNCTION("""COMPUTED_VALUE"""),44894)</f>
        <v>44894</v>
      </c>
    </row>
    <row r="329" spans="1:10" x14ac:dyDescent="0.25">
      <c r="A329" s="1" t="str">
        <f ca="1">IFERROR(__xludf.DUMMYFUNCTION("""COMPUTED_VALUE"""),"T(r)ollas SE")</f>
        <v>T(r)ollas SE</v>
      </c>
      <c r="B329" s="1" t="str">
        <f ca="1">IFERROR(__xludf.DUMMYFUNCTION("""COMPUTED_VALUE"""),"Liang Olivér")</f>
        <v>Liang Olivér</v>
      </c>
      <c r="C329" s="1"/>
      <c r="D329" s="1" t="str">
        <f ca="1">IFERROR(__xludf.DUMMYFUNCTION("""COMPUTED_VALUE"""),"Férfi")</f>
        <v>Férfi</v>
      </c>
      <c r="E329" s="1"/>
      <c r="F329" s="1">
        <f ca="1">IFERROR(__xludf.DUMMYFUNCTION("""COMPUTED_VALUE"""),2011)</f>
        <v>2011</v>
      </c>
      <c r="G329" s="1">
        <f ca="1">IFERROR(__xludf.DUMMYFUNCTION("""COMPUTED_VALUE"""),3667)</f>
        <v>3667</v>
      </c>
      <c r="H329" s="1" t="str">
        <f ca="1">IFERROR(__xludf.DUMMYFUNCTION("""COMPUTED_VALUE"""),"MTLSZ003667A21")</f>
        <v>MTLSZ003667A21</v>
      </c>
      <c r="I329" s="2">
        <f ca="1">IFERROR(__xludf.DUMMYFUNCTION("""COMPUTED_VALUE"""),44530)</f>
        <v>44530</v>
      </c>
      <c r="J329" s="2">
        <f ca="1">IFERROR(__xludf.DUMMYFUNCTION("""COMPUTED_VALUE"""),44894)</f>
        <v>44894</v>
      </c>
    </row>
    <row r="330" spans="1:10" x14ac:dyDescent="0.25">
      <c r="A330" s="1" t="str">
        <f ca="1">IFERROR(__xludf.DUMMYFUNCTION("""COMPUTED_VALUE"""),"Verőcei DE")</f>
        <v>Verőcei DE</v>
      </c>
      <c r="B330" s="1" t="str">
        <f ca="1">IFERROR(__xludf.DUMMYFUNCTION("""COMPUTED_VALUE"""),"Debre Dorka")</f>
        <v>Debre Dorka</v>
      </c>
      <c r="C330" s="1"/>
      <c r="D330" s="1" t="str">
        <f ca="1">IFERROR(__xludf.DUMMYFUNCTION("""COMPUTED_VALUE"""),"Nő")</f>
        <v>Nő</v>
      </c>
      <c r="E330" s="1"/>
      <c r="F330" s="1">
        <f ca="1">IFERROR(__xludf.DUMMYFUNCTION("""COMPUTED_VALUE"""),2012)</f>
        <v>2012</v>
      </c>
      <c r="G330" s="1">
        <f ca="1">IFERROR(__xludf.DUMMYFUNCTION("""COMPUTED_VALUE"""),4746)</f>
        <v>4746</v>
      </c>
      <c r="H330" s="1" t="str">
        <f ca="1">IFERROR(__xludf.DUMMYFUNCTION("""COMPUTED_VALUE"""),"MTLSZ004746A21")</f>
        <v>MTLSZ004746A21</v>
      </c>
      <c r="I330" s="2">
        <f ca="1">IFERROR(__xludf.DUMMYFUNCTION("""COMPUTED_VALUE"""),44526)</f>
        <v>44526</v>
      </c>
      <c r="J330" s="2">
        <f ca="1">IFERROR(__xludf.DUMMYFUNCTION("""COMPUTED_VALUE"""),44890)</f>
        <v>44890</v>
      </c>
    </row>
    <row r="331" spans="1:10" x14ac:dyDescent="0.25">
      <c r="A331" s="1" t="str">
        <f ca="1">IFERROR(__xludf.DUMMYFUNCTION("""COMPUTED_VALUE"""),"Talentum TSE")</f>
        <v>Talentum TSE</v>
      </c>
      <c r="B331" s="1" t="str">
        <f ca="1">IFERROR(__xludf.DUMMYFUNCTION("""COMPUTED_VALUE"""),"Ilcsik Ivett")</f>
        <v>Ilcsik Ivett</v>
      </c>
      <c r="C331" s="1"/>
      <c r="D331" s="1" t="str">
        <f ca="1">IFERROR(__xludf.DUMMYFUNCTION("""COMPUTED_VALUE"""),"Nő")</f>
        <v>Nő</v>
      </c>
      <c r="E331" s="1"/>
      <c r="F331" s="1">
        <f ca="1">IFERROR(__xludf.DUMMYFUNCTION("""COMPUTED_VALUE"""),2008)</f>
        <v>2008</v>
      </c>
      <c r="G331" s="1">
        <f ca="1">IFERROR(__xludf.DUMMYFUNCTION("""COMPUTED_VALUE"""),3482)</f>
        <v>3482</v>
      </c>
      <c r="H331" s="1" t="str">
        <f ca="1">IFERROR(__xludf.DUMMYFUNCTION("""COMPUTED_VALUE"""),"MTLSZ003482A21")</f>
        <v>MTLSZ003482A21</v>
      </c>
      <c r="I331" s="2">
        <f ca="1">IFERROR(__xludf.DUMMYFUNCTION("""COMPUTED_VALUE"""),44525)</f>
        <v>44525</v>
      </c>
      <c r="J331" s="2">
        <f ca="1">IFERROR(__xludf.DUMMYFUNCTION("""COMPUTED_VALUE"""),44889)</f>
        <v>44889</v>
      </c>
    </row>
    <row r="332" spans="1:10" x14ac:dyDescent="0.25">
      <c r="A332" s="1" t="str">
        <f ca="1">IFERROR(__xludf.DUMMYFUNCTION("""COMPUTED_VALUE"""),"Talentum TSE")</f>
        <v>Talentum TSE</v>
      </c>
      <c r="B332" s="1" t="str">
        <f ca="1">IFERROR(__xludf.DUMMYFUNCTION("""COMPUTED_VALUE"""),"Pál László")</f>
        <v>Pál László</v>
      </c>
      <c r="C332" s="1"/>
      <c r="D332" s="1" t="str">
        <f ca="1">IFERROR(__xludf.DUMMYFUNCTION("""COMPUTED_VALUE"""),"Férfi")</f>
        <v>Férfi</v>
      </c>
      <c r="E332" s="1"/>
      <c r="F332" s="1">
        <f ca="1">IFERROR(__xludf.DUMMYFUNCTION("""COMPUTED_VALUE"""),1977)</f>
        <v>1977</v>
      </c>
      <c r="G332" s="1">
        <f ca="1">IFERROR(__xludf.DUMMYFUNCTION("""COMPUTED_VALUE"""),3490)</f>
        <v>3490</v>
      </c>
      <c r="H332" s="1" t="str">
        <f ca="1">IFERROR(__xludf.DUMMYFUNCTION("""COMPUTED_VALUE"""),"MTLSZ003490A21")</f>
        <v>MTLSZ003490A21</v>
      </c>
      <c r="I332" s="2">
        <f ca="1">IFERROR(__xludf.DUMMYFUNCTION("""COMPUTED_VALUE"""),44525)</f>
        <v>44525</v>
      </c>
      <c r="J332" s="2">
        <f ca="1">IFERROR(__xludf.DUMMYFUNCTION("""COMPUTED_VALUE"""),44889)</f>
        <v>44889</v>
      </c>
    </row>
    <row r="333" spans="1:10" x14ac:dyDescent="0.25">
      <c r="A333" s="1" t="str">
        <f ca="1">IFERROR(__xludf.DUMMYFUNCTION("""COMPUTED_VALUE"""),"Talentum TSE")</f>
        <v>Talentum TSE</v>
      </c>
      <c r="B333" s="1" t="str">
        <f ca="1">IFERROR(__xludf.DUMMYFUNCTION("""COMPUTED_VALUE"""),"Pál Máté")</f>
        <v>Pál Máté</v>
      </c>
      <c r="C333" s="1"/>
      <c r="D333" s="1" t="str">
        <f ca="1">IFERROR(__xludf.DUMMYFUNCTION("""COMPUTED_VALUE"""),"Férfi")</f>
        <v>Férfi</v>
      </c>
      <c r="E333" s="1"/>
      <c r="F333" s="1">
        <f ca="1">IFERROR(__xludf.DUMMYFUNCTION("""COMPUTED_VALUE"""),2008)</f>
        <v>2008</v>
      </c>
      <c r="G333" s="1">
        <f ca="1">IFERROR(__xludf.DUMMYFUNCTION("""COMPUTED_VALUE"""),3486)</f>
        <v>3486</v>
      </c>
      <c r="H333" s="1" t="str">
        <f ca="1">IFERROR(__xludf.DUMMYFUNCTION("""COMPUTED_VALUE"""),"MTLSZ003486A21")</f>
        <v>MTLSZ003486A21</v>
      </c>
      <c r="I333" s="2">
        <f ca="1">IFERROR(__xludf.DUMMYFUNCTION("""COMPUTED_VALUE"""),44525)</f>
        <v>44525</v>
      </c>
      <c r="J333" s="2">
        <f ca="1">IFERROR(__xludf.DUMMYFUNCTION("""COMPUTED_VALUE"""),44889)</f>
        <v>44889</v>
      </c>
    </row>
    <row r="334" spans="1:10" x14ac:dyDescent="0.25">
      <c r="A334" s="1" t="str">
        <f ca="1">IFERROR(__xludf.DUMMYFUNCTION("""COMPUTED_VALUE"""),"Tapolcai TFSE")</f>
        <v>Tapolcai TFSE</v>
      </c>
      <c r="B334" s="1" t="str">
        <f ca="1">IFERROR(__xludf.DUMMYFUNCTION("""COMPUTED_VALUE"""),"Gombkötő Richárd")</f>
        <v>Gombkötő Richárd</v>
      </c>
      <c r="C334" s="1"/>
      <c r="D334" s="1" t="str">
        <f ca="1">IFERROR(__xludf.DUMMYFUNCTION("""COMPUTED_VALUE"""),"Férfi")</f>
        <v>Férfi</v>
      </c>
      <c r="E334" s="1"/>
      <c r="F334" s="1">
        <f ca="1">IFERROR(__xludf.DUMMYFUNCTION("""COMPUTED_VALUE"""),1972)</f>
        <v>1972</v>
      </c>
      <c r="G334" s="1">
        <f ca="1">IFERROR(__xludf.DUMMYFUNCTION("""COMPUTED_VALUE"""),2442)</f>
        <v>2442</v>
      </c>
      <c r="H334" s="1" t="str">
        <f ca="1">IFERROR(__xludf.DUMMYFUNCTION("""COMPUTED_VALUE"""),"MTLSZ002442A21")</f>
        <v>MTLSZ002442A21</v>
      </c>
      <c r="I334" s="2">
        <f ca="1">IFERROR(__xludf.DUMMYFUNCTION("""COMPUTED_VALUE"""),44525)</f>
        <v>44525</v>
      </c>
      <c r="J334" s="2">
        <f ca="1">IFERROR(__xludf.DUMMYFUNCTION("""COMPUTED_VALUE"""),44889)</f>
        <v>44889</v>
      </c>
    </row>
    <row r="335" spans="1:10" x14ac:dyDescent="0.25">
      <c r="A335" s="1" t="str">
        <f ca="1">IFERROR(__xludf.DUMMYFUNCTION("""COMPUTED_VALUE"""),"Tapolcai TFSE")</f>
        <v>Tapolcai TFSE</v>
      </c>
      <c r="B335" s="1" t="str">
        <f ca="1">IFERROR(__xludf.DUMMYFUNCTION("""COMPUTED_VALUE"""),"Gyarmati Zoltánné")</f>
        <v>Gyarmati Zoltánné</v>
      </c>
      <c r="C335" s="1"/>
      <c r="D335" s="1" t="str">
        <f ca="1">IFERROR(__xludf.DUMMYFUNCTION("""COMPUTED_VALUE"""),"Nő")</f>
        <v>Nő</v>
      </c>
      <c r="E335" s="1"/>
      <c r="F335" s="1">
        <f ca="1">IFERROR(__xludf.DUMMYFUNCTION("""COMPUTED_VALUE"""),1972)</f>
        <v>1972</v>
      </c>
      <c r="G335" s="1">
        <f ca="1">IFERROR(__xludf.DUMMYFUNCTION("""COMPUTED_VALUE"""),2762)</f>
        <v>2762</v>
      </c>
      <c r="H335" s="1" t="str">
        <f ca="1">IFERROR(__xludf.DUMMYFUNCTION("""COMPUTED_VALUE"""),"MTLSZ002762A21")</f>
        <v>MTLSZ002762A21</v>
      </c>
      <c r="I335" s="2">
        <f ca="1">IFERROR(__xludf.DUMMYFUNCTION("""COMPUTED_VALUE"""),44525)</f>
        <v>44525</v>
      </c>
      <c r="J335" s="2">
        <f ca="1">IFERROR(__xludf.DUMMYFUNCTION("""COMPUTED_VALUE"""),44889)</f>
        <v>44889</v>
      </c>
    </row>
    <row r="336" spans="1:10" x14ac:dyDescent="0.25">
      <c r="A336" s="1" t="str">
        <f ca="1">IFERROR(__xludf.DUMMYFUNCTION("""COMPUTED_VALUE"""),"Életmód SE")</f>
        <v>Életmód SE</v>
      </c>
      <c r="B336" s="1" t="str">
        <f ca="1">IFERROR(__xludf.DUMMYFUNCTION("""COMPUTED_VALUE"""),"Csurgai Zoltán")</f>
        <v>Csurgai Zoltán</v>
      </c>
      <c r="C336" s="1"/>
      <c r="D336" s="1" t="str">
        <f ca="1">IFERROR(__xludf.DUMMYFUNCTION("""COMPUTED_VALUE"""),"Férfi")</f>
        <v>Férfi</v>
      </c>
      <c r="E336" s="1"/>
      <c r="F336" s="1">
        <f ca="1">IFERROR(__xludf.DUMMYFUNCTION("""COMPUTED_VALUE"""),1980)</f>
        <v>1980</v>
      </c>
      <c r="G336" s="1">
        <f ca="1">IFERROR(__xludf.DUMMYFUNCTION("""COMPUTED_VALUE"""),3624)</f>
        <v>3624</v>
      </c>
      <c r="H336" s="1" t="str">
        <f ca="1">IFERROR(__xludf.DUMMYFUNCTION("""COMPUTED_VALUE"""),"MTLSZ003624A21")</f>
        <v>MTLSZ003624A21</v>
      </c>
      <c r="I336" s="2">
        <f ca="1">IFERROR(__xludf.DUMMYFUNCTION("""COMPUTED_VALUE"""),44524)</f>
        <v>44524</v>
      </c>
      <c r="J336" s="2">
        <f ca="1">IFERROR(__xludf.DUMMYFUNCTION("""COMPUTED_VALUE"""),44888)</f>
        <v>44888</v>
      </c>
    </row>
    <row r="337" spans="1:10" x14ac:dyDescent="0.25">
      <c r="A337" s="1" t="str">
        <f ca="1">IFERROR(__xludf.DUMMYFUNCTION("""COMPUTED_VALUE"""),"Életmód SE")</f>
        <v>Életmód SE</v>
      </c>
      <c r="B337" s="1" t="str">
        <f ca="1">IFERROR(__xludf.DUMMYFUNCTION("""COMPUTED_VALUE"""),"Kiss Gábor")</f>
        <v>Kiss Gábor</v>
      </c>
      <c r="C337" s="1"/>
      <c r="D337" s="1" t="str">
        <f ca="1">IFERROR(__xludf.DUMMYFUNCTION("""COMPUTED_VALUE"""),"Férfi")</f>
        <v>Férfi</v>
      </c>
      <c r="E337" s="1"/>
      <c r="F337" s="1">
        <f ca="1">IFERROR(__xludf.DUMMYFUNCTION("""COMPUTED_VALUE"""),1977)</f>
        <v>1977</v>
      </c>
      <c r="G337" s="1">
        <f ca="1">IFERROR(__xludf.DUMMYFUNCTION("""COMPUTED_VALUE"""),3626)</f>
        <v>3626</v>
      </c>
      <c r="H337" s="1" t="str">
        <f ca="1">IFERROR(__xludf.DUMMYFUNCTION("""COMPUTED_VALUE"""),"MTLSZ003626A21")</f>
        <v>MTLSZ003626A21</v>
      </c>
      <c r="I337" s="2">
        <f ca="1">IFERROR(__xludf.DUMMYFUNCTION("""COMPUTED_VALUE"""),44524)</f>
        <v>44524</v>
      </c>
      <c r="J337" s="2">
        <f ca="1">IFERROR(__xludf.DUMMYFUNCTION("""COMPUTED_VALUE"""),44888)</f>
        <v>44888</v>
      </c>
    </row>
    <row r="338" spans="1:10" x14ac:dyDescent="0.25">
      <c r="A338" s="1" t="str">
        <f ca="1">IFERROR(__xludf.DUMMYFUNCTION("""COMPUTED_VALUE"""),"Főtaxi SC")</f>
        <v>Főtaxi SC</v>
      </c>
      <c r="B338" s="1" t="str">
        <f ca="1">IFERROR(__xludf.DUMMYFUNCTION("""COMPUTED_VALUE"""),"Szabó Károly")</f>
        <v>Szabó Károly</v>
      </c>
      <c r="C338" s="1"/>
      <c r="D338" s="1" t="str">
        <f ca="1">IFERROR(__xludf.DUMMYFUNCTION("""COMPUTED_VALUE"""),"Férfi")</f>
        <v>Férfi</v>
      </c>
      <c r="E338" s="1"/>
      <c r="F338" s="1">
        <f ca="1">IFERROR(__xludf.DUMMYFUNCTION("""COMPUTED_VALUE"""),1979)</f>
        <v>1979</v>
      </c>
      <c r="G338" s="1">
        <f ca="1">IFERROR(__xludf.DUMMYFUNCTION("""COMPUTED_VALUE"""),3824)</f>
        <v>3824</v>
      </c>
      <c r="H338" s="1" t="str">
        <f ca="1">IFERROR(__xludf.DUMMYFUNCTION("""COMPUTED_VALUE"""),"MTLSZ003824A21")</f>
        <v>MTLSZ003824A21</v>
      </c>
      <c r="I338" s="2">
        <f ca="1">IFERROR(__xludf.DUMMYFUNCTION("""COMPUTED_VALUE"""),44524)</f>
        <v>44524</v>
      </c>
      <c r="J338" s="2">
        <f ca="1">IFERROR(__xludf.DUMMYFUNCTION("""COMPUTED_VALUE"""),44888)</f>
        <v>44888</v>
      </c>
    </row>
    <row r="339" spans="1:10" x14ac:dyDescent="0.25">
      <c r="A339" s="1" t="str">
        <f ca="1">IFERROR(__xludf.DUMMYFUNCTION("""COMPUTED_VALUE"""),"T(r)ollas SE")</f>
        <v>T(r)ollas SE</v>
      </c>
      <c r="B339" s="1" t="str">
        <f ca="1">IFERROR(__xludf.DUMMYFUNCTION("""COMPUTED_VALUE"""),"Garipally Ajay Kumar")</f>
        <v>Garipally Ajay Kumar</v>
      </c>
      <c r="C339" s="1"/>
      <c r="D339" s="1" t="str">
        <f ca="1">IFERROR(__xludf.DUMMYFUNCTION("""COMPUTED_VALUE"""),"Férfi")</f>
        <v>Férfi</v>
      </c>
      <c r="E339" s="1"/>
      <c r="F339" s="1">
        <f ca="1">IFERROR(__xludf.DUMMYFUNCTION("""COMPUTED_VALUE"""),1992)</f>
        <v>1992</v>
      </c>
      <c r="G339" s="1">
        <f ca="1">IFERROR(__xludf.DUMMYFUNCTION("""COMPUTED_VALUE"""),4745)</f>
        <v>4745</v>
      </c>
      <c r="H339" s="1" t="str">
        <f ca="1">IFERROR(__xludf.DUMMYFUNCTION("""COMPUTED_VALUE"""),"MTLSZ004745A21")</f>
        <v>MTLSZ004745A21</v>
      </c>
      <c r="I339" s="2">
        <f ca="1">IFERROR(__xludf.DUMMYFUNCTION("""COMPUTED_VALUE"""),44524)</f>
        <v>44524</v>
      </c>
      <c r="J339" s="2">
        <f ca="1">IFERROR(__xludf.DUMMYFUNCTION("""COMPUTED_VALUE"""),44888)</f>
        <v>44888</v>
      </c>
    </row>
    <row r="340" spans="1:10" x14ac:dyDescent="0.25">
      <c r="A340" s="1" t="str">
        <f ca="1">IFERROR(__xludf.DUMMYFUNCTION("""COMPUTED_VALUE"""),"Danubius KSE")</f>
        <v>Danubius KSE</v>
      </c>
      <c r="B340" s="1" t="str">
        <f ca="1">IFERROR(__xludf.DUMMYFUNCTION("""COMPUTED_VALUE"""),"Csomor Péter")</f>
        <v>Csomor Péter</v>
      </c>
      <c r="C340" s="1"/>
      <c r="D340" s="1" t="str">
        <f ca="1">IFERROR(__xludf.DUMMYFUNCTION("""COMPUTED_VALUE"""),"Férfi")</f>
        <v>Férfi</v>
      </c>
      <c r="E340" s="1"/>
      <c r="F340" s="1">
        <f ca="1">IFERROR(__xludf.DUMMYFUNCTION("""COMPUTED_VALUE"""),1974)</f>
        <v>1974</v>
      </c>
      <c r="G340" s="1">
        <f ca="1">IFERROR(__xludf.DUMMYFUNCTION("""COMPUTED_VALUE"""),2814)</f>
        <v>2814</v>
      </c>
      <c r="H340" s="1" t="str">
        <f ca="1">IFERROR(__xludf.DUMMYFUNCTION("""COMPUTED_VALUE"""),"MTLSZ002814A21")</f>
        <v>MTLSZ002814A21</v>
      </c>
      <c r="I340" s="2">
        <f ca="1">IFERROR(__xludf.DUMMYFUNCTION("""COMPUTED_VALUE"""),44516)</f>
        <v>44516</v>
      </c>
      <c r="J340" s="2">
        <f ca="1">IFERROR(__xludf.DUMMYFUNCTION("""COMPUTED_VALUE"""),44880)</f>
        <v>44880</v>
      </c>
    </row>
    <row r="341" spans="1:10" x14ac:dyDescent="0.25">
      <c r="A341" s="1" t="str">
        <f ca="1">IFERROR(__xludf.DUMMYFUNCTION("""COMPUTED_VALUE"""),"Ludovika SE")</f>
        <v>Ludovika SE</v>
      </c>
      <c r="B341" s="1" t="str">
        <f ca="1">IFERROR(__xludf.DUMMYFUNCTION("""COMPUTED_VALUE"""),"Bartha Botond Dr.")</f>
        <v>Bartha Botond Dr.</v>
      </c>
      <c r="C341" s="1"/>
      <c r="D341" s="1" t="str">
        <f ca="1">IFERROR(__xludf.DUMMYFUNCTION("""COMPUTED_VALUE"""),"Férfi")</f>
        <v>Férfi</v>
      </c>
      <c r="E341" s="1"/>
      <c r="F341" s="1">
        <f ca="1">IFERROR(__xludf.DUMMYFUNCTION("""COMPUTED_VALUE"""),1993)</f>
        <v>1993</v>
      </c>
      <c r="G341" s="1">
        <f ca="1">IFERROR(__xludf.DUMMYFUNCTION("""COMPUTED_VALUE"""),2640)</f>
        <v>2640</v>
      </c>
      <c r="H341" s="1" t="str">
        <f ca="1">IFERROR(__xludf.DUMMYFUNCTION("""COMPUTED_VALUE"""),"MTLSZ002640A21")</f>
        <v>MTLSZ002640A21</v>
      </c>
      <c r="I341" s="2">
        <f ca="1">IFERROR(__xludf.DUMMYFUNCTION("""COMPUTED_VALUE"""),44515)</f>
        <v>44515</v>
      </c>
      <c r="J341" s="2">
        <f ca="1">IFERROR(__xludf.DUMMYFUNCTION("""COMPUTED_VALUE"""),44879)</f>
        <v>44879</v>
      </c>
    </row>
    <row r="342" spans="1:10" x14ac:dyDescent="0.25">
      <c r="A342" s="1" t="str">
        <f ca="1">IFERROR(__xludf.DUMMYFUNCTION("""COMPUTED_VALUE"""),"FBSE")</f>
        <v>FBSE</v>
      </c>
      <c r="B342" s="1" t="str">
        <f ca="1">IFERROR(__xludf.DUMMYFUNCTION("""COMPUTED_VALUE"""),"Pető László")</f>
        <v>Pető László</v>
      </c>
      <c r="C342" s="1"/>
      <c r="D342" s="1" t="str">
        <f ca="1">IFERROR(__xludf.DUMMYFUNCTION("""COMPUTED_VALUE"""),"Férfi")</f>
        <v>Férfi</v>
      </c>
      <c r="E342" s="1"/>
      <c r="F342" s="1">
        <f ca="1">IFERROR(__xludf.DUMMYFUNCTION("""COMPUTED_VALUE"""),1976)</f>
        <v>1976</v>
      </c>
      <c r="G342" s="1">
        <f ca="1">IFERROR(__xludf.DUMMYFUNCTION("""COMPUTED_VALUE"""),3354)</f>
        <v>3354</v>
      </c>
      <c r="H342" s="1" t="str">
        <f ca="1">IFERROR(__xludf.DUMMYFUNCTION("""COMPUTED_VALUE"""),"MTLSZ003354A21")</f>
        <v>MTLSZ003354A21</v>
      </c>
      <c r="I342" s="2">
        <f ca="1">IFERROR(__xludf.DUMMYFUNCTION("""COMPUTED_VALUE"""),44512)</f>
        <v>44512</v>
      </c>
      <c r="J342" s="2">
        <f ca="1">IFERROR(__xludf.DUMMYFUNCTION("""COMPUTED_VALUE"""),44876)</f>
        <v>44876</v>
      </c>
    </row>
    <row r="343" spans="1:10" x14ac:dyDescent="0.25">
      <c r="A343" s="1" t="str">
        <f ca="1">IFERROR(__xludf.DUMMYFUNCTION("""COMPUTED_VALUE"""),"Főtaxi SC")</f>
        <v>Főtaxi SC</v>
      </c>
      <c r="B343" s="1" t="str">
        <f ca="1">IFERROR(__xludf.DUMMYFUNCTION("""COMPUTED_VALUE"""),"Szűcs Petra")</f>
        <v>Szűcs Petra</v>
      </c>
      <c r="C343" s="1"/>
      <c r="D343" s="1" t="str">
        <f ca="1">IFERROR(__xludf.DUMMYFUNCTION("""COMPUTED_VALUE"""),"Férfi")</f>
        <v>Férfi</v>
      </c>
      <c r="E343" s="1"/>
      <c r="F343" s="1">
        <f ca="1">IFERROR(__xludf.DUMMYFUNCTION("""COMPUTED_VALUE"""),1997)</f>
        <v>1997</v>
      </c>
      <c r="G343" s="1">
        <f ca="1">IFERROR(__xludf.DUMMYFUNCTION("""COMPUTED_VALUE"""),4744)</f>
        <v>4744</v>
      </c>
      <c r="H343" s="1" t="str">
        <f ca="1">IFERROR(__xludf.DUMMYFUNCTION("""COMPUTED_VALUE"""),"MTLSZ004744A21")</f>
        <v>MTLSZ004744A21</v>
      </c>
      <c r="I343" s="2">
        <f ca="1">IFERROR(__xludf.DUMMYFUNCTION("""COMPUTED_VALUE"""),44512)</f>
        <v>44512</v>
      </c>
      <c r="J343" s="2">
        <f ca="1">IFERROR(__xludf.DUMMYFUNCTION("""COMPUTED_VALUE"""),44876)</f>
        <v>44876</v>
      </c>
    </row>
    <row r="344" spans="1:10" x14ac:dyDescent="0.25">
      <c r="A344" s="1" t="str">
        <f ca="1">IFERROR(__xludf.DUMMYFUNCTION("""COMPUTED_VALUE"""),"Seregélyesi PDSE")</f>
        <v>Seregélyesi PDSE</v>
      </c>
      <c r="B344" s="1" t="str">
        <f ca="1">IFERROR(__xludf.DUMMYFUNCTION("""COMPUTED_VALUE"""),"Szalay Gréta")</f>
        <v>Szalay Gréta</v>
      </c>
      <c r="C344" s="1"/>
      <c r="D344" s="1" t="str">
        <f ca="1">IFERROR(__xludf.DUMMYFUNCTION("""COMPUTED_VALUE"""),"Nő")</f>
        <v>Nő</v>
      </c>
      <c r="E344" s="1"/>
      <c r="F344" s="1">
        <f ca="1">IFERROR(__xludf.DUMMYFUNCTION("""COMPUTED_VALUE"""),2010)</f>
        <v>2010</v>
      </c>
      <c r="G344" s="1">
        <f ca="1">IFERROR(__xludf.DUMMYFUNCTION("""COMPUTED_VALUE"""),4734)</f>
        <v>4734</v>
      </c>
      <c r="H344" s="1" t="str">
        <f ca="1">IFERROR(__xludf.DUMMYFUNCTION("""COMPUTED_VALUE"""),"MTLSZ004734A21")</f>
        <v>MTLSZ004734A21</v>
      </c>
      <c r="I344" s="2">
        <f ca="1">IFERROR(__xludf.DUMMYFUNCTION("""COMPUTED_VALUE"""),44512)</f>
        <v>44512</v>
      </c>
      <c r="J344" s="2">
        <f ca="1">IFERROR(__xludf.DUMMYFUNCTION("""COMPUTED_VALUE"""),44876)</f>
        <v>44876</v>
      </c>
    </row>
    <row r="345" spans="1:10" x14ac:dyDescent="0.25">
      <c r="A345" s="1" t="str">
        <f ca="1">IFERROR(__xludf.DUMMYFUNCTION("""COMPUTED_VALUE"""),"Soproni TSE")</f>
        <v>Soproni TSE</v>
      </c>
      <c r="B345" s="1" t="str">
        <f ca="1">IFERROR(__xludf.DUMMYFUNCTION("""COMPUTED_VALUE"""),"Silivanh Arounsavath")</f>
        <v>Silivanh Arounsavath</v>
      </c>
      <c r="C345" s="1"/>
      <c r="D345" s="1" t="str">
        <f ca="1">IFERROR(__xludf.DUMMYFUNCTION("""COMPUTED_VALUE"""),"Nő")</f>
        <v>Nő</v>
      </c>
      <c r="E345" s="1"/>
      <c r="F345" s="1">
        <f ca="1">IFERROR(__xludf.DUMMYFUNCTION("""COMPUTED_VALUE"""),2000)</f>
        <v>2000</v>
      </c>
      <c r="G345" s="1">
        <f ca="1">IFERROR(__xludf.DUMMYFUNCTION("""COMPUTED_VALUE"""),4630)</f>
        <v>4630</v>
      </c>
      <c r="H345" s="1" t="str">
        <f ca="1">IFERROR(__xludf.DUMMYFUNCTION("""COMPUTED_VALUE"""),"MTLSZ004630A21")</f>
        <v>MTLSZ004630A21</v>
      </c>
      <c r="I345" s="2">
        <f ca="1">IFERROR(__xludf.DUMMYFUNCTION("""COMPUTED_VALUE"""),44512)</f>
        <v>44512</v>
      </c>
      <c r="J345" s="2">
        <f ca="1">IFERROR(__xludf.DUMMYFUNCTION("""COMPUTED_VALUE"""),44876)</f>
        <v>44876</v>
      </c>
    </row>
    <row r="346" spans="1:10" x14ac:dyDescent="0.25">
      <c r="A346" s="1" t="str">
        <f ca="1">IFERROR(__xludf.DUMMYFUNCTION("""COMPUTED_VALUE"""),"Soproni TSE")</f>
        <v>Soproni TSE</v>
      </c>
      <c r="B346" s="1"/>
      <c r="C346" s="1"/>
      <c r="D346" s="1"/>
      <c r="E346" s="1"/>
      <c r="F346" s="1">
        <f ca="1">IFERROR(__xludf.DUMMYFUNCTION("""COMPUTED_VALUE"""),1899)</f>
        <v>1899</v>
      </c>
      <c r="G346" s="1">
        <f ca="1">IFERROR(__xludf.DUMMYFUNCTION("""COMPUTED_VALUE"""),4733)</f>
        <v>4733</v>
      </c>
      <c r="H346" s="1"/>
      <c r="I346" s="2">
        <f ca="1">IFERROR(__xludf.DUMMYFUNCTION("""COMPUTED_VALUE"""),44512)</f>
        <v>44512</v>
      </c>
      <c r="J346" s="2">
        <f ca="1">IFERROR(__xludf.DUMMYFUNCTION("""COMPUTED_VALUE"""),44876)</f>
        <v>44876</v>
      </c>
    </row>
    <row r="347" spans="1:10" x14ac:dyDescent="0.25">
      <c r="A347" s="1" t="str">
        <f ca="1">IFERROR(__xludf.DUMMYFUNCTION("""COMPUTED_VALUE"""),"Talentum TSE")</f>
        <v>Talentum TSE</v>
      </c>
      <c r="B347" s="1" t="str">
        <f ca="1">IFERROR(__xludf.DUMMYFUNCTION("""COMPUTED_VALUE"""),"Bartyik Zalán")</f>
        <v>Bartyik Zalán</v>
      </c>
      <c r="C347" s="1"/>
      <c r="D347" s="1" t="str">
        <f ca="1">IFERROR(__xludf.DUMMYFUNCTION("""COMPUTED_VALUE"""),"Férfi")</f>
        <v>Férfi</v>
      </c>
      <c r="E347" s="1"/>
      <c r="F347" s="1">
        <f ca="1">IFERROR(__xludf.DUMMYFUNCTION("""COMPUTED_VALUE"""),2012)</f>
        <v>2012</v>
      </c>
      <c r="G347" s="1">
        <f ca="1">IFERROR(__xludf.DUMMYFUNCTION("""COMPUTED_VALUE"""),4727)</f>
        <v>4727</v>
      </c>
      <c r="H347" s="1" t="str">
        <f ca="1">IFERROR(__xludf.DUMMYFUNCTION("""COMPUTED_VALUE"""),"MTLSZ004727A21")</f>
        <v>MTLSZ004727A21</v>
      </c>
      <c r="I347" s="2">
        <f ca="1">IFERROR(__xludf.DUMMYFUNCTION("""COMPUTED_VALUE"""),44512)</f>
        <v>44512</v>
      </c>
      <c r="J347" s="2">
        <f ca="1">IFERROR(__xludf.DUMMYFUNCTION("""COMPUTED_VALUE"""),44876)</f>
        <v>44876</v>
      </c>
    </row>
    <row r="348" spans="1:10" x14ac:dyDescent="0.25">
      <c r="A348" s="1" t="str">
        <f ca="1">IFERROR(__xludf.DUMMYFUNCTION("""COMPUTED_VALUE"""),"Talentum TSE")</f>
        <v>Talentum TSE</v>
      </c>
      <c r="B348" s="1" t="str">
        <f ca="1">IFERROR(__xludf.DUMMYFUNCTION("""COMPUTED_VALUE"""),"Benkő Péter")</f>
        <v>Benkő Péter</v>
      </c>
      <c r="C348" s="1"/>
      <c r="D348" s="1" t="str">
        <f ca="1">IFERROR(__xludf.DUMMYFUNCTION("""COMPUTED_VALUE"""),"Férfi")</f>
        <v>Férfi</v>
      </c>
      <c r="E348" s="1"/>
      <c r="F348" s="1">
        <f ca="1">IFERROR(__xludf.DUMMYFUNCTION("""COMPUTED_VALUE"""),2007)</f>
        <v>2007</v>
      </c>
      <c r="G348" s="1">
        <f ca="1">IFERROR(__xludf.DUMMYFUNCTION("""COMPUTED_VALUE"""),4726)</f>
        <v>4726</v>
      </c>
      <c r="H348" s="1" t="str">
        <f ca="1">IFERROR(__xludf.DUMMYFUNCTION("""COMPUTED_VALUE"""),"MTLSZ004726A21")</f>
        <v>MTLSZ004726A21</v>
      </c>
      <c r="I348" s="2">
        <f ca="1">IFERROR(__xludf.DUMMYFUNCTION("""COMPUTED_VALUE"""),44512)</f>
        <v>44512</v>
      </c>
      <c r="J348" s="2">
        <f ca="1">IFERROR(__xludf.DUMMYFUNCTION("""COMPUTED_VALUE"""),44876)</f>
        <v>44876</v>
      </c>
    </row>
    <row r="349" spans="1:10" x14ac:dyDescent="0.25">
      <c r="A349" s="1" t="str">
        <f ca="1">IFERROR(__xludf.DUMMYFUNCTION("""COMPUTED_VALUE"""),"Talentum TSE")</f>
        <v>Talentum TSE</v>
      </c>
      <c r="B349" s="1" t="str">
        <f ca="1">IFERROR(__xludf.DUMMYFUNCTION("""COMPUTED_VALUE"""),"Dévényi Bese Baltazár")</f>
        <v>Dévényi Bese Baltazár</v>
      </c>
      <c r="C349" s="1"/>
      <c r="D349" s="1" t="str">
        <f ca="1">IFERROR(__xludf.DUMMYFUNCTION("""COMPUTED_VALUE"""),"Férfi")</f>
        <v>Férfi</v>
      </c>
      <c r="E349" s="1"/>
      <c r="F349" s="1">
        <f ca="1">IFERROR(__xludf.DUMMYFUNCTION("""COMPUTED_VALUE"""),2015)</f>
        <v>2015</v>
      </c>
      <c r="G349" s="1">
        <f ca="1">IFERROR(__xludf.DUMMYFUNCTION("""COMPUTED_VALUE"""),4732)</f>
        <v>4732</v>
      </c>
      <c r="H349" s="1" t="str">
        <f ca="1">IFERROR(__xludf.DUMMYFUNCTION("""COMPUTED_VALUE"""),"MTLSZ004732A21")</f>
        <v>MTLSZ004732A21</v>
      </c>
      <c r="I349" s="2">
        <f ca="1">IFERROR(__xludf.DUMMYFUNCTION("""COMPUTED_VALUE"""),44512)</f>
        <v>44512</v>
      </c>
      <c r="J349" s="2">
        <f ca="1">IFERROR(__xludf.DUMMYFUNCTION("""COMPUTED_VALUE"""),44876)</f>
        <v>44876</v>
      </c>
    </row>
    <row r="350" spans="1:10" x14ac:dyDescent="0.25">
      <c r="A350" s="1" t="str">
        <f ca="1">IFERROR(__xludf.DUMMYFUNCTION("""COMPUTED_VALUE"""),"Talentum TSE")</f>
        <v>Talentum TSE</v>
      </c>
      <c r="B350" s="1" t="str">
        <f ca="1">IFERROR(__xludf.DUMMYFUNCTION("""COMPUTED_VALUE"""),"Kiss Dávid Barnabás")</f>
        <v>Kiss Dávid Barnabás</v>
      </c>
      <c r="C350" s="1"/>
      <c r="D350" s="1" t="str">
        <f ca="1">IFERROR(__xludf.DUMMYFUNCTION("""COMPUTED_VALUE"""),"Férfi")</f>
        <v>Férfi</v>
      </c>
      <c r="E350" s="1"/>
      <c r="F350" s="1">
        <f ca="1">IFERROR(__xludf.DUMMYFUNCTION("""COMPUTED_VALUE"""),2004)</f>
        <v>2004</v>
      </c>
      <c r="G350" s="1">
        <f ca="1">IFERROR(__xludf.DUMMYFUNCTION("""COMPUTED_VALUE"""),4728)</f>
        <v>4728</v>
      </c>
      <c r="H350" s="1" t="str">
        <f ca="1">IFERROR(__xludf.DUMMYFUNCTION("""COMPUTED_VALUE"""),"MTLSZ004728A21")</f>
        <v>MTLSZ004728A21</v>
      </c>
      <c r="I350" s="2">
        <f ca="1">IFERROR(__xludf.DUMMYFUNCTION("""COMPUTED_VALUE"""),44512)</f>
        <v>44512</v>
      </c>
      <c r="J350" s="2">
        <f ca="1">IFERROR(__xludf.DUMMYFUNCTION("""COMPUTED_VALUE"""),44876)</f>
        <v>44876</v>
      </c>
    </row>
    <row r="351" spans="1:10" x14ac:dyDescent="0.25">
      <c r="A351" s="1" t="str">
        <f ca="1">IFERROR(__xludf.DUMMYFUNCTION("""COMPUTED_VALUE"""),"Talentum TSE")</f>
        <v>Talentum TSE</v>
      </c>
      <c r="B351" s="1" t="str">
        <f ca="1">IFERROR(__xludf.DUMMYFUNCTION("""COMPUTED_VALUE"""),"Mészáros Kata")</f>
        <v>Mészáros Kata</v>
      </c>
      <c r="C351" s="1"/>
      <c r="D351" s="1" t="str">
        <f ca="1">IFERROR(__xludf.DUMMYFUNCTION("""COMPUTED_VALUE"""),"Nő")</f>
        <v>Nő</v>
      </c>
      <c r="E351" s="1"/>
      <c r="F351" s="1">
        <f ca="1">IFERROR(__xludf.DUMMYFUNCTION("""COMPUTED_VALUE"""),2013)</f>
        <v>2013</v>
      </c>
      <c r="G351" s="1">
        <f ca="1">IFERROR(__xludf.DUMMYFUNCTION("""COMPUTED_VALUE"""),4731)</f>
        <v>4731</v>
      </c>
      <c r="H351" s="1" t="str">
        <f ca="1">IFERROR(__xludf.DUMMYFUNCTION("""COMPUTED_VALUE"""),"MTLSZ004731A21")</f>
        <v>MTLSZ004731A21</v>
      </c>
      <c r="I351" s="2">
        <f ca="1">IFERROR(__xludf.DUMMYFUNCTION("""COMPUTED_VALUE"""),44512)</f>
        <v>44512</v>
      </c>
      <c r="J351" s="2">
        <f ca="1">IFERROR(__xludf.DUMMYFUNCTION("""COMPUTED_VALUE"""),44876)</f>
        <v>44876</v>
      </c>
    </row>
    <row r="352" spans="1:10" x14ac:dyDescent="0.25">
      <c r="A352" s="1" t="str">
        <f ca="1">IFERROR(__xludf.DUMMYFUNCTION("""COMPUTED_VALUE"""),"Talentum TSE")</f>
        <v>Talentum TSE</v>
      </c>
      <c r="B352" s="1"/>
      <c r="C352" s="1"/>
      <c r="D352" s="1"/>
      <c r="E352" s="1"/>
      <c r="F352" s="1">
        <f ca="1">IFERROR(__xludf.DUMMYFUNCTION("""COMPUTED_VALUE"""),1899)</f>
        <v>1899</v>
      </c>
      <c r="G352" s="1">
        <f ca="1">IFERROR(__xludf.DUMMYFUNCTION("""COMPUTED_VALUE"""),4729)</f>
        <v>4729</v>
      </c>
      <c r="H352" s="1"/>
      <c r="I352" s="2">
        <f ca="1">IFERROR(__xludf.DUMMYFUNCTION("""COMPUTED_VALUE"""),44512)</f>
        <v>44512</v>
      </c>
      <c r="J352" s="2">
        <f ca="1">IFERROR(__xludf.DUMMYFUNCTION("""COMPUTED_VALUE"""),44876)</f>
        <v>44876</v>
      </c>
    </row>
    <row r="353" spans="1:10" x14ac:dyDescent="0.25">
      <c r="A353" s="1" t="str">
        <f ca="1">IFERROR(__xludf.DUMMYFUNCTION("""COMPUTED_VALUE"""),"Talentum TSE")</f>
        <v>Talentum TSE</v>
      </c>
      <c r="B353" s="1"/>
      <c r="C353" s="1"/>
      <c r="D353" s="1"/>
      <c r="E353" s="1"/>
      <c r="F353" s="1">
        <f ca="1">IFERROR(__xludf.DUMMYFUNCTION("""COMPUTED_VALUE"""),1899)</f>
        <v>1899</v>
      </c>
      <c r="G353" s="1">
        <f ca="1">IFERROR(__xludf.DUMMYFUNCTION("""COMPUTED_VALUE"""),4730)</f>
        <v>4730</v>
      </c>
      <c r="H353" s="1"/>
      <c r="I353" s="2">
        <f ca="1">IFERROR(__xludf.DUMMYFUNCTION("""COMPUTED_VALUE"""),44512)</f>
        <v>44512</v>
      </c>
      <c r="J353" s="2">
        <f ca="1">IFERROR(__xludf.DUMMYFUNCTION("""COMPUTED_VALUE"""),44876)</f>
        <v>44876</v>
      </c>
    </row>
    <row r="354" spans="1:10" x14ac:dyDescent="0.25">
      <c r="A354" s="1" t="str">
        <f ca="1">IFERROR(__xludf.DUMMYFUNCTION("""COMPUTED_VALUE"""),"VSD")</f>
        <v>VSD</v>
      </c>
      <c r="B354" s="1" t="str">
        <f ca="1">IFERROR(__xludf.DUMMYFUNCTION("""COMPUTED_VALUE"""),"Boros Jonatán")</f>
        <v>Boros Jonatán</v>
      </c>
      <c r="C354" s="1"/>
      <c r="D354" s="1" t="str">
        <f ca="1">IFERROR(__xludf.DUMMYFUNCTION("""COMPUTED_VALUE"""),"Férfi")</f>
        <v>Férfi</v>
      </c>
      <c r="E354" s="1"/>
      <c r="F354" s="1">
        <f ca="1">IFERROR(__xludf.DUMMYFUNCTION("""COMPUTED_VALUE"""),2007)</f>
        <v>2007</v>
      </c>
      <c r="G354" s="1">
        <f ca="1">IFERROR(__xludf.DUMMYFUNCTION("""COMPUTED_VALUE"""),3010)</f>
        <v>3010</v>
      </c>
      <c r="H354" s="1" t="str">
        <f ca="1">IFERROR(__xludf.DUMMYFUNCTION("""COMPUTED_VALUE"""),"MTLSZ003010A21")</f>
        <v>MTLSZ003010A21</v>
      </c>
      <c r="I354" s="2">
        <f ca="1">IFERROR(__xludf.DUMMYFUNCTION("""COMPUTED_VALUE"""),44512)</f>
        <v>44512</v>
      </c>
      <c r="J354" s="2">
        <f ca="1">IFERROR(__xludf.DUMMYFUNCTION("""COMPUTED_VALUE"""),44876)</f>
        <v>44876</v>
      </c>
    </row>
    <row r="355" spans="1:10" x14ac:dyDescent="0.25">
      <c r="A355" s="1" t="str">
        <f ca="1">IFERROR(__xludf.DUMMYFUNCTION("""COMPUTED_VALUE"""),"VSD")</f>
        <v>VSD</v>
      </c>
      <c r="B355" s="1" t="str">
        <f ca="1">IFERROR(__xludf.DUMMYFUNCTION("""COMPUTED_VALUE"""),"Gáspár Zoltán")</f>
        <v>Gáspár Zoltán</v>
      </c>
      <c r="C355" s="1"/>
      <c r="D355" s="1" t="str">
        <f ca="1">IFERROR(__xludf.DUMMYFUNCTION("""COMPUTED_VALUE"""),"Férfi")</f>
        <v>Férfi</v>
      </c>
      <c r="E355" s="1"/>
      <c r="F355" s="1">
        <f ca="1">IFERROR(__xludf.DUMMYFUNCTION("""COMPUTED_VALUE"""),1981)</f>
        <v>1981</v>
      </c>
      <c r="G355" s="1">
        <f ca="1">IFERROR(__xludf.DUMMYFUNCTION("""COMPUTED_VALUE"""),4735)</f>
        <v>4735</v>
      </c>
      <c r="H355" s="1" t="str">
        <f ca="1">IFERROR(__xludf.DUMMYFUNCTION("""COMPUTED_VALUE"""),"MTLSZ004735A21")</f>
        <v>MTLSZ004735A21</v>
      </c>
      <c r="I355" s="2">
        <f ca="1">IFERROR(__xludf.DUMMYFUNCTION("""COMPUTED_VALUE"""),44512)</f>
        <v>44512</v>
      </c>
      <c r="J355" s="2">
        <f ca="1">IFERROR(__xludf.DUMMYFUNCTION("""COMPUTED_VALUE"""),44876)</f>
        <v>44876</v>
      </c>
    </row>
    <row r="356" spans="1:10" x14ac:dyDescent="0.25">
      <c r="A356" s="1" t="str">
        <f ca="1">IFERROR(__xludf.DUMMYFUNCTION("""COMPUTED_VALUE"""),"VSD")</f>
        <v>VSD</v>
      </c>
      <c r="B356" s="1" t="str">
        <f ca="1">IFERROR(__xludf.DUMMYFUNCTION("""COMPUTED_VALUE"""),"Kopasz Tamás")</f>
        <v>Kopasz Tamás</v>
      </c>
      <c r="C356" s="1"/>
      <c r="D356" s="1" t="str">
        <f ca="1">IFERROR(__xludf.DUMMYFUNCTION("""COMPUTED_VALUE"""),"Férfi")</f>
        <v>Férfi</v>
      </c>
      <c r="E356" s="1"/>
      <c r="F356" s="1">
        <f ca="1">IFERROR(__xludf.DUMMYFUNCTION("""COMPUTED_VALUE"""),1983)</f>
        <v>1983</v>
      </c>
      <c r="G356" s="1">
        <f ca="1">IFERROR(__xludf.DUMMYFUNCTION("""COMPUTED_VALUE"""),4739)</f>
        <v>4739</v>
      </c>
      <c r="H356" s="1" t="str">
        <f ca="1">IFERROR(__xludf.DUMMYFUNCTION("""COMPUTED_VALUE"""),"MTLSZ004739A21")</f>
        <v>MTLSZ004739A21</v>
      </c>
      <c r="I356" s="2">
        <f ca="1">IFERROR(__xludf.DUMMYFUNCTION("""COMPUTED_VALUE"""),44512)</f>
        <v>44512</v>
      </c>
      <c r="J356" s="2">
        <f ca="1">IFERROR(__xludf.DUMMYFUNCTION("""COMPUTED_VALUE"""),44876)</f>
        <v>44876</v>
      </c>
    </row>
    <row r="357" spans="1:10" x14ac:dyDescent="0.25">
      <c r="A357" s="1" t="str">
        <f ca="1">IFERROR(__xludf.DUMMYFUNCTION("""COMPUTED_VALUE"""),"VSD")</f>
        <v>VSD</v>
      </c>
      <c r="B357" s="1" t="str">
        <f ca="1">IFERROR(__xludf.DUMMYFUNCTION("""COMPUTED_VALUE"""),"Szalai Csilla")</f>
        <v>Szalai Csilla</v>
      </c>
      <c r="C357" s="1"/>
      <c r="D357" s="1" t="str">
        <f ca="1">IFERROR(__xludf.DUMMYFUNCTION("""COMPUTED_VALUE"""),"Nő")</f>
        <v>Nő</v>
      </c>
      <c r="E357" s="1"/>
      <c r="F357" s="1">
        <f ca="1">IFERROR(__xludf.DUMMYFUNCTION("""COMPUTED_VALUE"""),1979)</f>
        <v>1979</v>
      </c>
      <c r="G357" s="1">
        <f ca="1">IFERROR(__xludf.DUMMYFUNCTION("""COMPUTED_VALUE"""),4736)</f>
        <v>4736</v>
      </c>
      <c r="H357" s="1" t="str">
        <f ca="1">IFERROR(__xludf.DUMMYFUNCTION("""COMPUTED_VALUE"""),"MTLSZ004736A21")</f>
        <v>MTLSZ004736A21</v>
      </c>
      <c r="I357" s="2">
        <f ca="1">IFERROR(__xludf.DUMMYFUNCTION("""COMPUTED_VALUE"""),44512)</f>
        <v>44512</v>
      </c>
      <c r="J357" s="2">
        <f ca="1">IFERROR(__xludf.DUMMYFUNCTION("""COMPUTED_VALUE"""),44876)</f>
        <v>44876</v>
      </c>
    </row>
    <row r="358" spans="1:10" x14ac:dyDescent="0.25">
      <c r="A358" s="1" t="str">
        <f ca="1">IFERROR(__xludf.DUMMYFUNCTION("""COMPUTED_VALUE"""),"VSD")</f>
        <v>VSD</v>
      </c>
      <c r="B358" s="1" t="str">
        <f ca="1">IFERROR(__xludf.DUMMYFUNCTION("""COMPUTED_VALUE"""),"Száraz Tibor")</f>
        <v>Száraz Tibor</v>
      </c>
      <c r="C358" s="1"/>
      <c r="D358" s="1" t="str">
        <f ca="1">IFERROR(__xludf.DUMMYFUNCTION("""COMPUTED_VALUE"""),"Férfi")</f>
        <v>Férfi</v>
      </c>
      <c r="E358" s="1"/>
      <c r="F358" s="1">
        <f ca="1">IFERROR(__xludf.DUMMYFUNCTION("""COMPUTED_VALUE"""),1979)</f>
        <v>1979</v>
      </c>
      <c r="G358" s="1">
        <f ca="1">IFERROR(__xludf.DUMMYFUNCTION("""COMPUTED_VALUE"""),4743)</f>
        <v>4743</v>
      </c>
      <c r="H358" s="1" t="str">
        <f ca="1">IFERROR(__xludf.DUMMYFUNCTION("""COMPUTED_VALUE"""),"MTLSZ004743A21")</f>
        <v>MTLSZ004743A21</v>
      </c>
      <c r="I358" s="2">
        <f ca="1">IFERROR(__xludf.DUMMYFUNCTION("""COMPUTED_VALUE"""),44512)</f>
        <v>44512</v>
      </c>
      <c r="J358" s="2">
        <f ca="1">IFERROR(__xludf.DUMMYFUNCTION("""COMPUTED_VALUE"""),44876)</f>
        <v>44876</v>
      </c>
    </row>
    <row r="359" spans="1:10" x14ac:dyDescent="0.25">
      <c r="A359" s="1" t="str">
        <f ca="1">IFERROR(__xludf.DUMMYFUNCTION("""COMPUTED_VALUE"""),"VSD")</f>
        <v>VSD</v>
      </c>
      <c r="B359" s="1" t="str">
        <f ca="1">IFERROR(__xludf.DUMMYFUNCTION("""COMPUTED_VALUE"""),"Szarka Zsolt")</f>
        <v>Szarka Zsolt</v>
      </c>
      <c r="C359" s="1"/>
      <c r="D359" s="1" t="str">
        <f ca="1">IFERROR(__xludf.DUMMYFUNCTION("""COMPUTED_VALUE"""),"Férfi")</f>
        <v>Férfi</v>
      </c>
      <c r="E359" s="1"/>
      <c r="F359" s="1">
        <f ca="1">IFERROR(__xludf.DUMMYFUNCTION("""COMPUTED_VALUE"""),1974)</f>
        <v>1974</v>
      </c>
      <c r="G359" s="1">
        <f ca="1">IFERROR(__xludf.DUMMYFUNCTION("""COMPUTED_VALUE"""),4737)</f>
        <v>4737</v>
      </c>
      <c r="H359" s="1" t="str">
        <f ca="1">IFERROR(__xludf.DUMMYFUNCTION("""COMPUTED_VALUE"""),"MTLSZ004737A21")</f>
        <v>MTLSZ004737A21</v>
      </c>
      <c r="I359" s="2">
        <f ca="1">IFERROR(__xludf.DUMMYFUNCTION("""COMPUTED_VALUE"""),44512)</f>
        <v>44512</v>
      </c>
      <c r="J359" s="2">
        <f ca="1">IFERROR(__xludf.DUMMYFUNCTION("""COMPUTED_VALUE"""),44876)</f>
        <v>44876</v>
      </c>
    </row>
    <row r="360" spans="1:10" x14ac:dyDescent="0.25">
      <c r="A360" s="1" t="str">
        <f ca="1">IFERROR(__xludf.DUMMYFUNCTION("""COMPUTED_VALUE"""),"VSD")</f>
        <v>VSD</v>
      </c>
      <c r="B360" s="1" t="str">
        <f ca="1">IFERROR(__xludf.DUMMYFUNCTION("""COMPUTED_VALUE"""),"Tóth József")</f>
        <v>Tóth József</v>
      </c>
      <c r="C360" s="1"/>
      <c r="D360" s="1" t="str">
        <f ca="1">IFERROR(__xludf.DUMMYFUNCTION("""COMPUTED_VALUE"""),"Férfi")</f>
        <v>Férfi</v>
      </c>
      <c r="E360" s="1"/>
      <c r="F360" s="1">
        <f ca="1">IFERROR(__xludf.DUMMYFUNCTION("""COMPUTED_VALUE"""),1981)</f>
        <v>1981</v>
      </c>
      <c r="G360" s="1">
        <f ca="1">IFERROR(__xludf.DUMMYFUNCTION("""COMPUTED_VALUE"""),4742)</f>
        <v>4742</v>
      </c>
      <c r="H360" s="1" t="str">
        <f ca="1">IFERROR(__xludf.DUMMYFUNCTION("""COMPUTED_VALUE"""),"MTLSZ004742A21")</f>
        <v>MTLSZ004742A21</v>
      </c>
      <c r="I360" s="2">
        <f ca="1">IFERROR(__xludf.DUMMYFUNCTION("""COMPUTED_VALUE"""),44512)</f>
        <v>44512</v>
      </c>
      <c r="J360" s="2">
        <f ca="1">IFERROR(__xludf.DUMMYFUNCTION("""COMPUTED_VALUE"""),44876)</f>
        <v>44876</v>
      </c>
    </row>
    <row r="361" spans="1:10" x14ac:dyDescent="0.25">
      <c r="A361" s="1" t="str">
        <f ca="1">IFERROR(__xludf.DUMMYFUNCTION("""COMPUTED_VALUE"""),"CET SE")</f>
        <v>CET SE</v>
      </c>
      <c r="B361" s="1" t="str">
        <f ca="1">IFERROR(__xludf.DUMMYFUNCTION("""COMPUTED_VALUE"""),"Szenjai Balázs")</f>
        <v>Szenjai Balázs</v>
      </c>
      <c r="C361" s="1"/>
      <c r="D361" s="1" t="str">
        <f ca="1">IFERROR(__xludf.DUMMYFUNCTION("""COMPUTED_VALUE"""),"Férfi")</f>
        <v>Férfi</v>
      </c>
      <c r="E361" s="1"/>
      <c r="F361" s="1">
        <f ca="1">IFERROR(__xludf.DUMMYFUNCTION("""COMPUTED_VALUE"""),1999)</f>
        <v>1999</v>
      </c>
      <c r="G361" s="1">
        <f ca="1">IFERROR(__xludf.DUMMYFUNCTION("""COMPUTED_VALUE"""),2112)</f>
        <v>2112</v>
      </c>
      <c r="H361" s="1" t="str">
        <f ca="1">IFERROR(__xludf.DUMMYFUNCTION("""COMPUTED_VALUE"""),"MTLSZ002112A21")</f>
        <v>MTLSZ002112A21</v>
      </c>
      <c r="I361" s="2">
        <f ca="1">IFERROR(__xludf.DUMMYFUNCTION("""COMPUTED_VALUE"""),44510)</f>
        <v>44510</v>
      </c>
      <c r="J361" s="2">
        <f ca="1">IFERROR(__xludf.DUMMYFUNCTION("""COMPUTED_VALUE"""),44874)</f>
        <v>44874</v>
      </c>
    </row>
    <row r="362" spans="1:10" x14ac:dyDescent="0.25">
      <c r="A362" s="1" t="str">
        <f ca="1">IFERROR(__xludf.DUMMYFUNCTION("""COMPUTED_VALUE"""),"DSK")</f>
        <v>DSK</v>
      </c>
      <c r="B362" s="1" t="str">
        <f ca="1">IFERROR(__xludf.DUMMYFUNCTION("""COMPUTED_VALUE"""),"Revák Mihály")</f>
        <v>Revák Mihály</v>
      </c>
      <c r="C362" s="1"/>
      <c r="D362" s="1" t="str">
        <f ca="1">IFERROR(__xludf.DUMMYFUNCTION("""COMPUTED_VALUE"""),"Férfi")</f>
        <v>Férfi</v>
      </c>
      <c r="E362" s="1"/>
      <c r="F362" s="1">
        <f ca="1">IFERROR(__xludf.DUMMYFUNCTION("""COMPUTED_VALUE"""),1966)</f>
        <v>1966</v>
      </c>
      <c r="G362" s="1">
        <f ca="1">IFERROR(__xludf.DUMMYFUNCTION("""COMPUTED_VALUE"""),1445)</f>
        <v>1445</v>
      </c>
      <c r="H362" s="1" t="str">
        <f ca="1">IFERROR(__xludf.DUMMYFUNCTION("""COMPUTED_VALUE"""),"MTLSZ001445A21")</f>
        <v>MTLSZ001445A21</v>
      </c>
      <c r="I362" s="2">
        <f ca="1">IFERROR(__xludf.DUMMYFUNCTION("""COMPUTED_VALUE"""),44510)</f>
        <v>44510</v>
      </c>
      <c r="J362" s="2">
        <f ca="1">IFERROR(__xludf.DUMMYFUNCTION("""COMPUTED_VALUE"""),44874)</f>
        <v>44874</v>
      </c>
    </row>
    <row r="363" spans="1:10" x14ac:dyDescent="0.25">
      <c r="A363" s="1" t="str">
        <f ca="1">IFERROR(__xludf.DUMMYFUNCTION("""COMPUTED_VALUE"""),"Életmód SE")</f>
        <v>Életmód SE</v>
      </c>
      <c r="B363" s="1" t="str">
        <f ca="1">IFERROR(__xludf.DUMMYFUNCTION("""COMPUTED_VALUE"""),"Benedek Nóra Sára")</f>
        <v>Benedek Nóra Sára</v>
      </c>
      <c r="C363" s="1"/>
      <c r="D363" s="1" t="str">
        <f ca="1">IFERROR(__xludf.DUMMYFUNCTION("""COMPUTED_VALUE"""),"Nő")</f>
        <v>Nő</v>
      </c>
      <c r="E363" s="1"/>
      <c r="F363" s="1">
        <f ca="1">IFERROR(__xludf.DUMMYFUNCTION("""COMPUTED_VALUE"""),2010)</f>
        <v>2010</v>
      </c>
      <c r="G363" s="1">
        <f ca="1">IFERROR(__xludf.DUMMYFUNCTION("""COMPUTED_VALUE"""),3500)</f>
        <v>3500</v>
      </c>
      <c r="H363" s="1" t="str">
        <f ca="1">IFERROR(__xludf.DUMMYFUNCTION("""COMPUTED_VALUE"""),"MTLSZ003500A21")</f>
        <v>MTLSZ003500A21</v>
      </c>
      <c r="I363" s="2">
        <f ca="1">IFERROR(__xludf.DUMMYFUNCTION("""COMPUTED_VALUE"""),44510)</f>
        <v>44510</v>
      </c>
      <c r="J363" s="2">
        <f ca="1">IFERROR(__xludf.DUMMYFUNCTION("""COMPUTED_VALUE"""),44874)</f>
        <v>44874</v>
      </c>
    </row>
    <row r="364" spans="1:10" x14ac:dyDescent="0.25">
      <c r="A364" s="1" t="str">
        <f ca="1">IFERROR(__xludf.DUMMYFUNCTION("""COMPUTED_VALUE"""),"Életmód SE")</f>
        <v>Életmód SE</v>
      </c>
      <c r="B364" s="1" t="str">
        <f ca="1">IFERROR(__xludf.DUMMYFUNCTION("""COMPUTED_VALUE"""),"Csizmadia András")</f>
        <v>Csizmadia András</v>
      </c>
      <c r="C364" s="1"/>
      <c r="D364" s="1" t="str">
        <f ca="1">IFERROR(__xludf.DUMMYFUNCTION("""COMPUTED_VALUE"""),"Férfi")</f>
        <v>Férfi</v>
      </c>
      <c r="E364" s="1"/>
      <c r="F364" s="1">
        <f ca="1">IFERROR(__xludf.DUMMYFUNCTION("""COMPUTED_VALUE"""),2009)</f>
        <v>2009</v>
      </c>
      <c r="G364" s="1">
        <f ca="1">IFERROR(__xludf.DUMMYFUNCTION("""COMPUTED_VALUE"""),3660)</f>
        <v>3660</v>
      </c>
      <c r="H364" s="1" t="str">
        <f ca="1">IFERROR(__xludf.DUMMYFUNCTION("""COMPUTED_VALUE"""),"MTLSZ003660A21")</f>
        <v>MTLSZ003660A21</v>
      </c>
      <c r="I364" s="2">
        <f ca="1">IFERROR(__xludf.DUMMYFUNCTION("""COMPUTED_VALUE"""),44510)</f>
        <v>44510</v>
      </c>
      <c r="J364" s="2">
        <f ca="1">IFERROR(__xludf.DUMMYFUNCTION("""COMPUTED_VALUE"""),44874)</f>
        <v>44874</v>
      </c>
    </row>
    <row r="365" spans="1:10" x14ac:dyDescent="0.25">
      <c r="A365" s="1" t="str">
        <f ca="1">IFERROR(__xludf.DUMMYFUNCTION("""COMPUTED_VALUE"""),"Életmód SE")</f>
        <v>Életmód SE</v>
      </c>
      <c r="B365" s="1" t="str">
        <f ca="1">IFERROR(__xludf.DUMMYFUNCTION("""COMPUTED_VALUE"""),"Fehér Tamás")</f>
        <v>Fehér Tamás</v>
      </c>
      <c r="C365" s="1"/>
      <c r="D365" s="1" t="str">
        <f ca="1">IFERROR(__xludf.DUMMYFUNCTION("""COMPUTED_VALUE"""),"Férfi")</f>
        <v>Férfi</v>
      </c>
      <c r="E365" s="1"/>
      <c r="F365" s="1">
        <f ca="1">IFERROR(__xludf.DUMMYFUNCTION("""COMPUTED_VALUE"""),2009)</f>
        <v>2009</v>
      </c>
      <c r="G365" s="1">
        <f ca="1">IFERROR(__xludf.DUMMYFUNCTION("""COMPUTED_VALUE"""),3640)</f>
        <v>3640</v>
      </c>
      <c r="H365" s="1" t="str">
        <f ca="1">IFERROR(__xludf.DUMMYFUNCTION("""COMPUTED_VALUE"""),"MTLSZ003640A21")</f>
        <v>MTLSZ003640A21</v>
      </c>
      <c r="I365" s="2">
        <f ca="1">IFERROR(__xludf.DUMMYFUNCTION("""COMPUTED_VALUE"""),44510)</f>
        <v>44510</v>
      </c>
      <c r="J365" s="2">
        <f ca="1">IFERROR(__xludf.DUMMYFUNCTION("""COMPUTED_VALUE"""),44874)</f>
        <v>44874</v>
      </c>
    </row>
    <row r="366" spans="1:10" x14ac:dyDescent="0.25">
      <c r="A366" s="1" t="str">
        <f ca="1">IFERROR(__xludf.DUMMYFUNCTION("""COMPUTED_VALUE"""),"Életmód SE")</f>
        <v>Életmód SE</v>
      </c>
      <c r="B366" s="1" t="str">
        <f ca="1">IFERROR(__xludf.DUMMYFUNCTION("""COMPUTED_VALUE"""),"Juhász Kristóf")</f>
        <v>Juhász Kristóf</v>
      </c>
      <c r="C366" s="1"/>
      <c r="D366" s="1" t="str">
        <f ca="1">IFERROR(__xludf.DUMMYFUNCTION("""COMPUTED_VALUE"""),"Férfi")</f>
        <v>Férfi</v>
      </c>
      <c r="E366" s="1"/>
      <c r="F366" s="1">
        <f ca="1">IFERROR(__xludf.DUMMYFUNCTION("""COMPUTED_VALUE"""),2007)</f>
        <v>2007</v>
      </c>
      <c r="G366" s="1">
        <f ca="1">IFERROR(__xludf.DUMMYFUNCTION("""COMPUTED_VALUE"""),3664)</f>
        <v>3664</v>
      </c>
      <c r="H366" s="1" t="str">
        <f ca="1">IFERROR(__xludf.DUMMYFUNCTION("""COMPUTED_VALUE"""),"MTLSZ003664A21")</f>
        <v>MTLSZ003664A21</v>
      </c>
      <c r="I366" s="2">
        <f ca="1">IFERROR(__xludf.DUMMYFUNCTION("""COMPUTED_VALUE"""),44510)</f>
        <v>44510</v>
      </c>
      <c r="J366" s="2">
        <f ca="1">IFERROR(__xludf.DUMMYFUNCTION("""COMPUTED_VALUE"""),44874)</f>
        <v>44874</v>
      </c>
    </row>
    <row r="367" spans="1:10" x14ac:dyDescent="0.25">
      <c r="A367" s="1" t="str">
        <f ca="1">IFERROR(__xludf.DUMMYFUNCTION("""COMPUTED_VALUE"""),"Életmód SE")</f>
        <v>Életmód SE</v>
      </c>
      <c r="B367" s="1" t="str">
        <f ca="1">IFERROR(__xludf.DUMMYFUNCTION("""COMPUTED_VALUE"""),"Juhász Zalán")</f>
        <v>Juhász Zalán</v>
      </c>
      <c r="C367" s="1"/>
      <c r="D367" s="1" t="str">
        <f ca="1">IFERROR(__xludf.DUMMYFUNCTION("""COMPUTED_VALUE"""),"Férfi")</f>
        <v>Férfi</v>
      </c>
      <c r="E367" s="1"/>
      <c r="F367" s="1">
        <f ca="1">IFERROR(__xludf.DUMMYFUNCTION("""COMPUTED_VALUE"""),2010)</f>
        <v>2010</v>
      </c>
      <c r="G367" s="1">
        <f ca="1">IFERROR(__xludf.DUMMYFUNCTION("""COMPUTED_VALUE"""),3440)</f>
        <v>3440</v>
      </c>
      <c r="H367" s="1" t="str">
        <f ca="1">IFERROR(__xludf.DUMMYFUNCTION("""COMPUTED_VALUE"""),"MTLSZ003440A21")</f>
        <v>MTLSZ003440A21</v>
      </c>
      <c r="I367" s="2">
        <f ca="1">IFERROR(__xludf.DUMMYFUNCTION("""COMPUTED_VALUE"""),44510)</f>
        <v>44510</v>
      </c>
      <c r="J367" s="2">
        <f ca="1">IFERROR(__xludf.DUMMYFUNCTION("""COMPUTED_VALUE"""),44874)</f>
        <v>44874</v>
      </c>
    </row>
    <row r="368" spans="1:10" x14ac:dyDescent="0.25">
      <c r="A368" s="1" t="str">
        <f ca="1">IFERROR(__xludf.DUMMYFUNCTION("""COMPUTED_VALUE"""),"Életmód SE")</f>
        <v>Életmód SE</v>
      </c>
      <c r="B368" s="1" t="str">
        <f ca="1">IFERROR(__xludf.DUMMYFUNCTION("""COMPUTED_VALUE"""),"Máté Lili")</f>
        <v>Máté Lili</v>
      </c>
      <c r="C368" s="1"/>
      <c r="D368" s="1" t="str">
        <f ca="1">IFERROR(__xludf.DUMMYFUNCTION("""COMPUTED_VALUE"""),"Nő")</f>
        <v>Nő</v>
      </c>
      <c r="E368" s="1"/>
      <c r="F368" s="1">
        <f ca="1">IFERROR(__xludf.DUMMYFUNCTION("""COMPUTED_VALUE"""),2007)</f>
        <v>2007</v>
      </c>
      <c r="G368" s="1">
        <f ca="1">IFERROR(__xludf.DUMMYFUNCTION("""COMPUTED_VALUE"""),3652)</f>
        <v>3652</v>
      </c>
      <c r="H368" s="1" t="str">
        <f ca="1">IFERROR(__xludf.DUMMYFUNCTION("""COMPUTED_VALUE"""),"MTLSZ003652A21")</f>
        <v>MTLSZ003652A21</v>
      </c>
      <c r="I368" s="2">
        <f ca="1">IFERROR(__xludf.DUMMYFUNCTION("""COMPUTED_VALUE"""),44510)</f>
        <v>44510</v>
      </c>
      <c r="J368" s="2">
        <f ca="1">IFERROR(__xludf.DUMMYFUNCTION("""COMPUTED_VALUE"""),44874)</f>
        <v>44874</v>
      </c>
    </row>
    <row r="369" spans="1:10" x14ac:dyDescent="0.25">
      <c r="A369" s="1" t="str">
        <f ca="1">IFERROR(__xludf.DUMMYFUNCTION("""COMPUTED_VALUE"""),"Életmód SE")</f>
        <v>Életmód SE</v>
      </c>
      <c r="B369" s="1" t="str">
        <f ca="1">IFERROR(__xludf.DUMMYFUNCTION("""COMPUTED_VALUE"""),"Mészáros Enikő")</f>
        <v>Mészáros Enikő</v>
      </c>
      <c r="C369" s="1"/>
      <c r="D369" s="1" t="str">
        <f ca="1">IFERROR(__xludf.DUMMYFUNCTION("""COMPUTED_VALUE"""),"Nő")</f>
        <v>Nő</v>
      </c>
      <c r="E369" s="1"/>
      <c r="F369" s="1">
        <f ca="1">IFERROR(__xludf.DUMMYFUNCTION("""COMPUTED_VALUE"""),2009)</f>
        <v>2009</v>
      </c>
      <c r="G369" s="1">
        <f ca="1">IFERROR(__xludf.DUMMYFUNCTION("""COMPUTED_VALUE"""),3417)</f>
        <v>3417</v>
      </c>
      <c r="H369" s="1" t="str">
        <f ca="1">IFERROR(__xludf.DUMMYFUNCTION("""COMPUTED_VALUE"""),"MTLSZ003417A21")</f>
        <v>MTLSZ003417A21</v>
      </c>
      <c r="I369" s="2">
        <f ca="1">IFERROR(__xludf.DUMMYFUNCTION("""COMPUTED_VALUE"""),44510)</f>
        <v>44510</v>
      </c>
      <c r="J369" s="2">
        <f ca="1">IFERROR(__xludf.DUMMYFUNCTION("""COMPUTED_VALUE"""),44874)</f>
        <v>44874</v>
      </c>
    </row>
    <row r="370" spans="1:10" x14ac:dyDescent="0.25">
      <c r="A370" s="1" t="str">
        <f ca="1">IFERROR(__xludf.DUMMYFUNCTION("""COMPUTED_VALUE"""),"Életmód SE")</f>
        <v>Életmód SE</v>
      </c>
      <c r="B370" s="1" t="str">
        <f ca="1">IFERROR(__xludf.DUMMYFUNCTION("""COMPUTED_VALUE"""),"Nyári Kornél")</f>
        <v>Nyári Kornél</v>
      </c>
      <c r="C370" s="1"/>
      <c r="D370" s="1" t="str">
        <f ca="1">IFERROR(__xludf.DUMMYFUNCTION("""COMPUTED_VALUE"""),"Férfi")</f>
        <v>Férfi</v>
      </c>
      <c r="E370" s="1"/>
      <c r="F370" s="1">
        <f ca="1">IFERROR(__xludf.DUMMYFUNCTION("""COMPUTED_VALUE"""),2010)</f>
        <v>2010</v>
      </c>
      <c r="G370" s="1">
        <f ca="1">IFERROR(__xludf.DUMMYFUNCTION("""COMPUTED_VALUE"""),3795)</f>
        <v>3795</v>
      </c>
      <c r="H370" s="1" t="str">
        <f ca="1">IFERROR(__xludf.DUMMYFUNCTION("""COMPUTED_VALUE"""),"MTLSZ003795A21")</f>
        <v>MTLSZ003795A21</v>
      </c>
      <c r="I370" s="2">
        <f ca="1">IFERROR(__xludf.DUMMYFUNCTION("""COMPUTED_VALUE"""),44510)</f>
        <v>44510</v>
      </c>
      <c r="J370" s="2">
        <f ca="1">IFERROR(__xludf.DUMMYFUNCTION("""COMPUTED_VALUE"""),44874)</f>
        <v>44874</v>
      </c>
    </row>
    <row r="371" spans="1:10" x14ac:dyDescent="0.25">
      <c r="A371" s="1" t="str">
        <f ca="1">IFERROR(__xludf.DUMMYFUNCTION("""COMPUTED_VALUE"""),"Életmód SE")</f>
        <v>Életmód SE</v>
      </c>
      <c r="B371" s="1" t="str">
        <f ca="1">IFERROR(__xludf.DUMMYFUNCTION("""COMPUTED_VALUE"""),"Pokorny Szintia")</f>
        <v>Pokorny Szintia</v>
      </c>
      <c r="C371" s="1"/>
      <c r="D371" s="1" t="str">
        <f ca="1">IFERROR(__xludf.DUMMYFUNCTION("""COMPUTED_VALUE"""),"Nő")</f>
        <v>Nő</v>
      </c>
      <c r="E371" s="1"/>
      <c r="F371" s="1">
        <f ca="1">IFERROR(__xludf.DUMMYFUNCTION("""COMPUTED_VALUE"""),2006)</f>
        <v>2006</v>
      </c>
      <c r="G371" s="1">
        <f ca="1">IFERROR(__xludf.DUMMYFUNCTION("""COMPUTED_VALUE"""),3629)</f>
        <v>3629</v>
      </c>
      <c r="H371" s="1" t="str">
        <f ca="1">IFERROR(__xludf.DUMMYFUNCTION("""COMPUTED_VALUE"""),"MTLSZ003629A21")</f>
        <v>MTLSZ003629A21</v>
      </c>
      <c r="I371" s="2">
        <f ca="1">IFERROR(__xludf.DUMMYFUNCTION("""COMPUTED_VALUE"""),44510)</f>
        <v>44510</v>
      </c>
      <c r="J371" s="2">
        <f ca="1">IFERROR(__xludf.DUMMYFUNCTION("""COMPUTED_VALUE"""),44874)</f>
        <v>44874</v>
      </c>
    </row>
    <row r="372" spans="1:10" x14ac:dyDescent="0.25">
      <c r="A372" s="1" t="str">
        <f ca="1">IFERROR(__xludf.DUMMYFUNCTION("""COMPUTED_VALUE"""),"Életmód SE")</f>
        <v>Életmód SE</v>
      </c>
      <c r="B372" s="1" t="str">
        <f ca="1">IFERROR(__xludf.DUMMYFUNCTION("""COMPUTED_VALUE"""),"Toronyai Benedek")</f>
        <v>Toronyai Benedek</v>
      </c>
      <c r="C372" s="1"/>
      <c r="D372" s="1" t="str">
        <f ca="1">IFERROR(__xludf.DUMMYFUNCTION("""COMPUTED_VALUE"""),"Férfi")</f>
        <v>Férfi</v>
      </c>
      <c r="E372" s="1"/>
      <c r="F372" s="1">
        <f ca="1">IFERROR(__xludf.DUMMYFUNCTION("""COMPUTED_VALUE"""),2009)</f>
        <v>2009</v>
      </c>
      <c r="G372" s="1">
        <f ca="1">IFERROR(__xludf.DUMMYFUNCTION("""COMPUTED_VALUE"""),3661)</f>
        <v>3661</v>
      </c>
      <c r="H372" s="1" t="str">
        <f ca="1">IFERROR(__xludf.DUMMYFUNCTION("""COMPUTED_VALUE"""),"MTLSZ003661A21")</f>
        <v>MTLSZ003661A21</v>
      </c>
      <c r="I372" s="2">
        <f ca="1">IFERROR(__xludf.DUMMYFUNCTION("""COMPUTED_VALUE"""),44510)</f>
        <v>44510</v>
      </c>
      <c r="J372" s="2">
        <f ca="1">IFERROR(__xludf.DUMMYFUNCTION("""COMPUTED_VALUE"""),44874)</f>
        <v>44874</v>
      </c>
    </row>
    <row r="373" spans="1:10" x14ac:dyDescent="0.25">
      <c r="A373" s="1" t="str">
        <f ca="1">IFERROR(__xludf.DUMMYFUNCTION("""COMPUTED_VALUE"""),"Életmód SE")</f>
        <v>Életmód SE</v>
      </c>
      <c r="B373" s="1" t="str">
        <f ca="1">IFERROR(__xludf.DUMMYFUNCTION("""COMPUTED_VALUE"""),"Üllei-Kovács Rita")</f>
        <v>Üllei-Kovács Rita</v>
      </c>
      <c r="C373" s="1"/>
      <c r="D373" s="1" t="str">
        <f ca="1">IFERROR(__xludf.DUMMYFUNCTION("""COMPUTED_VALUE"""),"Nő")</f>
        <v>Nő</v>
      </c>
      <c r="E373" s="1"/>
      <c r="F373" s="1">
        <f ca="1">IFERROR(__xludf.DUMMYFUNCTION("""COMPUTED_VALUE"""),2009)</f>
        <v>2009</v>
      </c>
      <c r="G373" s="1">
        <f ca="1">IFERROR(__xludf.DUMMYFUNCTION("""COMPUTED_VALUE"""),3650)</f>
        <v>3650</v>
      </c>
      <c r="H373" s="1" t="str">
        <f ca="1">IFERROR(__xludf.DUMMYFUNCTION("""COMPUTED_VALUE"""),"MTLSZ003650A21")</f>
        <v>MTLSZ003650A21</v>
      </c>
      <c r="I373" s="2">
        <f ca="1">IFERROR(__xludf.DUMMYFUNCTION("""COMPUTED_VALUE"""),44510)</f>
        <v>44510</v>
      </c>
      <c r="J373" s="2">
        <f ca="1">IFERROR(__xludf.DUMMYFUNCTION("""COMPUTED_VALUE"""),44874)</f>
        <v>44874</v>
      </c>
    </row>
    <row r="374" spans="1:10" x14ac:dyDescent="0.25">
      <c r="A374" s="1" t="str">
        <f ca="1">IFERROR(__xludf.DUMMYFUNCTION("""COMPUTED_VALUE"""),"Életmód SE")</f>
        <v>Életmód SE</v>
      </c>
      <c r="B374" s="1" t="str">
        <f ca="1">IFERROR(__xludf.DUMMYFUNCTION("""COMPUTED_VALUE"""),"Vágány Nóra")</f>
        <v>Vágány Nóra</v>
      </c>
      <c r="C374" s="1"/>
      <c r="D374" s="1" t="str">
        <f ca="1">IFERROR(__xludf.DUMMYFUNCTION("""COMPUTED_VALUE"""),"Nő")</f>
        <v>Nő</v>
      </c>
      <c r="E374" s="1"/>
      <c r="F374" s="1">
        <f ca="1">IFERROR(__xludf.DUMMYFUNCTION("""COMPUTED_VALUE"""),2008)</f>
        <v>2008</v>
      </c>
      <c r="G374" s="1">
        <f ca="1">IFERROR(__xludf.DUMMYFUNCTION("""COMPUTED_VALUE"""),3647)</f>
        <v>3647</v>
      </c>
      <c r="H374" s="1" t="str">
        <f ca="1">IFERROR(__xludf.DUMMYFUNCTION("""COMPUTED_VALUE"""),"MTLSZ003647A21")</f>
        <v>MTLSZ003647A21</v>
      </c>
      <c r="I374" s="2">
        <f ca="1">IFERROR(__xludf.DUMMYFUNCTION("""COMPUTED_VALUE"""),44510)</f>
        <v>44510</v>
      </c>
      <c r="J374" s="2">
        <f ca="1">IFERROR(__xludf.DUMMYFUNCTION("""COMPUTED_VALUE"""),44874)</f>
        <v>44874</v>
      </c>
    </row>
    <row r="375" spans="1:10" x14ac:dyDescent="0.25">
      <c r="A375" s="1" t="str">
        <f ca="1">IFERROR(__xludf.DUMMYFUNCTION("""COMPUTED_VALUE"""),"Életmód SE")</f>
        <v>Életmód SE</v>
      </c>
      <c r="B375" s="1" t="str">
        <f ca="1">IFERROR(__xludf.DUMMYFUNCTION("""COMPUTED_VALUE"""),"Varga Máté Bonca")</f>
        <v>Varga Máté Bonca</v>
      </c>
      <c r="C375" s="1"/>
      <c r="D375" s="1" t="str">
        <f ca="1">IFERROR(__xludf.DUMMYFUNCTION("""COMPUTED_VALUE"""),"Férfi")</f>
        <v>Férfi</v>
      </c>
      <c r="E375" s="1"/>
      <c r="F375" s="1">
        <f ca="1">IFERROR(__xludf.DUMMYFUNCTION("""COMPUTED_VALUE"""),2009)</f>
        <v>2009</v>
      </c>
      <c r="G375" s="1">
        <f ca="1">IFERROR(__xludf.DUMMYFUNCTION("""COMPUTED_VALUE"""),3438)</f>
        <v>3438</v>
      </c>
      <c r="H375" s="1" t="str">
        <f ca="1">IFERROR(__xludf.DUMMYFUNCTION("""COMPUTED_VALUE"""),"MTLSZ003438A21")</f>
        <v>MTLSZ003438A21</v>
      </c>
      <c r="I375" s="2">
        <f ca="1">IFERROR(__xludf.DUMMYFUNCTION("""COMPUTED_VALUE"""),44510)</f>
        <v>44510</v>
      </c>
      <c r="J375" s="2">
        <f ca="1">IFERROR(__xludf.DUMMYFUNCTION("""COMPUTED_VALUE"""),44874)</f>
        <v>44874</v>
      </c>
    </row>
    <row r="376" spans="1:10" x14ac:dyDescent="0.25">
      <c r="A376" s="1" t="str">
        <f ca="1">IFERROR(__xludf.DUMMYFUNCTION("""COMPUTED_VALUE"""),"HZSE")</f>
        <v>HZSE</v>
      </c>
      <c r="B376" s="1" t="str">
        <f ca="1">IFERROR(__xludf.DUMMYFUNCTION("""COMPUTED_VALUE"""),"Mester Anikó")</f>
        <v>Mester Anikó</v>
      </c>
      <c r="C376" s="1"/>
      <c r="D376" s="1" t="str">
        <f ca="1">IFERROR(__xludf.DUMMYFUNCTION("""COMPUTED_VALUE"""),"Nő")</f>
        <v>Nő</v>
      </c>
      <c r="E376" s="1"/>
      <c r="F376" s="1">
        <f ca="1">IFERROR(__xludf.DUMMYFUNCTION("""COMPUTED_VALUE"""),1981)</f>
        <v>1981</v>
      </c>
      <c r="G376" s="1">
        <f ca="1">IFERROR(__xludf.DUMMYFUNCTION("""COMPUTED_VALUE"""),364)</f>
        <v>364</v>
      </c>
      <c r="H376" s="1" t="str">
        <f ca="1">IFERROR(__xludf.DUMMYFUNCTION("""COMPUTED_VALUE"""),"MTLSZ000364A21")</f>
        <v>MTLSZ000364A21</v>
      </c>
      <c r="I376" s="2">
        <f ca="1">IFERROR(__xludf.DUMMYFUNCTION("""COMPUTED_VALUE"""),44510)</f>
        <v>44510</v>
      </c>
      <c r="J376" s="2">
        <f ca="1">IFERROR(__xludf.DUMMYFUNCTION("""COMPUTED_VALUE"""),44874)</f>
        <v>44874</v>
      </c>
    </row>
    <row r="377" spans="1:10" x14ac:dyDescent="0.25">
      <c r="A377" s="1" t="str">
        <f ca="1">IFERROR(__xludf.DUMMYFUNCTION("""COMPUTED_VALUE"""),"Klébi DSE")</f>
        <v>Klébi DSE</v>
      </c>
      <c r="B377" s="1" t="str">
        <f ca="1">IFERROR(__xludf.DUMMYFUNCTION("""COMPUTED_VALUE"""),"Sió Bendegúz Ábel")</f>
        <v>Sió Bendegúz Ábel</v>
      </c>
      <c r="C377" s="1"/>
      <c r="D377" s="1" t="str">
        <f ca="1">IFERROR(__xludf.DUMMYFUNCTION("""COMPUTED_VALUE"""),"Férfi")</f>
        <v>Férfi</v>
      </c>
      <c r="E377" s="1"/>
      <c r="F377" s="1">
        <f ca="1">IFERROR(__xludf.DUMMYFUNCTION("""COMPUTED_VALUE"""),2003)</f>
        <v>2003</v>
      </c>
      <c r="G377" s="1">
        <f ca="1">IFERROR(__xludf.DUMMYFUNCTION("""COMPUTED_VALUE"""),2495)</f>
        <v>2495</v>
      </c>
      <c r="H377" s="1" t="str">
        <f ca="1">IFERROR(__xludf.DUMMYFUNCTION("""COMPUTED_VALUE"""),"MTLSZ002495A21")</f>
        <v>MTLSZ002495A21</v>
      </c>
      <c r="I377" s="2">
        <f ca="1">IFERROR(__xludf.DUMMYFUNCTION("""COMPUTED_VALUE"""),44510)</f>
        <v>44510</v>
      </c>
      <c r="J377" s="2">
        <f ca="1">IFERROR(__xludf.DUMMYFUNCTION("""COMPUTED_VALUE"""),44874)</f>
        <v>44874</v>
      </c>
    </row>
    <row r="378" spans="1:10" x14ac:dyDescent="0.25">
      <c r="A378" s="1" t="str">
        <f ca="1">IFERROR(__xludf.DUMMYFUNCTION("""COMPUTED_VALUE"""),"Klébi DSE")</f>
        <v>Klébi DSE</v>
      </c>
      <c r="B378" s="1" t="str">
        <f ca="1">IFERROR(__xludf.DUMMYFUNCTION("""COMPUTED_VALUE"""),"Szalóky Eszter")</f>
        <v>Szalóky Eszter</v>
      </c>
      <c r="C378" s="1"/>
      <c r="D378" s="1" t="str">
        <f ca="1">IFERROR(__xludf.DUMMYFUNCTION("""COMPUTED_VALUE"""),"Nő")</f>
        <v>Nő</v>
      </c>
      <c r="E378" s="1"/>
      <c r="F378" s="1">
        <f ca="1">IFERROR(__xludf.DUMMYFUNCTION("""COMPUTED_VALUE"""),2003)</f>
        <v>2003</v>
      </c>
      <c r="G378" s="1">
        <f ca="1">IFERROR(__xludf.DUMMYFUNCTION("""COMPUTED_VALUE"""),2883)</f>
        <v>2883</v>
      </c>
      <c r="H378" s="1" t="str">
        <f ca="1">IFERROR(__xludf.DUMMYFUNCTION("""COMPUTED_VALUE"""),"MTLSZ002883A21")</f>
        <v>MTLSZ002883A21</v>
      </c>
      <c r="I378" s="2">
        <f ca="1">IFERROR(__xludf.DUMMYFUNCTION("""COMPUTED_VALUE"""),44510)</f>
        <v>44510</v>
      </c>
      <c r="J378" s="2">
        <f ca="1">IFERROR(__xludf.DUMMYFUNCTION("""COMPUTED_VALUE"""),44874)</f>
        <v>44874</v>
      </c>
    </row>
    <row r="379" spans="1:10" x14ac:dyDescent="0.25">
      <c r="A379" s="1" t="str">
        <f ca="1">IFERROR(__xludf.DUMMYFUNCTION("""COMPUTED_VALUE"""),"Seregélyesi PDSE")</f>
        <v>Seregélyesi PDSE</v>
      </c>
      <c r="B379" s="1" t="str">
        <f ca="1">IFERROR(__xludf.DUMMYFUNCTION("""COMPUTED_VALUE"""),"Csomor-Németh Lili")</f>
        <v>Csomor-Németh Lili</v>
      </c>
      <c r="C379" s="1"/>
      <c r="D379" s="1" t="str">
        <f ca="1">IFERROR(__xludf.DUMMYFUNCTION("""COMPUTED_VALUE"""),"Nő")</f>
        <v>Nő</v>
      </c>
      <c r="E379" s="1"/>
      <c r="F379" s="1">
        <f ca="1">IFERROR(__xludf.DUMMYFUNCTION("""COMPUTED_VALUE"""),2004)</f>
        <v>2004</v>
      </c>
      <c r="G379" s="1">
        <f ca="1">IFERROR(__xludf.DUMMYFUNCTION("""COMPUTED_VALUE"""),2595)</f>
        <v>2595</v>
      </c>
      <c r="H379" s="1" t="str">
        <f ca="1">IFERROR(__xludf.DUMMYFUNCTION("""COMPUTED_VALUE"""),"MTLSZ002595A21")</f>
        <v>MTLSZ002595A21</v>
      </c>
      <c r="I379" s="2">
        <f ca="1">IFERROR(__xludf.DUMMYFUNCTION("""COMPUTED_VALUE"""),44510)</f>
        <v>44510</v>
      </c>
      <c r="J379" s="2">
        <f ca="1">IFERROR(__xludf.DUMMYFUNCTION("""COMPUTED_VALUE"""),44874)</f>
        <v>44874</v>
      </c>
    </row>
    <row r="380" spans="1:10" x14ac:dyDescent="0.25">
      <c r="A380" s="1" t="str">
        <f ca="1">IFERROR(__xludf.DUMMYFUNCTION("""COMPUTED_VALUE"""),"Talentum TSE")</f>
        <v>Talentum TSE</v>
      </c>
      <c r="B380" s="1" t="str">
        <f ca="1">IFERROR(__xludf.DUMMYFUNCTION("""COMPUTED_VALUE"""),"Farkas Júlia")</f>
        <v>Farkas Júlia</v>
      </c>
      <c r="C380" s="1"/>
      <c r="D380" s="1" t="str">
        <f ca="1">IFERROR(__xludf.DUMMYFUNCTION("""COMPUTED_VALUE"""),"Nő")</f>
        <v>Nő</v>
      </c>
      <c r="E380" s="1"/>
      <c r="F380" s="1">
        <f ca="1">IFERROR(__xludf.DUMMYFUNCTION("""COMPUTED_VALUE"""),2007)</f>
        <v>2007</v>
      </c>
      <c r="G380" s="1">
        <f ca="1">IFERROR(__xludf.DUMMYFUNCTION("""COMPUTED_VALUE"""),3218)</f>
        <v>3218</v>
      </c>
      <c r="H380" s="1" t="str">
        <f ca="1">IFERROR(__xludf.DUMMYFUNCTION("""COMPUTED_VALUE"""),"MTLSZ003218A21")</f>
        <v>MTLSZ003218A21</v>
      </c>
      <c r="I380" s="2">
        <f ca="1">IFERROR(__xludf.DUMMYFUNCTION("""COMPUTED_VALUE"""),44510)</f>
        <v>44510</v>
      </c>
      <c r="J380" s="2">
        <f ca="1">IFERROR(__xludf.DUMMYFUNCTION("""COMPUTED_VALUE"""),44874)</f>
        <v>44874</v>
      </c>
    </row>
    <row r="381" spans="1:10" x14ac:dyDescent="0.25">
      <c r="A381" s="1" t="str">
        <f ca="1">IFERROR(__xludf.DUMMYFUNCTION("""COMPUTED_VALUE"""),"Talentum TSE")</f>
        <v>Talentum TSE</v>
      </c>
      <c r="B381" s="1" t="str">
        <f ca="1">IFERROR(__xludf.DUMMYFUNCTION("""COMPUTED_VALUE"""),"Gálik Alexandra")</f>
        <v>Gálik Alexandra</v>
      </c>
      <c r="C381" s="1"/>
      <c r="D381" s="1" t="str">
        <f ca="1">IFERROR(__xludf.DUMMYFUNCTION("""COMPUTED_VALUE"""),"Nő")</f>
        <v>Nő</v>
      </c>
      <c r="E381" s="1"/>
      <c r="F381" s="1">
        <f ca="1">IFERROR(__xludf.DUMMYFUNCTION("""COMPUTED_VALUE"""),2007)</f>
        <v>2007</v>
      </c>
      <c r="G381" s="1">
        <f ca="1">IFERROR(__xludf.DUMMYFUNCTION("""COMPUTED_VALUE"""),3481)</f>
        <v>3481</v>
      </c>
      <c r="H381" s="1" t="str">
        <f ca="1">IFERROR(__xludf.DUMMYFUNCTION("""COMPUTED_VALUE"""),"MTLSZ003481A21")</f>
        <v>MTLSZ003481A21</v>
      </c>
      <c r="I381" s="2">
        <f ca="1">IFERROR(__xludf.DUMMYFUNCTION("""COMPUTED_VALUE"""),44510)</f>
        <v>44510</v>
      </c>
      <c r="J381" s="2">
        <f ca="1">IFERROR(__xludf.DUMMYFUNCTION("""COMPUTED_VALUE"""),44874)</f>
        <v>44874</v>
      </c>
    </row>
    <row r="382" spans="1:10" x14ac:dyDescent="0.25">
      <c r="A382" s="1" t="str">
        <f ca="1">IFERROR(__xludf.DUMMYFUNCTION("""COMPUTED_VALUE"""),"T(r)ollas SE")</f>
        <v>T(r)ollas SE</v>
      </c>
      <c r="B382" s="1" t="str">
        <f ca="1">IFERROR(__xludf.DUMMYFUNCTION("""COMPUTED_VALUE"""),"Angyal Dániel")</f>
        <v>Angyal Dániel</v>
      </c>
      <c r="C382" s="1"/>
      <c r="D382" s="1" t="str">
        <f ca="1">IFERROR(__xludf.DUMMYFUNCTION("""COMPUTED_VALUE"""),"Férfi")</f>
        <v>Férfi</v>
      </c>
      <c r="E382" s="1"/>
      <c r="F382" s="1">
        <f ca="1">IFERROR(__xludf.DUMMYFUNCTION("""COMPUTED_VALUE"""),1983)</f>
        <v>1983</v>
      </c>
      <c r="G382" s="1">
        <f ca="1">IFERROR(__xludf.DUMMYFUNCTION("""COMPUTED_VALUE"""),3003)</f>
        <v>3003</v>
      </c>
      <c r="H382" s="1" t="str">
        <f ca="1">IFERROR(__xludf.DUMMYFUNCTION("""COMPUTED_VALUE"""),"MTLSZ003003A21")</f>
        <v>MTLSZ003003A21</v>
      </c>
      <c r="I382" s="2">
        <f ca="1">IFERROR(__xludf.DUMMYFUNCTION("""COMPUTED_VALUE"""),44510)</f>
        <v>44510</v>
      </c>
      <c r="J382" s="2">
        <f ca="1">IFERROR(__xludf.DUMMYFUNCTION("""COMPUTED_VALUE"""),44874)</f>
        <v>44874</v>
      </c>
    </row>
    <row r="383" spans="1:10" x14ac:dyDescent="0.25">
      <c r="A383" s="1" t="str">
        <f ca="1">IFERROR(__xludf.DUMMYFUNCTION("""COMPUTED_VALUE"""),"T(r)ollas SE")</f>
        <v>T(r)ollas SE</v>
      </c>
      <c r="B383" s="1" t="str">
        <f ca="1">IFERROR(__xludf.DUMMYFUNCTION("""COMPUTED_VALUE"""),"Madarász Krisztián")</f>
        <v>Madarász Krisztián</v>
      </c>
      <c r="C383" s="1"/>
      <c r="D383" s="1" t="str">
        <f ca="1">IFERROR(__xludf.DUMMYFUNCTION("""COMPUTED_VALUE"""),"Férfi")</f>
        <v>Férfi</v>
      </c>
      <c r="E383" s="1"/>
      <c r="F383" s="1">
        <f ca="1">IFERROR(__xludf.DUMMYFUNCTION("""COMPUTED_VALUE"""),1974)</f>
        <v>1974</v>
      </c>
      <c r="G383" s="1">
        <f ca="1">IFERROR(__xludf.DUMMYFUNCTION("""COMPUTED_VALUE"""),3101)</f>
        <v>3101</v>
      </c>
      <c r="H383" s="1" t="str">
        <f ca="1">IFERROR(__xludf.DUMMYFUNCTION("""COMPUTED_VALUE"""),"MTLSZ003101A21")</f>
        <v>MTLSZ003101A21</v>
      </c>
      <c r="I383" s="2">
        <f ca="1">IFERROR(__xludf.DUMMYFUNCTION("""COMPUTED_VALUE"""),44510)</f>
        <v>44510</v>
      </c>
      <c r="J383" s="2">
        <f ca="1">IFERROR(__xludf.DUMMYFUNCTION("""COMPUTED_VALUE"""),44874)</f>
        <v>44874</v>
      </c>
    </row>
    <row r="384" spans="1:10" x14ac:dyDescent="0.25">
      <c r="A384" s="1" t="str">
        <f ca="1">IFERROR(__xludf.DUMMYFUNCTION("""COMPUTED_VALUE"""),"Újpest TSE")</f>
        <v>Újpest TSE</v>
      </c>
      <c r="B384" s="1" t="str">
        <f ca="1">IFERROR(__xludf.DUMMYFUNCTION("""COMPUTED_VALUE"""),"Dede Zsolt")</f>
        <v>Dede Zsolt</v>
      </c>
      <c r="C384" s="1"/>
      <c r="D384" s="1" t="str">
        <f ca="1">IFERROR(__xludf.DUMMYFUNCTION("""COMPUTED_VALUE"""),"Férfi")</f>
        <v>Férfi</v>
      </c>
      <c r="E384" s="1"/>
      <c r="F384" s="1">
        <f ca="1">IFERROR(__xludf.DUMMYFUNCTION("""COMPUTED_VALUE"""),1973)</f>
        <v>1973</v>
      </c>
      <c r="G384" s="1">
        <f ca="1">IFERROR(__xludf.DUMMYFUNCTION("""COMPUTED_VALUE"""),184)</f>
        <v>184</v>
      </c>
      <c r="H384" s="1" t="str">
        <f ca="1">IFERROR(__xludf.DUMMYFUNCTION("""COMPUTED_VALUE"""),"MTLSZ000184A21")</f>
        <v>MTLSZ000184A21</v>
      </c>
      <c r="I384" s="2">
        <f ca="1">IFERROR(__xludf.DUMMYFUNCTION("""COMPUTED_VALUE"""),44510)</f>
        <v>44510</v>
      </c>
      <c r="J384" s="2">
        <f ca="1">IFERROR(__xludf.DUMMYFUNCTION("""COMPUTED_VALUE"""),44874)</f>
        <v>44874</v>
      </c>
    </row>
    <row r="385" spans="1:10" x14ac:dyDescent="0.25">
      <c r="A385" s="1" t="str">
        <f ca="1">IFERROR(__xludf.DUMMYFUNCTION("""COMPUTED_VALUE"""),"Újpest TSE")</f>
        <v>Újpest TSE</v>
      </c>
      <c r="B385" s="1" t="str">
        <f ca="1">IFERROR(__xludf.DUMMYFUNCTION("""COMPUTED_VALUE"""),"Szabó Tamás Gábor")</f>
        <v>Szabó Tamás Gábor</v>
      </c>
      <c r="C385" s="1"/>
      <c r="D385" s="1" t="str">
        <f ca="1">IFERROR(__xludf.DUMMYFUNCTION("""COMPUTED_VALUE"""),"Férfi")</f>
        <v>Férfi</v>
      </c>
      <c r="E385" s="1"/>
      <c r="F385" s="1">
        <f ca="1">IFERROR(__xludf.DUMMYFUNCTION("""COMPUTED_VALUE"""),1970)</f>
        <v>1970</v>
      </c>
      <c r="G385" s="1">
        <f ca="1">IFERROR(__xludf.DUMMYFUNCTION("""COMPUTED_VALUE"""),3378)</f>
        <v>3378</v>
      </c>
      <c r="H385" s="1" t="str">
        <f ca="1">IFERROR(__xludf.DUMMYFUNCTION("""COMPUTED_VALUE"""),"MTLSZ003378A21")</f>
        <v>MTLSZ003378A21</v>
      </c>
      <c r="I385" s="2">
        <f ca="1">IFERROR(__xludf.DUMMYFUNCTION("""COMPUTED_VALUE"""),44510)</f>
        <v>44510</v>
      </c>
      <c r="J385" s="2">
        <f ca="1">IFERROR(__xludf.DUMMYFUNCTION("""COMPUTED_VALUE"""),44874)</f>
        <v>44874</v>
      </c>
    </row>
    <row r="386" spans="1:10" x14ac:dyDescent="0.25">
      <c r="A386" s="1" t="str">
        <f ca="1">IFERROR(__xludf.DUMMYFUNCTION("""COMPUTED_VALUE"""),"Újpest TSE")</f>
        <v>Újpest TSE</v>
      </c>
      <c r="B386" s="1" t="str">
        <f ca="1">IFERROR(__xludf.DUMMYFUNCTION("""COMPUTED_VALUE"""),"Sándor Elza")</f>
        <v>Sándor Elza</v>
      </c>
      <c r="C386" s="1"/>
      <c r="D386" s="1" t="str">
        <f ca="1">IFERROR(__xludf.DUMMYFUNCTION("""COMPUTED_VALUE"""),"Nő")</f>
        <v>Nő</v>
      </c>
      <c r="E386" s="1"/>
      <c r="F386" s="1">
        <f ca="1">IFERROR(__xludf.DUMMYFUNCTION("""COMPUTED_VALUE"""),2010)</f>
        <v>2010</v>
      </c>
      <c r="G386" s="1">
        <f ca="1">IFERROR(__xludf.DUMMYFUNCTION("""COMPUTED_VALUE"""),3187)</f>
        <v>3187</v>
      </c>
      <c r="H386" s="1" t="str">
        <f ca="1">IFERROR(__xludf.DUMMYFUNCTION("""COMPUTED_VALUE"""),"MTLSZ003187A21")</f>
        <v>MTLSZ003187A21</v>
      </c>
      <c r="I386" s="2">
        <f ca="1">IFERROR(__xludf.DUMMYFUNCTION("""COMPUTED_VALUE"""),44508)</f>
        <v>44508</v>
      </c>
      <c r="J386" s="2">
        <f ca="1">IFERROR(__xludf.DUMMYFUNCTION("""COMPUTED_VALUE"""),44872)</f>
        <v>44872</v>
      </c>
    </row>
    <row r="387" spans="1:10" x14ac:dyDescent="0.25">
      <c r="A387" s="1" t="str">
        <f ca="1">IFERROR(__xludf.DUMMYFUNCTION("""COMPUTED_VALUE"""),"Ludovika SE")</f>
        <v>Ludovika SE</v>
      </c>
      <c r="B387" s="1" t="str">
        <f ca="1">IFERROR(__xludf.DUMMYFUNCTION("""COMPUTED_VALUE"""),"Francia Botond")</f>
        <v>Francia Botond</v>
      </c>
      <c r="C387" s="1"/>
      <c r="D387" s="1" t="str">
        <f ca="1">IFERROR(__xludf.DUMMYFUNCTION("""COMPUTED_VALUE"""),"Férfi")</f>
        <v>Férfi</v>
      </c>
      <c r="E387" s="1"/>
      <c r="F387" s="1">
        <f ca="1">IFERROR(__xludf.DUMMYFUNCTION("""COMPUTED_VALUE"""),2003)</f>
        <v>2003</v>
      </c>
      <c r="G387" s="1">
        <f ca="1">IFERROR(__xludf.DUMMYFUNCTION("""COMPUTED_VALUE"""),2891)</f>
        <v>2891</v>
      </c>
      <c r="H387" s="1" t="str">
        <f ca="1">IFERROR(__xludf.DUMMYFUNCTION("""COMPUTED_VALUE"""),"MTLSZ002891A21")</f>
        <v>MTLSZ002891A21</v>
      </c>
      <c r="I387" s="2">
        <f ca="1">IFERROR(__xludf.DUMMYFUNCTION("""COMPUTED_VALUE"""),44498)</f>
        <v>44498</v>
      </c>
      <c r="J387" s="2">
        <f ca="1">IFERROR(__xludf.DUMMYFUNCTION("""COMPUTED_VALUE"""),44862)</f>
        <v>44862</v>
      </c>
    </row>
    <row r="388" spans="1:10" x14ac:dyDescent="0.25">
      <c r="A388" s="1" t="str">
        <f ca="1">IFERROR(__xludf.DUMMYFUNCTION("""COMPUTED_VALUE"""),"Multi Alarm SE")</f>
        <v>Multi Alarm SE</v>
      </c>
      <c r="B388" s="1" t="str">
        <f ca="1">IFERROR(__xludf.DUMMYFUNCTION("""COMPUTED_VALUE"""),"Dulcz Zsombor")</f>
        <v>Dulcz Zsombor</v>
      </c>
      <c r="C388" s="1"/>
      <c r="D388" s="1" t="str">
        <f ca="1">IFERROR(__xludf.DUMMYFUNCTION("""COMPUTED_VALUE"""),"Férfi")</f>
        <v>Férfi</v>
      </c>
      <c r="E388" s="1"/>
      <c r="F388" s="1">
        <f ca="1">IFERROR(__xludf.DUMMYFUNCTION("""COMPUTED_VALUE"""),2000)</f>
        <v>2000</v>
      </c>
      <c r="G388" s="1">
        <f ca="1">IFERROR(__xludf.DUMMYFUNCTION("""COMPUTED_VALUE"""),2079)</f>
        <v>2079</v>
      </c>
      <c r="H388" s="1" t="str">
        <f ca="1">IFERROR(__xludf.DUMMYFUNCTION("""COMPUTED_VALUE"""),"MTLSZ002079A21")</f>
        <v>MTLSZ002079A21</v>
      </c>
      <c r="I388" s="2">
        <f ca="1">IFERROR(__xludf.DUMMYFUNCTION("""COMPUTED_VALUE"""),44498)</f>
        <v>44498</v>
      </c>
      <c r="J388" s="2">
        <f ca="1">IFERROR(__xludf.DUMMYFUNCTION("""COMPUTED_VALUE"""),44862)</f>
        <v>44862</v>
      </c>
    </row>
    <row r="389" spans="1:10" x14ac:dyDescent="0.25">
      <c r="A389" s="1" t="str">
        <f ca="1">IFERROR(__xludf.DUMMYFUNCTION("""COMPUTED_VALUE"""),"Segesi DE")</f>
        <v>Segesi DE</v>
      </c>
      <c r="B389" s="1" t="str">
        <f ca="1">IFERROR(__xludf.DUMMYFUNCTION("""COMPUTED_VALUE"""),"Árvai Adrienn")</f>
        <v>Árvai Adrienn</v>
      </c>
      <c r="C389" s="1"/>
      <c r="D389" s="1" t="str">
        <f ca="1">IFERROR(__xludf.DUMMYFUNCTION("""COMPUTED_VALUE"""),"Nő")</f>
        <v>Nő</v>
      </c>
      <c r="E389" s="1"/>
      <c r="F389" s="1">
        <f ca="1">IFERROR(__xludf.DUMMYFUNCTION("""COMPUTED_VALUE"""),1992)</f>
        <v>1992</v>
      </c>
      <c r="G389" s="1">
        <f ca="1">IFERROR(__xludf.DUMMYFUNCTION("""COMPUTED_VALUE"""),17)</f>
        <v>17</v>
      </c>
      <c r="H389" s="1" t="str">
        <f ca="1">IFERROR(__xludf.DUMMYFUNCTION("""COMPUTED_VALUE"""),"MTLSZ000017A21")</f>
        <v>MTLSZ000017A21</v>
      </c>
      <c r="I389" s="2">
        <f ca="1">IFERROR(__xludf.DUMMYFUNCTION("""COMPUTED_VALUE"""),44497)</f>
        <v>44497</v>
      </c>
      <c r="J389" s="2">
        <f ca="1">IFERROR(__xludf.DUMMYFUNCTION("""COMPUTED_VALUE"""),44861)</f>
        <v>44861</v>
      </c>
    </row>
    <row r="390" spans="1:10" x14ac:dyDescent="0.25">
      <c r="A390" s="1" t="str">
        <f ca="1">IFERROR(__xludf.DUMMYFUNCTION("""COMPUTED_VALUE"""),"Segesi DE")</f>
        <v>Segesi DE</v>
      </c>
      <c r="B390" s="1" t="str">
        <f ca="1">IFERROR(__xludf.DUMMYFUNCTION("""COMPUTED_VALUE"""),"Hent Mário")</f>
        <v>Hent Mário</v>
      </c>
      <c r="C390" s="1"/>
      <c r="D390" s="1" t="str">
        <f ca="1">IFERROR(__xludf.DUMMYFUNCTION("""COMPUTED_VALUE"""),"Férfi")</f>
        <v>Férfi</v>
      </c>
      <c r="E390" s="1"/>
      <c r="F390" s="1">
        <f ca="1">IFERROR(__xludf.DUMMYFUNCTION("""COMPUTED_VALUE"""),1994)</f>
        <v>1994</v>
      </c>
      <c r="G390" s="1">
        <f ca="1">IFERROR(__xludf.DUMMYFUNCTION("""COMPUTED_VALUE"""),1637)</f>
        <v>1637</v>
      </c>
      <c r="H390" s="1" t="str">
        <f ca="1">IFERROR(__xludf.DUMMYFUNCTION("""COMPUTED_VALUE"""),"MTLSZ001637A21")</f>
        <v>MTLSZ001637A21</v>
      </c>
      <c r="I390" s="2">
        <f ca="1">IFERROR(__xludf.DUMMYFUNCTION("""COMPUTED_VALUE"""),44497)</f>
        <v>44497</v>
      </c>
      <c r="J390" s="2">
        <f ca="1">IFERROR(__xludf.DUMMYFUNCTION("""COMPUTED_VALUE"""),44861)</f>
        <v>44861</v>
      </c>
    </row>
    <row r="391" spans="1:10" x14ac:dyDescent="0.25">
      <c r="A391" s="1" t="str">
        <f ca="1">IFERROR(__xludf.DUMMYFUNCTION("""COMPUTED_VALUE"""),"Segesi DE")</f>
        <v>Segesi DE</v>
      </c>
      <c r="B391" s="1" t="str">
        <f ca="1">IFERROR(__xludf.DUMMYFUNCTION("""COMPUTED_VALUE"""),"Ladiszlai Evelin")</f>
        <v>Ladiszlai Evelin</v>
      </c>
      <c r="C391" s="1"/>
      <c r="D391" s="1" t="str">
        <f ca="1">IFERROR(__xludf.DUMMYFUNCTION("""COMPUTED_VALUE"""),"Nő")</f>
        <v>Nő</v>
      </c>
      <c r="E391" s="1"/>
      <c r="F391" s="1">
        <f ca="1">IFERROR(__xludf.DUMMYFUNCTION("""COMPUTED_VALUE"""),1999)</f>
        <v>1999</v>
      </c>
      <c r="G391" s="1">
        <f ca="1">IFERROR(__xludf.DUMMYFUNCTION("""COMPUTED_VALUE"""),2235)</f>
        <v>2235</v>
      </c>
      <c r="H391" s="1" t="str">
        <f ca="1">IFERROR(__xludf.DUMMYFUNCTION("""COMPUTED_VALUE"""),"MTLSZ002235A21")</f>
        <v>MTLSZ002235A21</v>
      </c>
      <c r="I391" s="2">
        <f ca="1">IFERROR(__xludf.DUMMYFUNCTION("""COMPUTED_VALUE"""),44497)</f>
        <v>44497</v>
      </c>
      <c r="J391" s="2">
        <f ca="1">IFERROR(__xludf.DUMMYFUNCTION("""COMPUTED_VALUE"""),44861)</f>
        <v>44861</v>
      </c>
    </row>
    <row r="392" spans="1:10" x14ac:dyDescent="0.25">
      <c r="A392" s="1" t="str">
        <f ca="1">IFERROR(__xludf.DUMMYFUNCTION("""COMPUTED_VALUE"""),"Segesi DE")</f>
        <v>Segesi DE</v>
      </c>
      <c r="B392" s="1" t="str">
        <f ca="1">IFERROR(__xludf.DUMMYFUNCTION("""COMPUTED_VALUE"""),"Takács László")</f>
        <v>Takács László</v>
      </c>
      <c r="C392" s="1"/>
      <c r="D392" s="1" t="str">
        <f ca="1">IFERROR(__xludf.DUMMYFUNCTION("""COMPUTED_VALUE"""),"Férfi")</f>
        <v>Férfi</v>
      </c>
      <c r="E392" s="1"/>
      <c r="F392" s="1">
        <f ca="1">IFERROR(__xludf.DUMMYFUNCTION("""COMPUTED_VALUE"""),1975)</f>
        <v>1975</v>
      </c>
      <c r="G392" s="1">
        <f ca="1">IFERROR(__xludf.DUMMYFUNCTION("""COMPUTED_VALUE"""),2972)</f>
        <v>2972</v>
      </c>
      <c r="H392" s="1" t="str">
        <f ca="1">IFERROR(__xludf.DUMMYFUNCTION("""COMPUTED_VALUE"""),"MTLSZ002972A21")</f>
        <v>MTLSZ002972A21</v>
      </c>
      <c r="I392" s="2">
        <f ca="1">IFERROR(__xludf.DUMMYFUNCTION("""COMPUTED_VALUE"""),44497)</f>
        <v>44497</v>
      </c>
      <c r="J392" s="2">
        <f ca="1">IFERROR(__xludf.DUMMYFUNCTION("""COMPUTED_VALUE"""),44861)</f>
        <v>44861</v>
      </c>
    </row>
    <row r="393" spans="1:10" x14ac:dyDescent="0.25">
      <c r="A393" s="1" t="str">
        <f ca="1">IFERROR(__xludf.DUMMYFUNCTION("""COMPUTED_VALUE"""),"Segesi DE")</f>
        <v>Segesi DE</v>
      </c>
      <c r="B393" s="1" t="str">
        <f ca="1">IFERROR(__xludf.DUMMYFUNCTION("""COMPUTED_VALUE"""),"Takácsné Illés Henriett")</f>
        <v>Takácsné Illés Henriett</v>
      </c>
      <c r="C393" s="1"/>
      <c r="D393" s="1" t="str">
        <f ca="1">IFERROR(__xludf.DUMMYFUNCTION("""COMPUTED_VALUE"""),"Nő")</f>
        <v>Nő</v>
      </c>
      <c r="E393" s="1"/>
      <c r="F393" s="1">
        <f ca="1">IFERROR(__xludf.DUMMYFUNCTION("""COMPUTED_VALUE"""),1978)</f>
        <v>1978</v>
      </c>
      <c r="G393" s="1">
        <f ca="1">IFERROR(__xludf.DUMMYFUNCTION("""COMPUTED_VALUE"""),395)</f>
        <v>395</v>
      </c>
      <c r="H393" s="1" t="str">
        <f ca="1">IFERROR(__xludf.DUMMYFUNCTION("""COMPUTED_VALUE"""),"MTLSZ000395A21")</f>
        <v>MTLSZ000395A21</v>
      </c>
      <c r="I393" s="2">
        <f ca="1">IFERROR(__xludf.DUMMYFUNCTION("""COMPUTED_VALUE"""),44497)</f>
        <v>44497</v>
      </c>
      <c r="J393" s="2">
        <f ca="1">IFERROR(__xludf.DUMMYFUNCTION("""COMPUTED_VALUE"""),44861)</f>
        <v>44861</v>
      </c>
    </row>
    <row r="394" spans="1:10" x14ac:dyDescent="0.25">
      <c r="A394" s="1" t="str">
        <f ca="1">IFERROR(__xludf.DUMMYFUNCTION("""COMPUTED_VALUE"""),"Tisza TSE")</f>
        <v>Tisza TSE</v>
      </c>
      <c r="B394" s="1" t="str">
        <f ca="1">IFERROR(__xludf.DUMMYFUNCTION("""COMPUTED_VALUE"""),"Fitor Gábor")</f>
        <v>Fitor Gábor</v>
      </c>
      <c r="C394" s="1"/>
      <c r="D394" s="1" t="str">
        <f ca="1">IFERROR(__xludf.DUMMYFUNCTION("""COMPUTED_VALUE"""),"Férfi")</f>
        <v>Férfi</v>
      </c>
      <c r="E394" s="1"/>
      <c r="F394" s="1">
        <f ca="1">IFERROR(__xludf.DUMMYFUNCTION("""COMPUTED_VALUE"""),1975)</f>
        <v>1975</v>
      </c>
      <c r="G394" s="1">
        <f ca="1">IFERROR(__xludf.DUMMYFUNCTION("""COMPUTED_VALUE"""),3296)</f>
        <v>3296</v>
      </c>
      <c r="H394" s="1" t="str">
        <f ca="1">IFERROR(__xludf.DUMMYFUNCTION("""COMPUTED_VALUE"""),"MTLSZ003296A21")</f>
        <v>MTLSZ003296A21</v>
      </c>
      <c r="I394" s="2">
        <f ca="1">IFERROR(__xludf.DUMMYFUNCTION("""COMPUTED_VALUE"""),44497)</f>
        <v>44497</v>
      </c>
      <c r="J394" s="2">
        <f ca="1">IFERROR(__xludf.DUMMYFUNCTION("""COMPUTED_VALUE"""),44861)</f>
        <v>44861</v>
      </c>
    </row>
    <row r="395" spans="1:10" x14ac:dyDescent="0.25">
      <c r="A395" s="1" t="str">
        <f ca="1">IFERROR(__xludf.DUMMYFUNCTION("""COMPUTED_VALUE"""),"Bodajki TSE")</f>
        <v>Bodajki TSE</v>
      </c>
      <c r="B395" s="1" t="str">
        <f ca="1">IFERROR(__xludf.DUMMYFUNCTION("""COMPUTED_VALUE"""),"Almádi Gábor")</f>
        <v>Almádi Gábor</v>
      </c>
      <c r="C395" s="1"/>
      <c r="D395" s="1" t="str">
        <f ca="1">IFERROR(__xludf.DUMMYFUNCTION("""COMPUTED_VALUE"""),"Férfi")</f>
        <v>Férfi</v>
      </c>
      <c r="E395" s="1"/>
      <c r="F395" s="1">
        <f ca="1">IFERROR(__xludf.DUMMYFUNCTION("""COMPUTED_VALUE"""),1994)</f>
        <v>1994</v>
      </c>
      <c r="G395" s="1">
        <f ca="1">IFERROR(__xludf.DUMMYFUNCTION("""COMPUTED_VALUE"""),1382)</f>
        <v>1382</v>
      </c>
      <c r="H395" s="1" t="str">
        <f ca="1">IFERROR(__xludf.DUMMYFUNCTION("""COMPUTED_VALUE"""),"MTLSZ001382A21")</f>
        <v>MTLSZ001382A21</v>
      </c>
      <c r="I395" s="2">
        <f ca="1">IFERROR(__xludf.DUMMYFUNCTION("""COMPUTED_VALUE"""),44496)</f>
        <v>44496</v>
      </c>
      <c r="J395" s="2">
        <f ca="1">IFERROR(__xludf.DUMMYFUNCTION("""COMPUTED_VALUE"""),44860)</f>
        <v>44860</v>
      </c>
    </row>
    <row r="396" spans="1:10" x14ac:dyDescent="0.25">
      <c r="A396" s="1" t="str">
        <f ca="1">IFERROR(__xludf.DUMMYFUNCTION("""COMPUTED_VALUE"""),"Bodajki TSE")</f>
        <v>Bodajki TSE</v>
      </c>
      <c r="B396" s="1" t="str">
        <f ca="1">IFERROR(__xludf.DUMMYFUNCTION("""COMPUTED_VALUE"""),"Bajcsy Bálint")</f>
        <v>Bajcsy Bálint</v>
      </c>
      <c r="C396" s="1"/>
      <c r="D396" s="1" t="str">
        <f ca="1">IFERROR(__xludf.DUMMYFUNCTION("""COMPUTED_VALUE"""),"Férfi")</f>
        <v>Férfi</v>
      </c>
      <c r="E396" s="1"/>
      <c r="F396" s="1">
        <f ca="1">IFERROR(__xludf.DUMMYFUNCTION("""COMPUTED_VALUE"""),1987)</f>
        <v>1987</v>
      </c>
      <c r="G396" s="1">
        <f ca="1">IFERROR(__xludf.DUMMYFUNCTION("""COMPUTED_VALUE"""),26)</f>
        <v>26</v>
      </c>
      <c r="H396" s="1" t="str">
        <f ca="1">IFERROR(__xludf.DUMMYFUNCTION("""COMPUTED_VALUE"""),"MTLSZ000026A21")</f>
        <v>MTLSZ000026A21</v>
      </c>
      <c r="I396" s="2">
        <f ca="1">IFERROR(__xludf.DUMMYFUNCTION("""COMPUTED_VALUE"""),44496)</f>
        <v>44496</v>
      </c>
      <c r="J396" s="2">
        <f ca="1">IFERROR(__xludf.DUMMYFUNCTION("""COMPUTED_VALUE"""),44860)</f>
        <v>44860</v>
      </c>
    </row>
    <row r="397" spans="1:10" x14ac:dyDescent="0.25">
      <c r="A397" s="1" t="str">
        <f ca="1">IFERROR(__xludf.DUMMYFUNCTION("""COMPUTED_VALUE"""),"Bodajki TSE")</f>
        <v>Bodajki TSE</v>
      </c>
      <c r="B397" s="1" t="str">
        <f ca="1">IFERROR(__xludf.DUMMYFUNCTION("""COMPUTED_VALUE"""),"Dilingai Alexandra")</f>
        <v>Dilingai Alexandra</v>
      </c>
      <c r="C397" s="1"/>
      <c r="D397" s="1" t="str">
        <f ca="1">IFERROR(__xludf.DUMMYFUNCTION("""COMPUTED_VALUE"""),"Nő")</f>
        <v>Nő</v>
      </c>
      <c r="E397" s="1"/>
      <c r="F397" s="1">
        <f ca="1">IFERROR(__xludf.DUMMYFUNCTION("""COMPUTED_VALUE"""),1995)</f>
        <v>1995</v>
      </c>
      <c r="G397" s="1">
        <f ca="1">IFERROR(__xludf.DUMMYFUNCTION("""COMPUTED_VALUE"""),1381)</f>
        <v>1381</v>
      </c>
      <c r="H397" s="1" t="str">
        <f ca="1">IFERROR(__xludf.DUMMYFUNCTION("""COMPUTED_VALUE"""),"MTLSZ001381A21")</f>
        <v>MTLSZ001381A21</v>
      </c>
      <c r="I397" s="2">
        <f ca="1">IFERROR(__xludf.DUMMYFUNCTION("""COMPUTED_VALUE"""),44496)</f>
        <v>44496</v>
      </c>
      <c r="J397" s="2">
        <f ca="1">IFERROR(__xludf.DUMMYFUNCTION("""COMPUTED_VALUE"""),44860)</f>
        <v>44860</v>
      </c>
    </row>
    <row r="398" spans="1:10" x14ac:dyDescent="0.25">
      <c r="A398" s="1" t="str">
        <f ca="1">IFERROR(__xludf.DUMMYFUNCTION("""COMPUTED_VALUE"""),"Bodajki TSE")</f>
        <v>Bodajki TSE</v>
      </c>
      <c r="B398" s="1" t="str">
        <f ca="1">IFERROR(__xludf.DUMMYFUNCTION("""COMPUTED_VALUE"""),"Ertl Katalin")</f>
        <v>Ertl Katalin</v>
      </c>
      <c r="C398" s="1"/>
      <c r="D398" s="1" t="str">
        <f ca="1">IFERROR(__xludf.DUMMYFUNCTION("""COMPUTED_VALUE"""),"Nő")</f>
        <v>Nő</v>
      </c>
      <c r="E398" s="1"/>
      <c r="F398" s="1">
        <f ca="1">IFERROR(__xludf.DUMMYFUNCTION("""COMPUTED_VALUE"""),1995)</f>
        <v>1995</v>
      </c>
      <c r="G398" s="1">
        <f ca="1">IFERROR(__xludf.DUMMYFUNCTION("""COMPUTED_VALUE"""),1659)</f>
        <v>1659</v>
      </c>
      <c r="H398" s="1" t="str">
        <f ca="1">IFERROR(__xludf.DUMMYFUNCTION("""COMPUTED_VALUE"""),"MTLSZ001659A21")</f>
        <v>MTLSZ001659A21</v>
      </c>
      <c r="I398" s="2">
        <f ca="1">IFERROR(__xludf.DUMMYFUNCTION("""COMPUTED_VALUE"""),44496)</f>
        <v>44496</v>
      </c>
      <c r="J398" s="2">
        <f ca="1">IFERROR(__xludf.DUMMYFUNCTION("""COMPUTED_VALUE"""),44860)</f>
        <v>44860</v>
      </c>
    </row>
    <row r="399" spans="1:10" x14ac:dyDescent="0.25">
      <c r="A399" s="1" t="str">
        <f ca="1">IFERROR(__xludf.DUMMYFUNCTION("""COMPUTED_VALUE"""),"Bodajki TSE")</f>
        <v>Bodajki TSE</v>
      </c>
      <c r="B399" s="1" t="str">
        <f ca="1">IFERROR(__xludf.DUMMYFUNCTION("""COMPUTED_VALUE"""),"Györök Zoltán")</f>
        <v>Györök Zoltán</v>
      </c>
      <c r="C399" s="1"/>
      <c r="D399" s="1" t="str">
        <f ca="1">IFERROR(__xludf.DUMMYFUNCTION("""COMPUTED_VALUE"""),"Férfi")</f>
        <v>Férfi</v>
      </c>
      <c r="E399" s="1"/>
      <c r="F399" s="1">
        <f ca="1">IFERROR(__xludf.DUMMYFUNCTION("""COMPUTED_VALUE"""),1988)</f>
        <v>1988</v>
      </c>
      <c r="G399" s="1">
        <f ca="1">IFERROR(__xludf.DUMMYFUNCTION("""COMPUTED_VALUE"""),327)</f>
        <v>327</v>
      </c>
      <c r="H399" s="1" t="str">
        <f ca="1">IFERROR(__xludf.DUMMYFUNCTION("""COMPUTED_VALUE"""),"MTLSZ000327A21")</f>
        <v>MTLSZ000327A21</v>
      </c>
      <c r="I399" s="2">
        <f ca="1">IFERROR(__xludf.DUMMYFUNCTION("""COMPUTED_VALUE"""),44496)</f>
        <v>44496</v>
      </c>
      <c r="J399" s="2">
        <f ca="1">IFERROR(__xludf.DUMMYFUNCTION("""COMPUTED_VALUE"""),44860)</f>
        <v>44860</v>
      </c>
    </row>
    <row r="400" spans="1:10" x14ac:dyDescent="0.25">
      <c r="A400" s="1" t="str">
        <f ca="1">IFERROR(__xludf.DUMMYFUNCTION("""COMPUTED_VALUE"""),"Bodajki TSE")</f>
        <v>Bodajki TSE</v>
      </c>
      <c r="B400" s="1" t="str">
        <f ca="1">IFERROR(__xludf.DUMMYFUNCTION("""COMPUTED_VALUE"""),"Haász Eszter")</f>
        <v>Haász Eszter</v>
      </c>
      <c r="C400" s="1"/>
      <c r="D400" s="1" t="str">
        <f ca="1">IFERROR(__xludf.DUMMYFUNCTION("""COMPUTED_VALUE"""),"Nő")</f>
        <v>Nő</v>
      </c>
      <c r="E400" s="1"/>
      <c r="F400" s="1">
        <f ca="1">IFERROR(__xludf.DUMMYFUNCTION("""COMPUTED_VALUE"""),1990)</f>
        <v>1990</v>
      </c>
      <c r="G400" s="1">
        <f ca="1">IFERROR(__xludf.DUMMYFUNCTION("""COMPUTED_VALUE"""),1186)</f>
        <v>1186</v>
      </c>
      <c r="H400" s="1" t="str">
        <f ca="1">IFERROR(__xludf.DUMMYFUNCTION("""COMPUTED_VALUE"""),"MTLSZ001186A21")</f>
        <v>MTLSZ001186A21</v>
      </c>
      <c r="I400" s="2">
        <f ca="1">IFERROR(__xludf.DUMMYFUNCTION("""COMPUTED_VALUE"""),44496)</f>
        <v>44496</v>
      </c>
      <c r="J400" s="2">
        <f ca="1">IFERROR(__xludf.DUMMYFUNCTION("""COMPUTED_VALUE"""),44860)</f>
        <v>44860</v>
      </c>
    </row>
    <row r="401" spans="1:10" x14ac:dyDescent="0.25">
      <c r="A401" s="1" t="str">
        <f ca="1">IFERROR(__xludf.DUMMYFUNCTION("""COMPUTED_VALUE"""),"Bodajki TSE")</f>
        <v>Bodajki TSE</v>
      </c>
      <c r="B401" s="1" t="str">
        <f ca="1">IFERROR(__xludf.DUMMYFUNCTION("""COMPUTED_VALUE"""),"Holczinger András")</f>
        <v>Holczinger András</v>
      </c>
      <c r="C401" s="1"/>
      <c r="D401" s="1" t="str">
        <f ca="1">IFERROR(__xludf.DUMMYFUNCTION("""COMPUTED_VALUE"""),"Férfi")</f>
        <v>Férfi</v>
      </c>
      <c r="E401" s="1"/>
      <c r="F401" s="1">
        <f ca="1">IFERROR(__xludf.DUMMYFUNCTION("""COMPUTED_VALUE"""),1992)</f>
        <v>1992</v>
      </c>
      <c r="G401" s="1">
        <f ca="1">IFERROR(__xludf.DUMMYFUNCTION("""COMPUTED_VALUE"""),1164)</f>
        <v>1164</v>
      </c>
      <c r="H401" s="1" t="str">
        <f ca="1">IFERROR(__xludf.DUMMYFUNCTION("""COMPUTED_VALUE"""),"MTLSZ001164A21")</f>
        <v>MTLSZ001164A21</v>
      </c>
      <c r="I401" s="2">
        <f ca="1">IFERROR(__xludf.DUMMYFUNCTION("""COMPUTED_VALUE"""),44496)</f>
        <v>44496</v>
      </c>
      <c r="J401" s="2">
        <f ca="1">IFERROR(__xludf.DUMMYFUNCTION("""COMPUTED_VALUE"""),44860)</f>
        <v>44860</v>
      </c>
    </row>
    <row r="402" spans="1:10" x14ac:dyDescent="0.25">
      <c r="A402" s="1" t="str">
        <f ca="1">IFERROR(__xludf.DUMMYFUNCTION("""COMPUTED_VALUE"""),"Bodajki TSE")</f>
        <v>Bodajki TSE</v>
      </c>
      <c r="B402" s="1" t="str">
        <f ca="1">IFERROR(__xludf.DUMMYFUNCTION("""COMPUTED_VALUE"""),"Kandár Bence")</f>
        <v>Kandár Bence</v>
      </c>
      <c r="C402" s="1"/>
      <c r="D402" s="1" t="str">
        <f ca="1">IFERROR(__xludf.DUMMYFUNCTION("""COMPUTED_VALUE"""),"Férfi")</f>
        <v>Férfi</v>
      </c>
      <c r="E402" s="1"/>
      <c r="F402" s="1">
        <f ca="1">IFERROR(__xludf.DUMMYFUNCTION("""COMPUTED_VALUE"""),2004)</f>
        <v>2004</v>
      </c>
      <c r="G402" s="1">
        <f ca="1">IFERROR(__xludf.DUMMYFUNCTION("""COMPUTED_VALUE"""),2649)</f>
        <v>2649</v>
      </c>
      <c r="H402" s="1" t="str">
        <f ca="1">IFERROR(__xludf.DUMMYFUNCTION("""COMPUTED_VALUE"""),"MTLSZ002649A21")</f>
        <v>MTLSZ002649A21</v>
      </c>
      <c r="I402" s="2">
        <f ca="1">IFERROR(__xludf.DUMMYFUNCTION("""COMPUTED_VALUE"""),44496)</f>
        <v>44496</v>
      </c>
      <c r="J402" s="2">
        <f ca="1">IFERROR(__xludf.DUMMYFUNCTION("""COMPUTED_VALUE"""),44860)</f>
        <v>44860</v>
      </c>
    </row>
    <row r="403" spans="1:10" x14ac:dyDescent="0.25">
      <c r="A403" s="1" t="str">
        <f ca="1">IFERROR(__xludf.DUMMYFUNCTION("""COMPUTED_VALUE"""),"Bodajki TSE")</f>
        <v>Bodajki TSE</v>
      </c>
      <c r="B403" s="1" t="str">
        <f ca="1">IFERROR(__xludf.DUMMYFUNCTION("""COMPUTED_VALUE"""),"Szuromi Tamás")</f>
        <v>Szuromi Tamás</v>
      </c>
      <c r="C403" s="1"/>
      <c r="D403" s="1" t="str">
        <f ca="1">IFERROR(__xludf.DUMMYFUNCTION("""COMPUTED_VALUE"""),"Férfi")</f>
        <v>Férfi</v>
      </c>
      <c r="E403" s="1"/>
      <c r="F403" s="1">
        <f ca="1">IFERROR(__xludf.DUMMYFUNCTION("""COMPUTED_VALUE"""),1978)</f>
        <v>1978</v>
      </c>
      <c r="G403" s="1">
        <f ca="1">IFERROR(__xludf.DUMMYFUNCTION("""COMPUTED_VALUE"""),1778)</f>
        <v>1778</v>
      </c>
      <c r="H403" s="1" t="str">
        <f ca="1">IFERROR(__xludf.DUMMYFUNCTION("""COMPUTED_VALUE"""),"MTLSZ001778A21")</f>
        <v>MTLSZ001778A21</v>
      </c>
      <c r="I403" s="2">
        <f ca="1">IFERROR(__xludf.DUMMYFUNCTION("""COMPUTED_VALUE"""),44496)</f>
        <v>44496</v>
      </c>
      <c r="J403" s="2">
        <f ca="1">IFERROR(__xludf.DUMMYFUNCTION("""COMPUTED_VALUE"""),44860)</f>
        <v>44860</v>
      </c>
    </row>
    <row r="404" spans="1:10" x14ac:dyDescent="0.25">
      <c r="A404" s="1" t="str">
        <f ca="1">IFERROR(__xludf.DUMMYFUNCTION("""COMPUTED_VALUE"""),"Bodajki TSE")</f>
        <v>Bodajki TSE</v>
      </c>
      <c r="B404" s="1" t="str">
        <f ca="1">IFERROR(__xludf.DUMMYFUNCTION("""COMPUTED_VALUE"""),"Tószegi Regina")</f>
        <v>Tószegi Regina</v>
      </c>
      <c r="C404" s="1"/>
      <c r="D404" s="1" t="str">
        <f ca="1">IFERROR(__xludf.DUMMYFUNCTION("""COMPUTED_VALUE"""),"Nő")</f>
        <v>Nő</v>
      </c>
      <c r="E404" s="1"/>
      <c r="F404" s="1">
        <f ca="1">IFERROR(__xludf.DUMMYFUNCTION("""COMPUTED_VALUE"""),2003)</f>
        <v>2003</v>
      </c>
      <c r="G404" s="1">
        <f ca="1">IFERROR(__xludf.DUMMYFUNCTION("""COMPUTED_VALUE"""),2830)</f>
        <v>2830</v>
      </c>
      <c r="H404" s="1" t="str">
        <f ca="1">IFERROR(__xludf.DUMMYFUNCTION("""COMPUTED_VALUE"""),"MTLSZ002830A21")</f>
        <v>MTLSZ002830A21</v>
      </c>
      <c r="I404" s="2">
        <f ca="1">IFERROR(__xludf.DUMMYFUNCTION("""COMPUTED_VALUE"""),44496)</f>
        <v>44496</v>
      </c>
      <c r="J404" s="2">
        <f ca="1">IFERROR(__xludf.DUMMYFUNCTION("""COMPUTED_VALUE"""),44860)</f>
        <v>44860</v>
      </c>
    </row>
    <row r="405" spans="1:10" x14ac:dyDescent="0.25">
      <c r="A405" s="1" t="str">
        <f ca="1">IFERROR(__xludf.DUMMYFUNCTION("""COMPUTED_VALUE"""),"Bodajki TSE")</f>
        <v>Bodajki TSE</v>
      </c>
      <c r="B405" s="1" t="str">
        <f ca="1">IFERROR(__xludf.DUMMYFUNCTION("""COMPUTED_VALUE"""),"Valasek Vivien")</f>
        <v>Valasek Vivien</v>
      </c>
      <c r="C405" s="1"/>
      <c r="D405" s="1" t="str">
        <f ca="1">IFERROR(__xludf.DUMMYFUNCTION("""COMPUTED_VALUE"""),"Nő")</f>
        <v>Nő</v>
      </c>
      <c r="E405" s="1"/>
      <c r="F405" s="1">
        <f ca="1">IFERROR(__xludf.DUMMYFUNCTION("""COMPUTED_VALUE"""),1999)</f>
        <v>1999</v>
      </c>
      <c r="G405" s="1">
        <f ca="1">IFERROR(__xludf.DUMMYFUNCTION("""COMPUTED_VALUE"""),1952)</f>
        <v>1952</v>
      </c>
      <c r="H405" s="1" t="str">
        <f ca="1">IFERROR(__xludf.DUMMYFUNCTION("""COMPUTED_VALUE"""),"MTLSZ001952A21")</f>
        <v>MTLSZ001952A21</v>
      </c>
      <c r="I405" s="2">
        <f ca="1">IFERROR(__xludf.DUMMYFUNCTION("""COMPUTED_VALUE"""),44496)</f>
        <v>44496</v>
      </c>
      <c r="J405" s="2">
        <f ca="1">IFERROR(__xludf.DUMMYFUNCTION("""COMPUTED_VALUE"""),44860)</f>
        <v>44860</v>
      </c>
    </row>
    <row r="406" spans="1:10" x14ac:dyDescent="0.25">
      <c r="A406" s="1" t="str">
        <f ca="1">IFERROR(__xludf.DUMMYFUNCTION("""COMPUTED_VALUE"""),"Bodajki TSE")</f>
        <v>Bodajki TSE</v>
      </c>
      <c r="B406" s="1" t="str">
        <f ca="1">IFERROR(__xludf.DUMMYFUNCTION("""COMPUTED_VALUE"""),"Váraczki Bence")</f>
        <v>Váraczki Bence</v>
      </c>
      <c r="C406" s="1"/>
      <c r="D406" s="1" t="str">
        <f ca="1">IFERROR(__xludf.DUMMYFUNCTION("""COMPUTED_VALUE"""),"Férfi")</f>
        <v>Férfi</v>
      </c>
      <c r="E406" s="1"/>
      <c r="F406" s="1">
        <f ca="1">IFERROR(__xludf.DUMMYFUNCTION("""COMPUTED_VALUE"""),2010)</f>
        <v>2010</v>
      </c>
      <c r="G406" s="1">
        <f ca="1">IFERROR(__xludf.DUMMYFUNCTION("""COMPUTED_VALUE"""),3442)</f>
        <v>3442</v>
      </c>
      <c r="H406" s="1" t="str">
        <f ca="1">IFERROR(__xludf.DUMMYFUNCTION("""COMPUTED_VALUE"""),"MTLSZ003442A21")</f>
        <v>MTLSZ003442A21</v>
      </c>
      <c r="I406" s="2">
        <f ca="1">IFERROR(__xludf.DUMMYFUNCTION("""COMPUTED_VALUE"""),44496)</f>
        <v>44496</v>
      </c>
      <c r="J406" s="2">
        <f ca="1">IFERROR(__xludf.DUMMYFUNCTION("""COMPUTED_VALUE"""),44860)</f>
        <v>44860</v>
      </c>
    </row>
    <row r="407" spans="1:10" x14ac:dyDescent="0.25">
      <c r="A407" s="1" t="str">
        <f ca="1">IFERROR(__xludf.DUMMYFUNCTION("""COMPUTED_VALUE"""),"Győri TSE")</f>
        <v>Győri TSE</v>
      </c>
      <c r="B407" s="1" t="str">
        <f ca="1">IFERROR(__xludf.DUMMYFUNCTION("""COMPUTED_VALUE"""),"Tóth Anna")</f>
        <v>Tóth Anna</v>
      </c>
      <c r="C407" s="1"/>
      <c r="D407" s="1" t="str">
        <f ca="1">IFERROR(__xludf.DUMMYFUNCTION("""COMPUTED_VALUE"""),"Nő")</f>
        <v>Nő</v>
      </c>
      <c r="E407" s="1"/>
      <c r="F407" s="1">
        <f ca="1">IFERROR(__xludf.DUMMYFUNCTION("""COMPUTED_VALUE"""),2000)</f>
        <v>2000</v>
      </c>
      <c r="G407" s="1">
        <f ca="1">IFERROR(__xludf.DUMMYFUNCTION("""COMPUTED_VALUE"""),3200)</f>
        <v>3200</v>
      </c>
      <c r="H407" s="1" t="str">
        <f ca="1">IFERROR(__xludf.DUMMYFUNCTION("""COMPUTED_VALUE"""),"MTLSZ003200A21")</f>
        <v>MTLSZ003200A21</v>
      </c>
      <c r="I407" s="2">
        <f ca="1">IFERROR(__xludf.DUMMYFUNCTION("""COMPUTED_VALUE"""),44496)</f>
        <v>44496</v>
      </c>
      <c r="J407" s="2">
        <f ca="1">IFERROR(__xludf.DUMMYFUNCTION("""COMPUTED_VALUE"""),44860)</f>
        <v>44860</v>
      </c>
    </row>
    <row r="408" spans="1:10" x14ac:dyDescent="0.25">
      <c r="A408" s="1" t="str">
        <f ca="1">IFERROR(__xludf.DUMMYFUNCTION("""COMPUTED_VALUE"""),"Multi Alarm SE")</f>
        <v>Multi Alarm SE</v>
      </c>
      <c r="B408" s="1" t="str">
        <f ca="1">IFERROR(__xludf.DUMMYFUNCTION("""COMPUTED_VALUE"""),"Nagy Sebestyén")</f>
        <v>Nagy Sebestyén</v>
      </c>
      <c r="C408" s="1"/>
      <c r="D408" s="1" t="str">
        <f ca="1">IFERROR(__xludf.DUMMYFUNCTION("""COMPUTED_VALUE"""),"Férfi")</f>
        <v>Férfi</v>
      </c>
      <c r="E408" s="1"/>
      <c r="F408" s="1">
        <f ca="1">IFERROR(__xludf.DUMMYFUNCTION("""COMPUTED_VALUE"""),2002)</f>
        <v>2002</v>
      </c>
      <c r="G408" s="1">
        <f ca="1">IFERROR(__xludf.DUMMYFUNCTION("""COMPUTED_VALUE"""),2613)</f>
        <v>2613</v>
      </c>
      <c r="H408" s="1" t="str">
        <f ca="1">IFERROR(__xludf.DUMMYFUNCTION("""COMPUTED_VALUE"""),"MTLSZ002613A21")</f>
        <v>MTLSZ002613A21</v>
      </c>
      <c r="I408" s="2">
        <f ca="1">IFERROR(__xludf.DUMMYFUNCTION("""COMPUTED_VALUE"""),44496)</f>
        <v>44496</v>
      </c>
      <c r="J408" s="2">
        <f ca="1">IFERROR(__xludf.DUMMYFUNCTION("""COMPUTED_VALUE"""),44860)</f>
        <v>44860</v>
      </c>
    </row>
    <row r="409" spans="1:10" x14ac:dyDescent="0.25">
      <c r="A409" s="1" t="str">
        <f ca="1">IFERROR(__xludf.DUMMYFUNCTION("""COMPUTED_VALUE"""),"Multi Alarm SE")</f>
        <v>Multi Alarm SE</v>
      </c>
      <c r="B409" s="1" t="str">
        <f ca="1">IFERROR(__xludf.DUMMYFUNCTION("""COMPUTED_VALUE"""),"Szita Gergely")</f>
        <v>Szita Gergely</v>
      </c>
      <c r="C409" s="1"/>
      <c r="D409" s="1" t="str">
        <f ca="1">IFERROR(__xludf.DUMMYFUNCTION("""COMPUTED_VALUE"""),"Férfi")</f>
        <v>Férfi</v>
      </c>
      <c r="E409" s="1"/>
      <c r="F409" s="1">
        <f ca="1">IFERROR(__xludf.DUMMYFUNCTION("""COMPUTED_VALUE"""),2003)</f>
        <v>2003</v>
      </c>
      <c r="G409" s="1">
        <f ca="1">IFERROR(__xludf.DUMMYFUNCTION("""COMPUTED_VALUE"""),2491)</f>
        <v>2491</v>
      </c>
      <c r="H409" s="1" t="str">
        <f ca="1">IFERROR(__xludf.DUMMYFUNCTION("""COMPUTED_VALUE"""),"MTLSZ002491A21")</f>
        <v>MTLSZ002491A21</v>
      </c>
      <c r="I409" s="2">
        <f ca="1">IFERROR(__xludf.DUMMYFUNCTION("""COMPUTED_VALUE"""),44496)</f>
        <v>44496</v>
      </c>
      <c r="J409" s="2">
        <f ca="1">IFERROR(__xludf.DUMMYFUNCTION("""COMPUTED_VALUE"""),44860)</f>
        <v>44860</v>
      </c>
    </row>
    <row r="410" spans="1:10" x14ac:dyDescent="0.25">
      <c r="A410" s="1" t="str">
        <f ca="1">IFERROR(__xludf.DUMMYFUNCTION("""COMPUTED_VALUE"""),"Multi Alarm SE")</f>
        <v>Multi Alarm SE</v>
      </c>
      <c r="B410" s="1" t="str">
        <f ca="1">IFERROR(__xludf.DUMMYFUNCTION("""COMPUTED_VALUE"""),"Wang Ou Yang")</f>
        <v>Wang Ou Yang</v>
      </c>
      <c r="C410" s="1"/>
      <c r="D410" s="1" t="str">
        <f ca="1">IFERROR(__xludf.DUMMYFUNCTION("""COMPUTED_VALUE"""),"Férfi")</f>
        <v>Férfi</v>
      </c>
      <c r="E410" s="1"/>
      <c r="F410" s="1">
        <f ca="1">IFERROR(__xludf.DUMMYFUNCTION("""COMPUTED_VALUE"""),2003)</f>
        <v>2003</v>
      </c>
      <c r="G410" s="1">
        <f ca="1">IFERROR(__xludf.DUMMYFUNCTION("""COMPUTED_VALUE"""),2834)</f>
        <v>2834</v>
      </c>
      <c r="H410" s="1" t="str">
        <f ca="1">IFERROR(__xludf.DUMMYFUNCTION("""COMPUTED_VALUE"""),"MTLSZ002834A21")</f>
        <v>MTLSZ002834A21</v>
      </c>
      <c r="I410" s="2">
        <f ca="1">IFERROR(__xludf.DUMMYFUNCTION("""COMPUTED_VALUE"""),44496)</f>
        <v>44496</v>
      </c>
      <c r="J410" s="2">
        <f ca="1">IFERROR(__xludf.DUMMYFUNCTION("""COMPUTED_VALUE"""),44860)</f>
        <v>44860</v>
      </c>
    </row>
    <row r="411" spans="1:10" x14ac:dyDescent="0.25">
      <c r="A411" s="1" t="str">
        <f ca="1">IFERROR(__xludf.DUMMYFUNCTION("""COMPUTED_VALUE"""),"Seregélyesi PDSE")</f>
        <v>Seregélyesi PDSE</v>
      </c>
      <c r="B411" s="1" t="str">
        <f ca="1">IFERROR(__xludf.DUMMYFUNCTION("""COMPUTED_VALUE"""),"Szabó Adrienn")</f>
        <v>Szabó Adrienn</v>
      </c>
      <c r="C411" s="1"/>
      <c r="D411" s="1" t="str">
        <f ca="1">IFERROR(__xludf.DUMMYFUNCTION("""COMPUTED_VALUE"""),"Nő")</f>
        <v>Nő</v>
      </c>
      <c r="E411" s="1"/>
      <c r="F411" s="1">
        <f ca="1">IFERROR(__xludf.DUMMYFUNCTION("""COMPUTED_VALUE"""),2012)</f>
        <v>2012</v>
      </c>
      <c r="G411" s="1">
        <f ca="1">IFERROR(__xludf.DUMMYFUNCTION("""COMPUTED_VALUE"""),4725)</f>
        <v>4725</v>
      </c>
      <c r="H411" s="1" t="str">
        <f ca="1">IFERROR(__xludf.DUMMYFUNCTION("""COMPUTED_VALUE"""),"MTLSZ004725A21")</f>
        <v>MTLSZ004725A21</v>
      </c>
      <c r="I411" s="2">
        <f ca="1">IFERROR(__xludf.DUMMYFUNCTION("""COMPUTED_VALUE"""),44496)</f>
        <v>44496</v>
      </c>
      <c r="J411" s="2">
        <f ca="1">IFERROR(__xludf.DUMMYFUNCTION("""COMPUTED_VALUE"""),44860)</f>
        <v>44860</v>
      </c>
    </row>
    <row r="412" spans="1:10" x14ac:dyDescent="0.25">
      <c r="A412" s="1" t="str">
        <f ca="1">IFERROR(__xludf.DUMMYFUNCTION("""COMPUTED_VALUE"""),"Talentum TSE")</f>
        <v>Talentum TSE</v>
      </c>
      <c r="B412" s="1" t="str">
        <f ca="1">IFERROR(__xludf.DUMMYFUNCTION("""COMPUTED_VALUE"""),"Cziczka Eszter")</f>
        <v>Cziczka Eszter</v>
      </c>
      <c r="C412" s="1"/>
      <c r="D412" s="1" t="str">
        <f ca="1">IFERROR(__xludf.DUMMYFUNCTION("""COMPUTED_VALUE"""),"Nő")</f>
        <v>Nő</v>
      </c>
      <c r="E412" s="1"/>
      <c r="F412" s="1">
        <f ca="1">IFERROR(__xludf.DUMMYFUNCTION("""COMPUTED_VALUE"""),2005)</f>
        <v>2005</v>
      </c>
      <c r="G412" s="1">
        <f ca="1">IFERROR(__xludf.DUMMYFUNCTION("""COMPUTED_VALUE"""),3219)</f>
        <v>3219</v>
      </c>
      <c r="H412" s="1" t="str">
        <f ca="1">IFERROR(__xludf.DUMMYFUNCTION("""COMPUTED_VALUE"""),"MTLSZ003219A21")</f>
        <v>MTLSZ003219A21</v>
      </c>
      <c r="I412" s="2">
        <f ca="1">IFERROR(__xludf.DUMMYFUNCTION("""COMPUTED_VALUE"""),44496)</f>
        <v>44496</v>
      </c>
      <c r="J412" s="2">
        <f ca="1">IFERROR(__xludf.DUMMYFUNCTION("""COMPUTED_VALUE"""),44860)</f>
        <v>44860</v>
      </c>
    </row>
    <row r="413" spans="1:10" x14ac:dyDescent="0.25">
      <c r="A413" s="1" t="str">
        <f ca="1">IFERROR(__xludf.DUMMYFUNCTION("""COMPUTED_VALUE"""),"Talentum TSE")</f>
        <v>Talentum TSE</v>
      </c>
      <c r="B413" s="1" t="str">
        <f ca="1">IFERROR(__xludf.DUMMYFUNCTION("""COMPUTED_VALUE"""),"Farkas Anna")</f>
        <v>Farkas Anna</v>
      </c>
      <c r="C413" s="1"/>
      <c r="D413" s="1" t="str">
        <f ca="1">IFERROR(__xludf.DUMMYFUNCTION("""COMPUTED_VALUE"""),"Nő")</f>
        <v>Nő</v>
      </c>
      <c r="E413" s="1"/>
      <c r="F413" s="1">
        <f ca="1">IFERROR(__xludf.DUMMYFUNCTION("""COMPUTED_VALUE"""),2006)</f>
        <v>2006</v>
      </c>
      <c r="G413" s="1">
        <f ca="1">IFERROR(__xludf.DUMMYFUNCTION("""COMPUTED_VALUE"""),3217)</f>
        <v>3217</v>
      </c>
      <c r="H413" s="1" t="str">
        <f ca="1">IFERROR(__xludf.DUMMYFUNCTION("""COMPUTED_VALUE"""),"MTLSZ003217A21")</f>
        <v>MTLSZ003217A21</v>
      </c>
      <c r="I413" s="2">
        <f ca="1">IFERROR(__xludf.DUMMYFUNCTION("""COMPUTED_VALUE"""),44496)</f>
        <v>44496</v>
      </c>
      <c r="J413" s="2">
        <f ca="1">IFERROR(__xludf.DUMMYFUNCTION("""COMPUTED_VALUE"""),44860)</f>
        <v>44860</v>
      </c>
    </row>
    <row r="414" spans="1:10" x14ac:dyDescent="0.25">
      <c r="A414" s="1" t="str">
        <f ca="1">IFERROR(__xludf.DUMMYFUNCTION("""COMPUTED_VALUE"""),"Talentum TSE")</f>
        <v>Talentum TSE</v>
      </c>
      <c r="B414" s="1" t="str">
        <f ca="1">IFERROR(__xludf.DUMMYFUNCTION("""COMPUTED_VALUE"""),"Jeszenszky Hunor")</f>
        <v>Jeszenszky Hunor</v>
      </c>
      <c r="C414" s="1"/>
      <c r="D414" s="1" t="str">
        <f ca="1">IFERROR(__xludf.DUMMYFUNCTION("""COMPUTED_VALUE"""),"Férfi")</f>
        <v>Férfi</v>
      </c>
      <c r="E414" s="1"/>
      <c r="F414" s="1">
        <f ca="1">IFERROR(__xludf.DUMMYFUNCTION("""COMPUTED_VALUE"""),2015)</f>
        <v>2015</v>
      </c>
      <c r="G414" s="1">
        <f ca="1">IFERROR(__xludf.DUMMYFUNCTION("""COMPUTED_VALUE"""),4722)</f>
        <v>4722</v>
      </c>
      <c r="H414" s="1" t="str">
        <f ca="1">IFERROR(__xludf.DUMMYFUNCTION("""COMPUTED_VALUE"""),"MTLSZ004722A21")</f>
        <v>MTLSZ004722A21</v>
      </c>
      <c r="I414" s="2">
        <f ca="1">IFERROR(__xludf.DUMMYFUNCTION("""COMPUTED_VALUE"""),44496)</f>
        <v>44496</v>
      </c>
      <c r="J414" s="2">
        <f ca="1">IFERROR(__xludf.DUMMYFUNCTION("""COMPUTED_VALUE"""),44860)</f>
        <v>44860</v>
      </c>
    </row>
    <row r="415" spans="1:10" x14ac:dyDescent="0.25">
      <c r="A415" s="1" t="str">
        <f ca="1">IFERROR(__xludf.DUMMYFUNCTION("""COMPUTED_VALUE"""),"Talentum TSE")</f>
        <v>Talentum TSE</v>
      </c>
      <c r="B415" s="1" t="str">
        <f ca="1">IFERROR(__xludf.DUMMYFUNCTION("""COMPUTED_VALUE"""),"Rottek Belián Márk")</f>
        <v>Rottek Belián Márk</v>
      </c>
      <c r="C415" s="1"/>
      <c r="D415" s="1" t="str">
        <f ca="1">IFERROR(__xludf.DUMMYFUNCTION("""COMPUTED_VALUE"""),"Férfi")</f>
        <v>Férfi</v>
      </c>
      <c r="E415" s="1"/>
      <c r="F415" s="1">
        <f ca="1">IFERROR(__xludf.DUMMYFUNCTION("""COMPUTED_VALUE"""),2011)</f>
        <v>2011</v>
      </c>
      <c r="G415" s="1">
        <f ca="1">IFERROR(__xludf.DUMMYFUNCTION("""COMPUTED_VALUE"""),4720)</f>
        <v>4720</v>
      </c>
      <c r="H415" s="1" t="str">
        <f ca="1">IFERROR(__xludf.DUMMYFUNCTION("""COMPUTED_VALUE"""),"MTLSZ004720A21")</f>
        <v>MTLSZ004720A21</v>
      </c>
      <c r="I415" s="2">
        <f ca="1">IFERROR(__xludf.DUMMYFUNCTION("""COMPUTED_VALUE"""),44496)</f>
        <v>44496</v>
      </c>
      <c r="J415" s="2">
        <f ca="1">IFERROR(__xludf.DUMMYFUNCTION("""COMPUTED_VALUE"""),44860)</f>
        <v>44860</v>
      </c>
    </row>
    <row r="416" spans="1:10" x14ac:dyDescent="0.25">
      <c r="A416" s="1" t="str">
        <f ca="1">IFERROR(__xludf.DUMMYFUNCTION("""COMPUTED_VALUE"""),"Talentum TSE")</f>
        <v>Talentum TSE</v>
      </c>
      <c r="B416" s="1" t="str">
        <f ca="1">IFERROR(__xludf.DUMMYFUNCTION("""COMPUTED_VALUE"""),"Rottek Dávid Kornél")</f>
        <v>Rottek Dávid Kornél</v>
      </c>
      <c r="C416" s="1"/>
      <c r="D416" s="1" t="str">
        <f ca="1">IFERROR(__xludf.DUMMYFUNCTION("""COMPUTED_VALUE"""),"Férfi")</f>
        <v>Férfi</v>
      </c>
      <c r="E416" s="1"/>
      <c r="F416" s="1">
        <f ca="1">IFERROR(__xludf.DUMMYFUNCTION("""COMPUTED_VALUE"""),2012)</f>
        <v>2012</v>
      </c>
      <c r="G416" s="1">
        <f ca="1">IFERROR(__xludf.DUMMYFUNCTION("""COMPUTED_VALUE"""),4721)</f>
        <v>4721</v>
      </c>
      <c r="H416" s="1" t="str">
        <f ca="1">IFERROR(__xludf.DUMMYFUNCTION("""COMPUTED_VALUE"""),"MTLSZ004721A21")</f>
        <v>MTLSZ004721A21</v>
      </c>
      <c r="I416" s="2">
        <f ca="1">IFERROR(__xludf.DUMMYFUNCTION("""COMPUTED_VALUE"""),44496)</f>
        <v>44496</v>
      </c>
      <c r="J416" s="2">
        <f ca="1">IFERROR(__xludf.DUMMYFUNCTION("""COMPUTED_VALUE"""),44860)</f>
        <v>44860</v>
      </c>
    </row>
    <row r="417" spans="1:10" x14ac:dyDescent="0.25">
      <c r="A417" s="1" t="str">
        <f ca="1">IFERROR(__xludf.DUMMYFUNCTION("""COMPUTED_VALUE"""),"Talentum TSE")</f>
        <v>Talentum TSE</v>
      </c>
      <c r="B417" s="1" t="str">
        <f ca="1">IFERROR(__xludf.DUMMYFUNCTION("""COMPUTED_VALUE"""),"Szaniszló Márk")</f>
        <v>Szaniszló Márk</v>
      </c>
      <c r="C417" s="1"/>
      <c r="D417" s="1" t="str">
        <f ca="1">IFERROR(__xludf.DUMMYFUNCTION("""COMPUTED_VALUE"""),"Férfi")</f>
        <v>Férfi</v>
      </c>
      <c r="E417" s="1"/>
      <c r="F417" s="1">
        <f ca="1">IFERROR(__xludf.DUMMYFUNCTION("""COMPUTED_VALUE"""),2007)</f>
        <v>2007</v>
      </c>
      <c r="G417" s="1">
        <f ca="1">IFERROR(__xludf.DUMMYFUNCTION("""COMPUTED_VALUE"""),4723)</f>
        <v>4723</v>
      </c>
      <c r="H417" s="1" t="str">
        <f ca="1">IFERROR(__xludf.DUMMYFUNCTION("""COMPUTED_VALUE"""),"MTLSZ004723A21")</f>
        <v>MTLSZ004723A21</v>
      </c>
      <c r="I417" s="2">
        <f ca="1">IFERROR(__xludf.DUMMYFUNCTION("""COMPUTED_VALUE"""),44496)</f>
        <v>44496</v>
      </c>
      <c r="J417" s="2">
        <f ca="1">IFERROR(__xludf.DUMMYFUNCTION("""COMPUTED_VALUE"""),44860)</f>
        <v>44860</v>
      </c>
    </row>
    <row r="418" spans="1:10" x14ac:dyDescent="0.25">
      <c r="A418" s="1" t="str">
        <f ca="1">IFERROR(__xludf.DUMMYFUNCTION("""COMPUTED_VALUE"""),"Talentum TSE")</f>
        <v>Talentum TSE</v>
      </c>
      <c r="B418" s="1" t="str">
        <f ca="1">IFERROR(__xludf.DUMMYFUNCTION("""COMPUTED_VALUE"""),"Vizdák Éva")</f>
        <v>Vizdák Éva</v>
      </c>
      <c r="C418" s="1"/>
      <c r="D418" s="1" t="str">
        <f ca="1">IFERROR(__xludf.DUMMYFUNCTION("""COMPUTED_VALUE"""),"Nő")</f>
        <v>Nő</v>
      </c>
      <c r="E418" s="1"/>
      <c r="F418" s="1">
        <f ca="1">IFERROR(__xludf.DUMMYFUNCTION("""COMPUTED_VALUE"""),2009)</f>
        <v>2009</v>
      </c>
      <c r="G418" s="1">
        <f ca="1">IFERROR(__xludf.DUMMYFUNCTION("""COMPUTED_VALUE"""),4724)</f>
        <v>4724</v>
      </c>
      <c r="H418" s="1" t="str">
        <f ca="1">IFERROR(__xludf.DUMMYFUNCTION("""COMPUTED_VALUE"""),"MTLSZ004724A21")</f>
        <v>MTLSZ004724A21</v>
      </c>
      <c r="I418" s="2">
        <f ca="1">IFERROR(__xludf.DUMMYFUNCTION("""COMPUTED_VALUE"""),44496)</f>
        <v>44496</v>
      </c>
      <c r="J418" s="2">
        <f ca="1">IFERROR(__xludf.DUMMYFUNCTION("""COMPUTED_VALUE"""),44860)</f>
        <v>44860</v>
      </c>
    </row>
    <row r="419" spans="1:10" x14ac:dyDescent="0.25">
      <c r="A419" s="1" t="str">
        <f ca="1">IFERROR(__xludf.DUMMYFUNCTION("""COMPUTED_VALUE"""),"Talentum TSE")</f>
        <v>Talentum TSE</v>
      </c>
      <c r="B419" s="1" t="str">
        <f ca="1">IFERROR(__xludf.DUMMYFUNCTION("""COMPUTED_VALUE"""),"Wierl Marianna")</f>
        <v>Wierl Marianna</v>
      </c>
      <c r="C419" s="1"/>
      <c r="D419" s="1" t="str">
        <f ca="1">IFERROR(__xludf.DUMMYFUNCTION("""COMPUTED_VALUE"""),"Nő")</f>
        <v>Nő</v>
      </c>
      <c r="E419" s="1"/>
      <c r="F419" s="1">
        <f ca="1">IFERROR(__xludf.DUMMYFUNCTION("""COMPUTED_VALUE"""),2003)</f>
        <v>2003</v>
      </c>
      <c r="G419" s="1">
        <f ca="1">IFERROR(__xludf.DUMMYFUNCTION("""COMPUTED_VALUE"""),3322)</f>
        <v>3322</v>
      </c>
      <c r="H419" s="1" t="str">
        <f ca="1">IFERROR(__xludf.DUMMYFUNCTION("""COMPUTED_VALUE"""),"MTLSZ003322A21")</f>
        <v>MTLSZ003322A21</v>
      </c>
      <c r="I419" s="2">
        <f ca="1">IFERROR(__xludf.DUMMYFUNCTION("""COMPUTED_VALUE"""),44496)</f>
        <v>44496</v>
      </c>
      <c r="J419" s="2">
        <f ca="1">IFERROR(__xludf.DUMMYFUNCTION("""COMPUTED_VALUE"""),44860)</f>
        <v>44860</v>
      </c>
    </row>
    <row r="420" spans="1:10" x14ac:dyDescent="0.25">
      <c r="A420" s="1" t="str">
        <f ca="1">IFERROR(__xludf.DUMMYFUNCTION("""COMPUTED_VALUE"""),"Tisza TSE")</f>
        <v>Tisza TSE</v>
      </c>
      <c r="B420" s="1" t="str">
        <f ca="1">IFERROR(__xludf.DUMMYFUNCTION("""COMPUTED_VALUE"""),"Kádár Dávid")</f>
        <v>Kádár Dávid</v>
      </c>
      <c r="C420" s="1"/>
      <c r="D420" s="1" t="str">
        <f ca="1">IFERROR(__xludf.DUMMYFUNCTION("""COMPUTED_VALUE"""),"Férfi")</f>
        <v>Férfi</v>
      </c>
      <c r="E420" s="1"/>
      <c r="F420" s="1">
        <f ca="1">IFERROR(__xludf.DUMMYFUNCTION("""COMPUTED_VALUE"""),2006)</f>
        <v>2006</v>
      </c>
      <c r="G420" s="1">
        <f ca="1">IFERROR(__xludf.DUMMYFUNCTION("""COMPUTED_VALUE"""),3195)</f>
        <v>3195</v>
      </c>
      <c r="H420" s="1" t="str">
        <f ca="1">IFERROR(__xludf.DUMMYFUNCTION("""COMPUTED_VALUE"""),"MTLSZ003195A21")</f>
        <v>MTLSZ003195A21</v>
      </c>
      <c r="I420" s="2">
        <f ca="1">IFERROR(__xludf.DUMMYFUNCTION("""COMPUTED_VALUE"""),44496)</f>
        <v>44496</v>
      </c>
      <c r="J420" s="2">
        <f ca="1">IFERROR(__xludf.DUMMYFUNCTION("""COMPUTED_VALUE"""),44860)</f>
        <v>44860</v>
      </c>
    </row>
    <row r="421" spans="1:10" x14ac:dyDescent="0.25">
      <c r="A421" s="1" t="str">
        <f ca="1">IFERROR(__xludf.DUMMYFUNCTION("""COMPUTED_VALUE"""),"Tisza TSE")</f>
        <v>Tisza TSE</v>
      </c>
      <c r="B421" s="1" t="str">
        <f ca="1">IFERROR(__xludf.DUMMYFUNCTION("""COMPUTED_VALUE"""),"Pápai Balázs")</f>
        <v>Pápai Balázs</v>
      </c>
      <c r="C421" s="1"/>
      <c r="D421" s="1" t="str">
        <f ca="1">IFERROR(__xludf.DUMMYFUNCTION("""COMPUTED_VALUE"""),"Férfi")</f>
        <v>Férfi</v>
      </c>
      <c r="E421" s="1"/>
      <c r="F421" s="1">
        <f ca="1">IFERROR(__xludf.DUMMYFUNCTION("""COMPUTED_VALUE"""),2000)</f>
        <v>2000</v>
      </c>
      <c r="G421" s="1">
        <f ca="1">IFERROR(__xludf.DUMMYFUNCTION("""COMPUTED_VALUE"""),2004)</f>
        <v>2004</v>
      </c>
      <c r="H421" s="1" t="str">
        <f ca="1">IFERROR(__xludf.DUMMYFUNCTION("""COMPUTED_VALUE"""),"MTLSZ002004A21")</f>
        <v>MTLSZ002004A21</v>
      </c>
      <c r="I421" s="2">
        <f ca="1">IFERROR(__xludf.DUMMYFUNCTION("""COMPUTED_VALUE"""),44496)</f>
        <v>44496</v>
      </c>
      <c r="J421" s="2">
        <f ca="1">IFERROR(__xludf.DUMMYFUNCTION("""COMPUTED_VALUE"""),44860)</f>
        <v>44860</v>
      </c>
    </row>
    <row r="422" spans="1:10" x14ac:dyDescent="0.25">
      <c r="A422" s="1" t="str">
        <f ca="1">IFERROR(__xludf.DUMMYFUNCTION("""COMPUTED_VALUE"""),"Tisza TSE")</f>
        <v>Tisza TSE</v>
      </c>
      <c r="B422" s="1" t="str">
        <f ca="1">IFERROR(__xludf.DUMMYFUNCTION("""COMPUTED_VALUE"""),"Pápai Bálint")</f>
        <v>Pápai Bálint</v>
      </c>
      <c r="C422" s="1"/>
      <c r="D422" s="1" t="str">
        <f ca="1">IFERROR(__xludf.DUMMYFUNCTION("""COMPUTED_VALUE"""),"Férfi")</f>
        <v>Férfi</v>
      </c>
      <c r="E422" s="1"/>
      <c r="F422" s="1">
        <f ca="1">IFERROR(__xludf.DUMMYFUNCTION("""COMPUTED_VALUE"""),2002)</f>
        <v>2002</v>
      </c>
      <c r="G422" s="1">
        <f ca="1">IFERROR(__xludf.DUMMYFUNCTION("""COMPUTED_VALUE"""),2168)</f>
        <v>2168</v>
      </c>
      <c r="H422" s="1" t="str">
        <f ca="1">IFERROR(__xludf.DUMMYFUNCTION("""COMPUTED_VALUE"""),"MTLSZ002168A21")</f>
        <v>MTLSZ002168A21</v>
      </c>
      <c r="I422" s="2">
        <f ca="1">IFERROR(__xludf.DUMMYFUNCTION("""COMPUTED_VALUE"""),44496)</f>
        <v>44496</v>
      </c>
      <c r="J422" s="2">
        <f ca="1">IFERROR(__xludf.DUMMYFUNCTION("""COMPUTED_VALUE"""),44860)</f>
        <v>44860</v>
      </c>
    </row>
    <row r="423" spans="1:10" x14ac:dyDescent="0.25">
      <c r="A423" s="1" t="str">
        <f ca="1">IFERROR(__xludf.DUMMYFUNCTION("""COMPUTED_VALUE"""),"Tisza TSE")</f>
        <v>Tisza TSE</v>
      </c>
      <c r="B423" s="1" t="str">
        <f ca="1">IFERROR(__xludf.DUMMYFUNCTION("""COMPUTED_VALUE"""),"Sárosi Laura")</f>
        <v>Sárosi Laura</v>
      </c>
      <c r="C423" s="1"/>
      <c r="D423" s="1" t="str">
        <f ca="1">IFERROR(__xludf.DUMMYFUNCTION("""COMPUTED_VALUE"""),"Nő")</f>
        <v>Nő</v>
      </c>
      <c r="E423" s="1"/>
      <c r="F423" s="1">
        <f ca="1">IFERROR(__xludf.DUMMYFUNCTION("""COMPUTED_VALUE"""),1992)</f>
        <v>1992</v>
      </c>
      <c r="G423" s="1">
        <f ca="1">IFERROR(__xludf.DUMMYFUNCTION("""COMPUTED_VALUE"""),835)</f>
        <v>835</v>
      </c>
      <c r="H423" s="1" t="str">
        <f ca="1">IFERROR(__xludf.DUMMYFUNCTION("""COMPUTED_VALUE"""),"MTLSZ000835A21")</f>
        <v>MTLSZ000835A21</v>
      </c>
      <c r="I423" s="2">
        <f ca="1">IFERROR(__xludf.DUMMYFUNCTION("""COMPUTED_VALUE"""),44496)</f>
        <v>44496</v>
      </c>
      <c r="J423" s="2">
        <f ca="1">IFERROR(__xludf.DUMMYFUNCTION("""COMPUTED_VALUE"""),44860)</f>
        <v>44860</v>
      </c>
    </row>
    <row r="424" spans="1:10" x14ac:dyDescent="0.25">
      <c r="A424" s="1" t="str">
        <f ca="1">IFERROR(__xludf.DUMMYFUNCTION("""COMPUTED_VALUE"""),"Újpest TSE")</f>
        <v>Újpest TSE</v>
      </c>
      <c r="B424" s="1" t="str">
        <f ca="1">IFERROR(__xludf.DUMMYFUNCTION("""COMPUTED_VALUE"""),"Kovács Petra")</f>
        <v>Kovács Petra</v>
      </c>
      <c r="C424" s="1"/>
      <c r="D424" s="1" t="str">
        <f ca="1">IFERROR(__xludf.DUMMYFUNCTION("""COMPUTED_VALUE"""),"Nő")</f>
        <v>Nő</v>
      </c>
      <c r="E424" s="1"/>
      <c r="F424" s="1">
        <f ca="1">IFERROR(__xludf.DUMMYFUNCTION("""COMPUTED_VALUE"""),2003)</f>
        <v>2003</v>
      </c>
      <c r="G424" s="1">
        <f ca="1">IFERROR(__xludf.DUMMYFUNCTION("""COMPUTED_VALUE"""),2514)</f>
        <v>2514</v>
      </c>
      <c r="H424" s="1" t="str">
        <f ca="1">IFERROR(__xludf.DUMMYFUNCTION("""COMPUTED_VALUE"""),"MTLSZ002514A21")</f>
        <v>MTLSZ002514A21</v>
      </c>
      <c r="I424" s="2">
        <f ca="1">IFERROR(__xludf.DUMMYFUNCTION("""COMPUTED_VALUE"""),44496)</f>
        <v>44496</v>
      </c>
      <c r="J424" s="2">
        <f ca="1">IFERROR(__xludf.DUMMYFUNCTION("""COMPUTED_VALUE"""),44860)</f>
        <v>44860</v>
      </c>
    </row>
    <row r="425" spans="1:10" x14ac:dyDescent="0.25">
      <c r="A425" s="1" t="str">
        <f ca="1">IFERROR(__xludf.DUMMYFUNCTION("""COMPUTED_VALUE"""),"BTBK")</f>
        <v>BTBK</v>
      </c>
      <c r="B425" s="1" t="str">
        <f ca="1">IFERROR(__xludf.DUMMYFUNCTION("""COMPUTED_VALUE"""),"Kinál Zoltán")</f>
        <v>Kinál Zoltán</v>
      </c>
      <c r="C425" s="1"/>
      <c r="D425" s="1" t="str">
        <f ca="1">IFERROR(__xludf.DUMMYFUNCTION("""COMPUTED_VALUE"""),"Férfi")</f>
        <v>Férfi</v>
      </c>
      <c r="E425" s="1"/>
      <c r="F425" s="1">
        <f ca="1">IFERROR(__xludf.DUMMYFUNCTION("""COMPUTED_VALUE"""),1977)</f>
        <v>1977</v>
      </c>
      <c r="G425" s="1">
        <f ca="1">IFERROR(__xludf.DUMMYFUNCTION("""COMPUTED_VALUE"""),2282)</f>
        <v>2282</v>
      </c>
      <c r="H425" s="1" t="str">
        <f ca="1">IFERROR(__xludf.DUMMYFUNCTION("""COMPUTED_VALUE"""),"MTLSZ002282A21")</f>
        <v>MTLSZ002282A21</v>
      </c>
      <c r="I425" s="2">
        <f ca="1">IFERROR(__xludf.DUMMYFUNCTION("""COMPUTED_VALUE"""),44495)</f>
        <v>44495</v>
      </c>
      <c r="J425" s="2">
        <f ca="1">IFERROR(__xludf.DUMMYFUNCTION("""COMPUTED_VALUE"""),44859)</f>
        <v>44859</v>
      </c>
    </row>
    <row r="426" spans="1:10" x14ac:dyDescent="0.25">
      <c r="A426" s="1" t="str">
        <f ca="1">IFERROR(__xludf.DUMMYFUNCTION("""COMPUTED_VALUE"""),"Danubius KSE")</f>
        <v>Danubius KSE</v>
      </c>
      <c r="B426" s="1" t="str">
        <f ca="1">IFERROR(__xludf.DUMMYFUNCTION("""COMPUTED_VALUE"""),"Francioso Dominik")</f>
        <v>Francioso Dominik</v>
      </c>
      <c r="C426" s="1"/>
      <c r="D426" s="1" t="str">
        <f ca="1">IFERROR(__xludf.DUMMYFUNCTION("""COMPUTED_VALUE"""),"Férfi")</f>
        <v>Férfi</v>
      </c>
      <c r="E426" s="1"/>
      <c r="F426" s="1">
        <f ca="1">IFERROR(__xludf.DUMMYFUNCTION("""COMPUTED_VALUE"""),2009)</f>
        <v>2009</v>
      </c>
      <c r="G426" s="1">
        <f ca="1">IFERROR(__xludf.DUMMYFUNCTION("""COMPUTED_VALUE"""),4708)</f>
        <v>4708</v>
      </c>
      <c r="H426" s="1" t="str">
        <f ca="1">IFERROR(__xludf.DUMMYFUNCTION("""COMPUTED_VALUE"""),"MTLSZ004708A21")</f>
        <v>MTLSZ004708A21</v>
      </c>
      <c r="I426" s="2">
        <f ca="1">IFERROR(__xludf.DUMMYFUNCTION("""COMPUTED_VALUE"""),44495)</f>
        <v>44495</v>
      </c>
      <c r="J426" s="2">
        <f ca="1">IFERROR(__xludf.DUMMYFUNCTION("""COMPUTED_VALUE"""),44859)</f>
        <v>44859</v>
      </c>
    </row>
    <row r="427" spans="1:10" x14ac:dyDescent="0.25">
      <c r="A427" s="1" t="str">
        <f ca="1">IFERROR(__xludf.DUMMYFUNCTION("""COMPUTED_VALUE"""),"Danubius KSE")</f>
        <v>Danubius KSE</v>
      </c>
      <c r="B427" s="1" t="str">
        <f ca="1">IFERROR(__xludf.DUMMYFUNCTION("""COMPUTED_VALUE"""),"Gerendai Péter")</f>
        <v>Gerendai Péter</v>
      </c>
      <c r="C427" s="1"/>
      <c r="D427" s="1" t="str">
        <f ca="1">IFERROR(__xludf.DUMMYFUNCTION("""COMPUTED_VALUE"""),"Férfi")</f>
        <v>Férfi</v>
      </c>
      <c r="E427" s="1"/>
      <c r="F427" s="1">
        <f ca="1">IFERROR(__xludf.DUMMYFUNCTION("""COMPUTED_VALUE"""),2011)</f>
        <v>2011</v>
      </c>
      <c r="G427" s="1">
        <f ca="1">IFERROR(__xludf.DUMMYFUNCTION("""COMPUTED_VALUE"""),4709)</f>
        <v>4709</v>
      </c>
      <c r="H427" s="1" t="str">
        <f ca="1">IFERROR(__xludf.DUMMYFUNCTION("""COMPUTED_VALUE"""),"MTLSZ004709A21")</f>
        <v>MTLSZ004709A21</v>
      </c>
      <c r="I427" s="2">
        <f ca="1">IFERROR(__xludf.DUMMYFUNCTION("""COMPUTED_VALUE"""),44495)</f>
        <v>44495</v>
      </c>
      <c r="J427" s="2">
        <f ca="1">IFERROR(__xludf.DUMMYFUNCTION("""COMPUTED_VALUE"""),44859)</f>
        <v>44859</v>
      </c>
    </row>
    <row r="428" spans="1:10" x14ac:dyDescent="0.25">
      <c r="A428" s="1" t="str">
        <f ca="1">IFERROR(__xludf.DUMMYFUNCTION("""COMPUTED_VALUE"""),"Danubius KSE")</f>
        <v>Danubius KSE</v>
      </c>
      <c r="B428" s="1" t="str">
        <f ca="1">IFERROR(__xludf.DUMMYFUNCTION("""COMPUTED_VALUE"""),"Gyalus Hanna")</f>
        <v>Gyalus Hanna</v>
      </c>
      <c r="C428" s="1"/>
      <c r="D428" s="1" t="str">
        <f ca="1">IFERROR(__xludf.DUMMYFUNCTION("""COMPUTED_VALUE"""),"Nő")</f>
        <v>Nő</v>
      </c>
      <c r="E428" s="1"/>
      <c r="F428" s="1">
        <f ca="1">IFERROR(__xludf.DUMMYFUNCTION("""COMPUTED_VALUE"""),2011)</f>
        <v>2011</v>
      </c>
      <c r="G428" s="1">
        <f ca="1">IFERROR(__xludf.DUMMYFUNCTION("""COMPUTED_VALUE"""),4712)</f>
        <v>4712</v>
      </c>
      <c r="H428" s="1" t="str">
        <f ca="1">IFERROR(__xludf.DUMMYFUNCTION("""COMPUTED_VALUE"""),"MTLSZ004712A21")</f>
        <v>MTLSZ004712A21</v>
      </c>
      <c r="I428" s="2">
        <f ca="1">IFERROR(__xludf.DUMMYFUNCTION("""COMPUTED_VALUE"""),44495)</f>
        <v>44495</v>
      </c>
      <c r="J428" s="2">
        <f ca="1">IFERROR(__xludf.DUMMYFUNCTION("""COMPUTED_VALUE"""),44859)</f>
        <v>44859</v>
      </c>
    </row>
    <row r="429" spans="1:10" x14ac:dyDescent="0.25">
      <c r="A429" s="1" t="str">
        <f ca="1">IFERROR(__xludf.DUMMYFUNCTION("""COMPUTED_VALUE"""),"Danubius KSE")</f>
        <v>Danubius KSE</v>
      </c>
      <c r="B429" s="1" t="str">
        <f ca="1">IFERROR(__xludf.DUMMYFUNCTION("""COMPUTED_VALUE"""),"Jakab Juliána")</f>
        <v>Jakab Juliána</v>
      </c>
      <c r="C429" s="1"/>
      <c r="D429" s="1" t="str">
        <f ca="1">IFERROR(__xludf.DUMMYFUNCTION("""COMPUTED_VALUE"""),"Nő")</f>
        <v>Nő</v>
      </c>
      <c r="E429" s="1"/>
      <c r="F429" s="1">
        <f ca="1">IFERROR(__xludf.DUMMYFUNCTION("""COMPUTED_VALUE"""),2012)</f>
        <v>2012</v>
      </c>
      <c r="G429" s="1">
        <f ca="1">IFERROR(__xludf.DUMMYFUNCTION("""COMPUTED_VALUE"""),4711)</f>
        <v>4711</v>
      </c>
      <c r="H429" s="1" t="str">
        <f ca="1">IFERROR(__xludf.DUMMYFUNCTION("""COMPUTED_VALUE"""),"MTLSZ004711A21")</f>
        <v>MTLSZ004711A21</v>
      </c>
      <c r="I429" s="2">
        <f ca="1">IFERROR(__xludf.DUMMYFUNCTION("""COMPUTED_VALUE"""),44495)</f>
        <v>44495</v>
      </c>
      <c r="J429" s="2">
        <f ca="1">IFERROR(__xludf.DUMMYFUNCTION("""COMPUTED_VALUE"""),44859)</f>
        <v>44859</v>
      </c>
    </row>
    <row r="430" spans="1:10" x14ac:dyDescent="0.25">
      <c r="A430" s="1" t="str">
        <f ca="1">IFERROR(__xludf.DUMMYFUNCTION("""COMPUTED_VALUE"""),"Danubius KSE")</f>
        <v>Danubius KSE</v>
      </c>
      <c r="B430" s="1" t="str">
        <f ca="1">IFERROR(__xludf.DUMMYFUNCTION("""COMPUTED_VALUE"""),"Jakab Szandra Míra")</f>
        <v>Jakab Szandra Míra</v>
      </c>
      <c r="C430" s="1"/>
      <c r="D430" s="1" t="str">
        <f ca="1">IFERROR(__xludf.DUMMYFUNCTION("""COMPUTED_VALUE"""),"Nő")</f>
        <v>Nő</v>
      </c>
      <c r="E430" s="1"/>
      <c r="F430" s="1">
        <f ca="1">IFERROR(__xludf.DUMMYFUNCTION("""COMPUTED_VALUE"""),2005)</f>
        <v>2005</v>
      </c>
      <c r="G430" s="1">
        <f ca="1">IFERROR(__xludf.DUMMYFUNCTION("""COMPUTED_VALUE"""),4710)</f>
        <v>4710</v>
      </c>
      <c r="H430" s="1" t="str">
        <f ca="1">IFERROR(__xludf.DUMMYFUNCTION("""COMPUTED_VALUE"""),"MTLSZ004710A21")</f>
        <v>MTLSZ004710A21</v>
      </c>
      <c r="I430" s="2">
        <f ca="1">IFERROR(__xludf.DUMMYFUNCTION("""COMPUTED_VALUE"""),44495)</f>
        <v>44495</v>
      </c>
      <c r="J430" s="2">
        <f ca="1">IFERROR(__xludf.DUMMYFUNCTION("""COMPUTED_VALUE"""),44859)</f>
        <v>44859</v>
      </c>
    </row>
    <row r="431" spans="1:10" x14ac:dyDescent="0.25">
      <c r="A431" s="1" t="str">
        <f ca="1">IFERROR(__xludf.DUMMYFUNCTION("""COMPUTED_VALUE"""),"Danubius KSE")</f>
        <v>Danubius KSE</v>
      </c>
      <c r="B431" s="1" t="str">
        <f ca="1">IFERROR(__xludf.DUMMYFUNCTION("""COMPUTED_VALUE"""),"Jónás Patrik")</f>
        <v>Jónás Patrik</v>
      </c>
      <c r="C431" s="1"/>
      <c r="D431" s="1" t="str">
        <f ca="1">IFERROR(__xludf.DUMMYFUNCTION("""COMPUTED_VALUE"""),"Férfi")</f>
        <v>Férfi</v>
      </c>
      <c r="E431" s="1"/>
      <c r="F431" s="1">
        <f ca="1">IFERROR(__xludf.DUMMYFUNCTION("""COMPUTED_VALUE"""),2010)</f>
        <v>2010</v>
      </c>
      <c r="G431" s="1">
        <f ca="1">IFERROR(__xludf.DUMMYFUNCTION("""COMPUTED_VALUE"""),4707)</f>
        <v>4707</v>
      </c>
      <c r="H431" s="1" t="str">
        <f ca="1">IFERROR(__xludf.DUMMYFUNCTION("""COMPUTED_VALUE"""),"MTLSZ004707A21")</f>
        <v>MTLSZ004707A21</v>
      </c>
      <c r="I431" s="2">
        <f ca="1">IFERROR(__xludf.DUMMYFUNCTION("""COMPUTED_VALUE"""),44495)</f>
        <v>44495</v>
      </c>
      <c r="J431" s="2">
        <f ca="1">IFERROR(__xludf.DUMMYFUNCTION("""COMPUTED_VALUE"""),44859)</f>
        <v>44859</v>
      </c>
    </row>
    <row r="432" spans="1:10" x14ac:dyDescent="0.25">
      <c r="A432" s="1" t="str">
        <f ca="1">IFERROR(__xludf.DUMMYFUNCTION("""COMPUTED_VALUE"""),"Danubius KSE")</f>
        <v>Danubius KSE</v>
      </c>
      <c r="B432" s="1" t="str">
        <f ca="1">IFERROR(__xludf.DUMMYFUNCTION("""COMPUTED_VALUE"""),"Ősi Benedek")</f>
        <v>Ősi Benedek</v>
      </c>
      <c r="C432" s="1"/>
      <c r="D432" s="1" t="str">
        <f ca="1">IFERROR(__xludf.DUMMYFUNCTION("""COMPUTED_VALUE"""),"Férfi")</f>
        <v>Férfi</v>
      </c>
      <c r="E432" s="1"/>
      <c r="F432" s="1">
        <f ca="1">IFERROR(__xludf.DUMMYFUNCTION("""COMPUTED_VALUE"""),2009)</f>
        <v>2009</v>
      </c>
      <c r="G432" s="1">
        <f ca="1">IFERROR(__xludf.DUMMYFUNCTION("""COMPUTED_VALUE"""),4706)</f>
        <v>4706</v>
      </c>
      <c r="H432" s="1" t="str">
        <f ca="1">IFERROR(__xludf.DUMMYFUNCTION("""COMPUTED_VALUE"""),"MTLSZ004706A21")</f>
        <v>MTLSZ004706A21</v>
      </c>
      <c r="I432" s="2">
        <f ca="1">IFERROR(__xludf.DUMMYFUNCTION("""COMPUTED_VALUE"""),44495)</f>
        <v>44495</v>
      </c>
      <c r="J432" s="2">
        <f ca="1">IFERROR(__xludf.DUMMYFUNCTION("""COMPUTED_VALUE"""),44859)</f>
        <v>44859</v>
      </c>
    </row>
    <row r="433" spans="1:10" x14ac:dyDescent="0.25">
      <c r="A433" s="1" t="str">
        <f ca="1">IFERROR(__xludf.DUMMYFUNCTION("""COMPUTED_VALUE"""),"Danubius KSE")</f>
        <v>Danubius KSE</v>
      </c>
      <c r="B433" s="1" t="str">
        <f ca="1">IFERROR(__xludf.DUMMYFUNCTION("""COMPUTED_VALUE"""),"Pávics Koppány")</f>
        <v>Pávics Koppány</v>
      </c>
      <c r="C433" s="1"/>
      <c r="D433" s="1" t="str">
        <f ca="1">IFERROR(__xludf.DUMMYFUNCTION("""COMPUTED_VALUE"""),"Férfi")</f>
        <v>Férfi</v>
      </c>
      <c r="E433" s="1"/>
      <c r="F433" s="1">
        <f ca="1">IFERROR(__xludf.DUMMYFUNCTION("""COMPUTED_VALUE"""),2009)</f>
        <v>2009</v>
      </c>
      <c r="G433" s="1">
        <f ca="1">IFERROR(__xludf.DUMMYFUNCTION("""COMPUTED_VALUE"""),4704)</f>
        <v>4704</v>
      </c>
      <c r="H433" s="1" t="str">
        <f ca="1">IFERROR(__xludf.DUMMYFUNCTION("""COMPUTED_VALUE"""),"MTLSZ004704A21")</f>
        <v>MTLSZ004704A21</v>
      </c>
      <c r="I433" s="2">
        <f ca="1">IFERROR(__xludf.DUMMYFUNCTION("""COMPUTED_VALUE"""),44495)</f>
        <v>44495</v>
      </c>
      <c r="J433" s="2">
        <f ca="1">IFERROR(__xludf.DUMMYFUNCTION("""COMPUTED_VALUE"""),44859)</f>
        <v>44859</v>
      </c>
    </row>
    <row r="434" spans="1:10" x14ac:dyDescent="0.25">
      <c r="A434" s="1" t="str">
        <f ca="1">IFERROR(__xludf.DUMMYFUNCTION("""COMPUTED_VALUE"""),"Danubius KSE")</f>
        <v>Danubius KSE</v>
      </c>
      <c r="B434" s="1" t="str">
        <f ca="1">IFERROR(__xludf.DUMMYFUNCTION("""COMPUTED_VALUE"""),"Pécsi Noémi")</f>
        <v>Pécsi Noémi</v>
      </c>
      <c r="C434" s="1"/>
      <c r="D434" s="1" t="str">
        <f ca="1">IFERROR(__xludf.DUMMYFUNCTION("""COMPUTED_VALUE"""),"Nő")</f>
        <v>Nő</v>
      </c>
      <c r="E434" s="1"/>
      <c r="F434" s="1">
        <f ca="1">IFERROR(__xludf.DUMMYFUNCTION("""COMPUTED_VALUE"""),2010)</f>
        <v>2010</v>
      </c>
      <c r="G434" s="1">
        <f ca="1">IFERROR(__xludf.DUMMYFUNCTION("""COMPUTED_VALUE"""),4703)</f>
        <v>4703</v>
      </c>
      <c r="H434" s="1" t="str">
        <f ca="1">IFERROR(__xludf.DUMMYFUNCTION("""COMPUTED_VALUE"""),"MTLSZ004703A21")</f>
        <v>MTLSZ004703A21</v>
      </c>
      <c r="I434" s="2">
        <f ca="1">IFERROR(__xludf.DUMMYFUNCTION("""COMPUTED_VALUE"""),44495)</f>
        <v>44495</v>
      </c>
      <c r="J434" s="2">
        <f ca="1">IFERROR(__xludf.DUMMYFUNCTION("""COMPUTED_VALUE"""),44859)</f>
        <v>44859</v>
      </c>
    </row>
    <row r="435" spans="1:10" x14ac:dyDescent="0.25">
      <c r="A435" s="1" t="str">
        <f ca="1">IFERROR(__xludf.DUMMYFUNCTION("""COMPUTED_VALUE"""),"Danubius KSE")</f>
        <v>Danubius KSE</v>
      </c>
      <c r="B435" s="1" t="str">
        <f ca="1">IFERROR(__xludf.DUMMYFUNCTION("""COMPUTED_VALUE"""),"Szabó Bálint")</f>
        <v>Szabó Bálint</v>
      </c>
      <c r="C435" s="1"/>
      <c r="D435" s="1" t="str">
        <f ca="1">IFERROR(__xludf.DUMMYFUNCTION("""COMPUTED_VALUE"""),"Férfi")</f>
        <v>Férfi</v>
      </c>
      <c r="E435" s="1"/>
      <c r="F435" s="1">
        <f ca="1">IFERROR(__xludf.DUMMYFUNCTION("""COMPUTED_VALUE"""),2009)</f>
        <v>2009</v>
      </c>
      <c r="G435" s="1">
        <f ca="1">IFERROR(__xludf.DUMMYFUNCTION("""COMPUTED_VALUE"""),4702)</f>
        <v>4702</v>
      </c>
      <c r="H435" s="1" t="str">
        <f ca="1">IFERROR(__xludf.DUMMYFUNCTION("""COMPUTED_VALUE"""),"MTLSZ004702A21")</f>
        <v>MTLSZ004702A21</v>
      </c>
      <c r="I435" s="2">
        <f ca="1">IFERROR(__xludf.DUMMYFUNCTION("""COMPUTED_VALUE"""),44495)</f>
        <v>44495</v>
      </c>
      <c r="J435" s="2">
        <f ca="1">IFERROR(__xludf.DUMMYFUNCTION("""COMPUTED_VALUE"""),44859)</f>
        <v>44859</v>
      </c>
    </row>
    <row r="436" spans="1:10" x14ac:dyDescent="0.25">
      <c r="A436" s="1" t="str">
        <f ca="1">IFERROR(__xludf.DUMMYFUNCTION("""COMPUTED_VALUE"""),"KörösTSE")</f>
        <v>KörösTSE</v>
      </c>
      <c r="B436" s="1" t="str">
        <f ca="1">IFERROR(__xludf.DUMMYFUNCTION("""COMPUTED_VALUE"""),"Farkas Martin")</f>
        <v>Farkas Martin</v>
      </c>
      <c r="C436" s="1"/>
      <c r="D436" s="1" t="str">
        <f ca="1">IFERROR(__xludf.DUMMYFUNCTION("""COMPUTED_VALUE"""),"Férfi")</f>
        <v>Férfi</v>
      </c>
      <c r="E436" s="1"/>
      <c r="F436" s="1">
        <f ca="1">IFERROR(__xludf.DUMMYFUNCTION("""COMPUTED_VALUE"""),2007)</f>
        <v>2007</v>
      </c>
      <c r="G436" s="1">
        <f ca="1">IFERROR(__xludf.DUMMYFUNCTION("""COMPUTED_VALUE"""),3522)</f>
        <v>3522</v>
      </c>
      <c r="H436" s="1" t="str">
        <f ca="1">IFERROR(__xludf.DUMMYFUNCTION("""COMPUTED_VALUE"""),"MTLSZ003522A21")</f>
        <v>MTLSZ003522A21</v>
      </c>
      <c r="I436" s="2">
        <f ca="1">IFERROR(__xludf.DUMMYFUNCTION("""COMPUTED_VALUE"""),44495)</f>
        <v>44495</v>
      </c>
      <c r="J436" s="2">
        <f ca="1">IFERROR(__xludf.DUMMYFUNCTION("""COMPUTED_VALUE"""),44859)</f>
        <v>44859</v>
      </c>
    </row>
    <row r="437" spans="1:10" x14ac:dyDescent="0.25">
      <c r="A437" s="1" t="str">
        <f ca="1">IFERROR(__xludf.DUMMYFUNCTION("""COMPUTED_VALUE"""),"KörösTSE")</f>
        <v>KörösTSE</v>
      </c>
      <c r="B437" s="1" t="str">
        <f ca="1">IFERROR(__xludf.DUMMYFUNCTION("""COMPUTED_VALUE"""),"Giricz Levente")</f>
        <v>Giricz Levente</v>
      </c>
      <c r="C437" s="1"/>
      <c r="D437" s="1" t="str">
        <f ca="1">IFERROR(__xludf.DUMMYFUNCTION("""COMPUTED_VALUE"""),"Férfi")</f>
        <v>Férfi</v>
      </c>
      <c r="E437" s="1"/>
      <c r="F437" s="1">
        <f ca="1">IFERROR(__xludf.DUMMYFUNCTION("""COMPUTED_VALUE"""),2009)</f>
        <v>2009</v>
      </c>
      <c r="G437" s="1">
        <f ca="1">IFERROR(__xludf.DUMMYFUNCTION("""COMPUTED_VALUE"""),3236)</f>
        <v>3236</v>
      </c>
      <c r="H437" s="1" t="str">
        <f ca="1">IFERROR(__xludf.DUMMYFUNCTION("""COMPUTED_VALUE"""),"MTLSZ003236A21")</f>
        <v>MTLSZ003236A21</v>
      </c>
      <c r="I437" s="2">
        <f ca="1">IFERROR(__xludf.DUMMYFUNCTION("""COMPUTED_VALUE"""),44495)</f>
        <v>44495</v>
      </c>
      <c r="J437" s="2">
        <f ca="1">IFERROR(__xludf.DUMMYFUNCTION("""COMPUTED_VALUE"""),44859)</f>
        <v>44859</v>
      </c>
    </row>
    <row r="438" spans="1:10" x14ac:dyDescent="0.25">
      <c r="A438" s="1" t="str">
        <f ca="1">IFERROR(__xludf.DUMMYFUNCTION("""COMPUTED_VALUE"""),"KörösTSE")</f>
        <v>KörösTSE</v>
      </c>
      <c r="B438" s="1" t="str">
        <f ca="1">IFERROR(__xludf.DUMMYFUNCTION("""COMPUTED_VALUE"""),"Kozma Balázs")</f>
        <v>Kozma Balázs</v>
      </c>
      <c r="C438" s="1"/>
      <c r="D438" s="1" t="str">
        <f ca="1">IFERROR(__xludf.DUMMYFUNCTION("""COMPUTED_VALUE"""),"Férfi")</f>
        <v>Férfi</v>
      </c>
      <c r="E438" s="1"/>
      <c r="F438" s="1">
        <f ca="1">IFERROR(__xludf.DUMMYFUNCTION("""COMPUTED_VALUE"""),2006)</f>
        <v>2006</v>
      </c>
      <c r="G438" s="1">
        <f ca="1">IFERROR(__xludf.DUMMYFUNCTION("""COMPUTED_VALUE"""),3456)</f>
        <v>3456</v>
      </c>
      <c r="H438" s="1" t="str">
        <f ca="1">IFERROR(__xludf.DUMMYFUNCTION("""COMPUTED_VALUE"""),"MTLSZ003456A21")</f>
        <v>MTLSZ003456A21</v>
      </c>
      <c r="I438" s="2">
        <f ca="1">IFERROR(__xludf.DUMMYFUNCTION("""COMPUTED_VALUE"""),44495)</f>
        <v>44495</v>
      </c>
      <c r="J438" s="2">
        <f ca="1">IFERROR(__xludf.DUMMYFUNCTION("""COMPUTED_VALUE"""),44859)</f>
        <v>44859</v>
      </c>
    </row>
    <row r="439" spans="1:10" x14ac:dyDescent="0.25">
      <c r="A439" s="1" t="str">
        <f ca="1">IFERROR(__xludf.DUMMYFUNCTION("""COMPUTED_VALUE"""),"KörösTSE")</f>
        <v>KörösTSE</v>
      </c>
      <c r="B439" s="1" t="str">
        <f ca="1">IFERROR(__xludf.DUMMYFUNCTION("""COMPUTED_VALUE"""),"Kozma Orsolya Ildikó")</f>
        <v>Kozma Orsolya Ildikó</v>
      </c>
      <c r="C439" s="1"/>
      <c r="D439" s="1" t="str">
        <f ca="1">IFERROR(__xludf.DUMMYFUNCTION("""COMPUTED_VALUE"""),"Nő")</f>
        <v>Nő</v>
      </c>
      <c r="E439" s="1"/>
      <c r="F439" s="1">
        <f ca="1">IFERROR(__xludf.DUMMYFUNCTION("""COMPUTED_VALUE"""),2005)</f>
        <v>2005</v>
      </c>
      <c r="G439" s="1">
        <f ca="1">IFERROR(__xludf.DUMMYFUNCTION("""COMPUTED_VALUE"""),3405)</f>
        <v>3405</v>
      </c>
      <c r="H439" s="1" t="str">
        <f ca="1">IFERROR(__xludf.DUMMYFUNCTION("""COMPUTED_VALUE"""),"MTLSZ003405A21")</f>
        <v>MTLSZ003405A21</v>
      </c>
      <c r="I439" s="2">
        <f ca="1">IFERROR(__xludf.DUMMYFUNCTION("""COMPUTED_VALUE"""),44495)</f>
        <v>44495</v>
      </c>
      <c r="J439" s="2">
        <f ca="1">IFERROR(__xludf.DUMMYFUNCTION("""COMPUTED_VALUE"""),44859)</f>
        <v>44859</v>
      </c>
    </row>
    <row r="440" spans="1:10" x14ac:dyDescent="0.25">
      <c r="A440" s="1" t="str">
        <f ca="1">IFERROR(__xludf.DUMMYFUNCTION("""COMPUTED_VALUE"""),"KörösTSE")</f>
        <v>KörösTSE</v>
      </c>
      <c r="B440" s="1" t="str">
        <f ca="1">IFERROR(__xludf.DUMMYFUNCTION("""COMPUTED_VALUE"""),"Mladonyiczki Botond")</f>
        <v>Mladonyiczki Botond</v>
      </c>
      <c r="C440" s="1"/>
      <c r="D440" s="1" t="str">
        <f ca="1">IFERROR(__xludf.DUMMYFUNCTION("""COMPUTED_VALUE"""),"Férfi")</f>
        <v>Férfi</v>
      </c>
      <c r="E440" s="1"/>
      <c r="F440" s="1">
        <f ca="1">IFERROR(__xludf.DUMMYFUNCTION("""COMPUTED_VALUE"""),2008)</f>
        <v>2008</v>
      </c>
      <c r="G440" s="1">
        <f ca="1">IFERROR(__xludf.DUMMYFUNCTION("""COMPUTED_VALUE"""),3150)</f>
        <v>3150</v>
      </c>
      <c r="H440" s="1" t="str">
        <f ca="1">IFERROR(__xludf.DUMMYFUNCTION("""COMPUTED_VALUE"""),"MTLSZ003150A21")</f>
        <v>MTLSZ003150A21</v>
      </c>
      <c r="I440" s="2">
        <f ca="1">IFERROR(__xludf.DUMMYFUNCTION("""COMPUTED_VALUE"""),44495)</f>
        <v>44495</v>
      </c>
      <c r="J440" s="2">
        <f ca="1">IFERROR(__xludf.DUMMYFUNCTION("""COMPUTED_VALUE"""),44859)</f>
        <v>44859</v>
      </c>
    </row>
    <row r="441" spans="1:10" x14ac:dyDescent="0.25">
      <c r="A441" s="1" t="str">
        <f ca="1">IFERROR(__xludf.DUMMYFUNCTION("""COMPUTED_VALUE"""),"KörösTSE")</f>
        <v>KörösTSE</v>
      </c>
      <c r="B441" s="1" t="str">
        <f ca="1">IFERROR(__xludf.DUMMYFUNCTION("""COMPUTED_VALUE"""),"Popa Réka Veronika")</f>
        <v>Popa Réka Veronika</v>
      </c>
      <c r="C441" s="1"/>
      <c r="D441" s="1" t="str">
        <f ca="1">IFERROR(__xludf.DUMMYFUNCTION("""COMPUTED_VALUE"""),"Nő")</f>
        <v>Nő</v>
      </c>
      <c r="E441" s="1"/>
      <c r="F441" s="1">
        <f ca="1">IFERROR(__xludf.DUMMYFUNCTION("""COMPUTED_VALUE"""),2008)</f>
        <v>2008</v>
      </c>
      <c r="G441" s="1">
        <f ca="1">IFERROR(__xludf.DUMMYFUNCTION("""COMPUTED_VALUE"""),3151)</f>
        <v>3151</v>
      </c>
      <c r="H441" s="1" t="str">
        <f ca="1">IFERROR(__xludf.DUMMYFUNCTION("""COMPUTED_VALUE"""),"MTLSZ003151A21")</f>
        <v>MTLSZ003151A21</v>
      </c>
      <c r="I441" s="2">
        <f ca="1">IFERROR(__xludf.DUMMYFUNCTION("""COMPUTED_VALUE"""),44495)</f>
        <v>44495</v>
      </c>
      <c r="J441" s="2">
        <f ca="1">IFERROR(__xludf.DUMMYFUNCTION("""COMPUTED_VALUE"""),44859)</f>
        <v>44859</v>
      </c>
    </row>
    <row r="442" spans="1:10" x14ac:dyDescent="0.25">
      <c r="A442" s="1" t="str">
        <f ca="1">IFERROR(__xludf.DUMMYFUNCTION("""COMPUTED_VALUE"""),"KörösTSE")</f>
        <v>KörösTSE</v>
      </c>
      <c r="B442" s="1" t="str">
        <f ca="1">IFERROR(__xludf.DUMMYFUNCTION("""COMPUTED_VALUE"""),"Tószögi György")</f>
        <v>Tószögi György</v>
      </c>
      <c r="C442" s="1"/>
      <c r="D442" s="1" t="str">
        <f ca="1">IFERROR(__xludf.DUMMYFUNCTION("""COMPUTED_VALUE"""),"Férfi")</f>
        <v>Férfi</v>
      </c>
      <c r="E442" s="1"/>
      <c r="F442" s="1">
        <f ca="1">IFERROR(__xludf.DUMMYFUNCTION("""COMPUTED_VALUE"""),2009)</f>
        <v>2009</v>
      </c>
      <c r="G442" s="1">
        <f ca="1">IFERROR(__xludf.DUMMYFUNCTION("""COMPUTED_VALUE"""),3152)</f>
        <v>3152</v>
      </c>
      <c r="H442" s="1" t="str">
        <f ca="1">IFERROR(__xludf.DUMMYFUNCTION("""COMPUTED_VALUE"""),"MTLSZ003152A21")</f>
        <v>MTLSZ003152A21</v>
      </c>
      <c r="I442" s="2">
        <f ca="1">IFERROR(__xludf.DUMMYFUNCTION("""COMPUTED_VALUE"""),44495)</f>
        <v>44495</v>
      </c>
      <c r="J442" s="2">
        <f ca="1">IFERROR(__xludf.DUMMYFUNCTION("""COMPUTED_VALUE"""),44859)</f>
        <v>44859</v>
      </c>
    </row>
    <row r="443" spans="1:10" x14ac:dyDescent="0.25">
      <c r="A443" s="1" t="str">
        <f ca="1">IFERROR(__xludf.DUMMYFUNCTION("""COMPUTED_VALUE"""),"Multi Alarm SE")</f>
        <v>Multi Alarm SE</v>
      </c>
      <c r="B443" s="1" t="str">
        <f ca="1">IFERROR(__xludf.DUMMYFUNCTION("""COMPUTED_VALUE"""),"Lakatos Levente")</f>
        <v>Lakatos Levente</v>
      </c>
      <c r="C443" s="1"/>
      <c r="D443" s="1" t="str">
        <f ca="1">IFERROR(__xludf.DUMMYFUNCTION("""COMPUTED_VALUE"""),"Férfi")</f>
        <v>Férfi</v>
      </c>
      <c r="E443" s="1"/>
      <c r="F443" s="1">
        <f ca="1">IFERROR(__xludf.DUMMYFUNCTION("""COMPUTED_VALUE"""),1997)</f>
        <v>1997</v>
      </c>
      <c r="G443" s="1">
        <f ca="1">IFERROR(__xludf.DUMMYFUNCTION("""COMPUTED_VALUE"""),2049)</f>
        <v>2049</v>
      </c>
      <c r="H443" s="1" t="str">
        <f ca="1">IFERROR(__xludf.DUMMYFUNCTION("""COMPUTED_VALUE"""),"MTLSZ002049A21")</f>
        <v>MTLSZ002049A21</v>
      </c>
      <c r="I443" s="2">
        <f ca="1">IFERROR(__xludf.DUMMYFUNCTION("""COMPUTED_VALUE"""),44495)</f>
        <v>44495</v>
      </c>
      <c r="J443" s="2">
        <f ca="1">IFERROR(__xludf.DUMMYFUNCTION("""COMPUTED_VALUE"""),44859)</f>
        <v>44859</v>
      </c>
    </row>
    <row r="444" spans="1:10" x14ac:dyDescent="0.25">
      <c r="A444" s="1" t="str">
        <f ca="1">IFERROR(__xludf.DUMMYFUNCTION("""COMPUTED_VALUE"""),"T(r)ollas SE")</f>
        <v>T(r)ollas SE</v>
      </c>
      <c r="B444" s="1" t="str">
        <f ca="1">IFERROR(__xludf.DUMMYFUNCTION("""COMPUTED_VALUE"""),"Amal Jacob")</f>
        <v>Amal Jacob</v>
      </c>
      <c r="C444" s="1"/>
      <c r="D444" s="1" t="str">
        <f ca="1">IFERROR(__xludf.DUMMYFUNCTION("""COMPUTED_VALUE"""),"Férfi")</f>
        <v>Férfi</v>
      </c>
      <c r="E444" s="1"/>
      <c r="F444" s="1">
        <f ca="1">IFERROR(__xludf.DUMMYFUNCTION("""COMPUTED_VALUE"""),1994)</f>
        <v>1994</v>
      </c>
      <c r="G444" s="1">
        <f ca="1">IFERROR(__xludf.DUMMYFUNCTION("""COMPUTED_VALUE"""),3524)</f>
        <v>3524</v>
      </c>
      <c r="H444" s="1" t="str">
        <f ca="1">IFERROR(__xludf.DUMMYFUNCTION("""COMPUTED_VALUE"""),"MTLSZ003524A21")</f>
        <v>MTLSZ003524A21</v>
      </c>
      <c r="I444" s="2">
        <f ca="1">IFERROR(__xludf.DUMMYFUNCTION("""COMPUTED_VALUE"""),44495)</f>
        <v>44495</v>
      </c>
      <c r="J444" s="2">
        <f ca="1">IFERROR(__xludf.DUMMYFUNCTION("""COMPUTED_VALUE"""),44859)</f>
        <v>44859</v>
      </c>
    </row>
    <row r="445" spans="1:10" x14ac:dyDescent="0.25">
      <c r="A445" s="1" t="str">
        <f ca="1">IFERROR(__xludf.DUMMYFUNCTION("""COMPUTED_VALUE"""),"T(r)ollas SE")</f>
        <v>T(r)ollas SE</v>
      </c>
      <c r="B445" s="1" t="str">
        <f ca="1">IFERROR(__xludf.DUMMYFUNCTION("""COMPUTED_VALUE"""),"Bazsó Sengmany")</f>
        <v>Bazsó Sengmany</v>
      </c>
      <c r="C445" s="1"/>
      <c r="D445" s="1" t="str">
        <f ca="1">IFERROR(__xludf.DUMMYFUNCTION("""COMPUTED_VALUE"""),"Nő")</f>
        <v>Nő</v>
      </c>
      <c r="E445" s="1"/>
      <c r="F445" s="1">
        <f ca="1">IFERROR(__xludf.DUMMYFUNCTION("""COMPUTED_VALUE"""),1962)</f>
        <v>1962</v>
      </c>
      <c r="G445" s="1">
        <f ca="1">IFERROR(__xludf.DUMMYFUNCTION("""COMPUTED_VALUE"""),3067)</f>
        <v>3067</v>
      </c>
      <c r="H445" s="1" t="str">
        <f ca="1">IFERROR(__xludf.DUMMYFUNCTION("""COMPUTED_VALUE"""),"MTLSZ003067A21")</f>
        <v>MTLSZ003067A21</v>
      </c>
      <c r="I445" s="2">
        <f ca="1">IFERROR(__xludf.DUMMYFUNCTION("""COMPUTED_VALUE"""),44495)</f>
        <v>44495</v>
      </c>
      <c r="J445" s="2">
        <f ca="1">IFERROR(__xludf.DUMMYFUNCTION("""COMPUTED_VALUE"""),44859)</f>
        <v>44859</v>
      </c>
    </row>
    <row r="446" spans="1:10" x14ac:dyDescent="0.25">
      <c r="A446" s="1" t="str">
        <f ca="1">IFERROR(__xludf.DUMMYFUNCTION("""COMPUTED_VALUE"""),"T(r)ollas SE")</f>
        <v>T(r)ollas SE</v>
      </c>
      <c r="B446" s="1" t="str">
        <f ca="1">IFERROR(__xludf.DUMMYFUNCTION("""COMPUTED_VALUE"""),"Bottka Janett")</f>
        <v>Bottka Janett</v>
      </c>
      <c r="C446" s="1"/>
      <c r="D446" s="1" t="str">
        <f ca="1">IFERROR(__xludf.DUMMYFUNCTION("""COMPUTED_VALUE"""),"Nő")</f>
        <v>Nő</v>
      </c>
      <c r="E446" s="1"/>
      <c r="F446" s="1">
        <f ca="1">IFERROR(__xludf.DUMMYFUNCTION("""COMPUTED_VALUE"""),1986)</f>
        <v>1986</v>
      </c>
      <c r="G446" s="1">
        <f ca="1">IFERROR(__xludf.DUMMYFUNCTION("""COMPUTED_VALUE"""),3560)</f>
        <v>3560</v>
      </c>
      <c r="H446" s="1" t="str">
        <f ca="1">IFERROR(__xludf.DUMMYFUNCTION("""COMPUTED_VALUE"""),"MTLSZ003560A21")</f>
        <v>MTLSZ003560A21</v>
      </c>
      <c r="I446" s="2">
        <f ca="1">IFERROR(__xludf.DUMMYFUNCTION("""COMPUTED_VALUE"""),44495)</f>
        <v>44495</v>
      </c>
      <c r="J446" s="2">
        <f ca="1">IFERROR(__xludf.DUMMYFUNCTION("""COMPUTED_VALUE"""),44859)</f>
        <v>44859</v>
      </c>
    </row>
    <row r="447" spans="1:10" x14ac:dyDescent="0.25">
      <c r="A447" s="1" t="str">
        <f ca="1">IFERROR(__xludf.DUMMYFUNCTION("""COMPUTED_VALUE"""),"T(r)ollas SE")</f>
        <v>T(r)ollas SE</v>
      </c>
      <c r="B447" s="1" t="str">
        <f ca="1">IFERROR(__xludf.DUMMYFUNCTION("""COMPUTED_VALUE"""),"Fejes Orsolya")</f>
        <v>Fejes Orsolya</v>
      </c>
      <c r="C447" s="1"/>
      <c r="D447" s="1" t="str">
        <f ca="1">IFERROR(__xludf.DUMMYFUNCTION("""COMPUTED_VALUE"""),"Nő")</f>
        <v>Nő</v>
      </c>
      <c r="E447" s="1"/>
      <c r="F447" s="1">
        <f ca="1">IFERROR(__xludf.DUMMYFUNCTION("""COMPUTED_VALUE"""),1997)</f>
        <v>1997</v>
      </c>
      <c r="G447" s="1">
        <f ca="1">IFERROR(__xludf.DUMMYFUNCTION("""COMPUTED_VALUE"""),3851)</f>
        <v>3851</v>
      </c>
      <c r="H447" s="1" t="str">
        <f ca="1">IFERROR(__xludf.DUMMYFUNCTION("""COMPUTED_VALUE"""),"MTLSZ003851A21")</f>
        <v>MTLSZ003851A21</v>
      </c>
      <c r="I447" s="2">
        <f ca="1">IFERROR(__xludf.DUMMYFUNCTION("""COMPUTED_VALUE"""),44495)</f>
        <v>44495</v>
      </c>
      <c r="J447" s="2">
        <f ca="1">IFERROR(__xludf.DUMMYFUNCTION("""COMPUTED_VALUE"""),44859)</f>
        <v>44859</v>
      </c>
    </row>
    <row r="448" spans="1:10" x14ac:dyDescent="0.25">
      <c r="A448" s="1" t="str">
        <f ca="1">IFERROR(__xludf.DUMMYFUNCTION("""COMPUTED_VALUE"""),"T(r)ollas SE")</f>
        <v>T(r)ollas SE</v>
      </c>
      <c r="B448" s="1" t="str">
        <f ca="1">IFERROR(__xludf.DUMMYFUNCTION("""COMPUTED_VALUE"""),"Gazdag Ferenc")</f>
        <v>Gazdag Ferenc</v>
      </c>
      <c r="C448" s="1"/>
      <c r="D448" s="1" t="str">
        <f ca="1">IFERROR(__xludf.DUMMYFUNCTION("""COMPUTED_VALUE"""),"Férfi")</f>
        <v>Férfi</v>
      </c>
      <c r="E448" s="1"/>
      <c r="F448" s="1">
        <f ca="1">IFERROR(__xludf.DUMMYFUNCTION("""COMPUTED_VALUE"""),1975)</f>
        <v>1975</v>
      </c>
      <c r="G448" s="1">
        <f ca="1">IFERROR(__xludf.DUMMYFUNCTION("""COMPUTED_VALUE"""),3097)</f>
        <v>3097</v>
      </c>
      <c r="H448" s="1" t="str">
        <f ca="1">IFERROR(__xludf.DUMMYFUNCTION("""COMPUTED_VALUE"""),"MTLSZ003097A21")</f>
        <v>MTLSZ003097A21</v>
      </c>
      <c r="I448" s="2">
        <f ca="1">IFERROR(__xludf.DUMMYFUNCTION("""COMPUTED_VALUE"""),44495)</f>
        <v>44495</v>
      </c>
      <c r="J448" s="2">
        <f ca="1">IFERROR(__xludf.DUMMYFUNCTION("""COMPUTED_VALUE"""),44859)</f>
        <v>44859</v>
      </c>
    </row>
    <row r="449" spans="1:10" x14ac:dyDescent="0.25">
      <c r="A449" s="1" t="str">
        <f ca="1">IFERROR(__xludf.DUMMYFUNCTION("""COMPUTED_VALUE"""),"T(r)ollas SE")</f>
        <v>T(r)ollas SE</v>
      </c>
      <c r="B449" s="1" t="str">
        <f ca="1">IFERROR(__xludf.DUMMYFUNCTION("""COMPUTED_VALUE"""),"Gazdag Katalin")</f>
        <v>Gazdag Katalin</v>
      </c>
      <c r="C449" s="1"/>
      <c r="D449" s="1" t="str">
        <f ca="1">IFERROR(__xludf.DUMMYFUNCTION("""COMPUTED_VALUE"""),"Nő")</f>
        <v>Nő</v>
      </c>
      <c r="E449" s="1"/>
      <c r="F449" s="1">
        <f ca="1">IFERROR(__xludf.DUMMYFUNCTION("""COMPUTED_VALUE"""),1976)</f>
        <v>1976</v>
      </c>
      <c r="G449" s="1">
        <f ca="1">IFERROR(__xludf.DUMMYFUNCTION("""COMPUTED_VALUE"""),3107)</f>
        <v>3107</v>
      </c>
      <c r="H449" s="1" t="str">
        <f ca="1">IFERROR(__xludf.DUMMYFUNCTION("""COMPUTED_VALUE"""),"MTLSZ003107A21")</f>
        <v>MTLSZ003107A21</v>
      </c>
      <c r="I449" s="2">
        <f ca="1">IFERROR(__xludf.DUMMYFUNCTION("""COMPUTED_VALUE"""),44495)</f>
        <v>44495</v>
      </c>
      <c r="J449" s="2">
        <f ca="1">IFERROR(__xludf.DUMMYFUNCTION("""COMPUTED_VALUE"""),44859)</f>
        <v>44859</v>
      </c>
    </row>
    <row r="450" spans="1:10" x14ac:dyDescent="0.25">
      <c r="A450" s="1" t="str">
        <f ca="1">IFERROR(__xludf.DUMMYFUNCTION("""COMPUTED_VALUE"""),"T(r)ollas SE")</f>
        <v>T(r)ollas SE</v>
      </c>
      <c r="B450" s="1" t="str">
        <f ca="1">IFERROR(__xludf.DUMMYFUNCTION("""COMPUTED_VALUE"""),"Iváncsy Tamás dr.")</f>
        <v>Iváncsy Tamás dr.</v>
      </c>
      <c r="C450" s="1"/>
      <c r="D450" s="1" t="str">
        <f ca="1">IFERROR(__xludf.DUMMYFUNCTION("""COMPUTED_VALUE"""),"Férfi")</f>
        <v>Férfi</v>
      </c>
      <c r="E450" s="1"/>
      <c r="F450" s="1">
        <f ca="1">IFERROR(__xludf.DUMMYFUNCTION("""COMPUTED_VALUE"""),1976)</f>
        <v>1976</v>
      </c>
      <c r="G450" s="1">
        <f ca="1">IFERROR(__xludf.DUMMYFUNCTION("""COMPUTED_VALUE"""),3215)</f>
        <v>3215</v>
      </c>
      <c r="H450" s="1" t="str">
        <f ca="1">IFERROR(__xludf.DUMMYFUNCTION("""COMPUTED_VALUE"""),"MTLSZ003215A21")</f>
        <v>MTLSZ003215A21</v>
      </c>
      <c r="I450" s="2">
        <f ca="1">IFERROR(__xludf.DUMMYFUNCTION("""COMPUTED_VALUE"""),44495)</f>
        <v>44495</v>
      </c>
      <c r="J450" s="2">
        <f ca="1">IFERROR(__xludf.DUMMYFUNCTION("""COMPUTED_VALUE"""),44859)</f>
        <v>44859</v>
      </c>
    </row>
    <row r="451" spans="1:10" x14ac:dyDescent="0.25">
      <c r="A451" s="1" t="str">
        <f ca="1">IFERROR(__xludf.DUMMYFUNCTION("""COMPUTED_VALUE"""),"T(r)ollas SE")</f>
        <v>T(r)ollas SE</v>
      </c>
      <c r="B451" s="1" t="str">
        <f ca="1">IFERROR(__xludf.DUMMYFUNCTION("""COMPUTED_VALUE"""),"Jóljárt Dávid")</f>
        <v>Jóljárt Dávid</v>
      </c>
      <c r="C451" s="1"/>
      <c r="D451" s="1" t="str">
        <f ca="1">IFERROR(__xludf.DUMMYFUNCTION("""COMPUTED_VALUE"""),"Férfi")</f>
        <v>Férfi</v>
      </c>
      <c r="E451" s="1"/>
      <c r="F451" s="1">
        <f ca="1">IFERROR(__xludf.DUMMYFUNCTION("""COMPUTED_VALUE"""),1984)</f>
        <v>1984</v>
      </c>
      <c r="G451" s="1">
        <f ca="1">IFERROR(__xludf.DUMMYFUNCTION("""COMPUTED_VALUE"""),3359)</f>
        <v>3359</v>
      </c>
      <c r="H451" s="1" t="str">
        <f ca="1">IFERROR(__xludf.DUMMYFUNCTION("""COMPUTED_VALUE"""),"MTLSZ003359A21")</f>
        <v>MTLSZ003359A21</v>
      </c>
      <c r="I451" s="2">
        <f ca="1">IFERROR(__xludf.DUMMYFUNCTION("""COMPUTED_VALUE"""),44495)</f>
        <v>44495</v>
      </c>
      <c r="J451" s="2">
        <f ca="1">IFERROR(__xludf.DUMMYFUNCTION("""COMPUTED_VALUE"""),44859)</f>
        <v>44859</v>
      </c>
    </row>
    <row r="452" spans="1:10" x14ac:dyDescent="0.25">
      <c r="A452" s="1" t="str">
        <f ca="1">IFERROR(__xludf.DUMMYFUNCTION("""COMPUTED_VALUE"""),"T(r)ollas SE")</f>
        <v>T(r)ollas SE</v>
      </c>
      <c r="B452" s="1" t="str">
        <f ca="1">IFERROR(__xludf.DUMMYFUNCTION("""COMPUTED_VALUE"""),"Kozáriné Pozsár Krisztina")</f>
        <v>Kozáriné Pozsár Krisztina</v>
      </c>
      <c r="C452" s="1"/>
      <c r="D452" s="1" t="str">
        <f ca="1">IFERROR(__xludf.DUMMYFUNCTION("""COMPUTED_VALUE"""),"Nő")</f>
        <v>Nő</v>
      </c>
      <c r="E452" s="1"/>
      <c r="F452" s="1">
        <f ca="1">IFERROR(__xludf.DUMMYFUNCTION("""COMPUTED_VALUE"""),1972)</f>
        <v>1972</v>
      </c>
      <c r="G452" s="1">
        <f ca="1">IFERROR(__xludf.DUMMYFUNCTION("""COMPUTED_VALUE"""),3544)</f>
        <v>3544</v>
      </c>
      <c r="H452" s="1" t="str">
        <f ca="1">IFERROR(__xludf.DUMMYFUNCTION("""COMPUTED_VALUE"""),"MTLSZ003544A21")</f>
        <v>MTLSZ003544A21</v>
      </c>
      <c r="I452" s="2">
        <f ca="1">IFERROR(__xludf.DUMMYFUNCTION("""COMPUTED_VALUE"""),44495)</f>
        <v>44495</v>
      </c>
      <c r="J452" s="2">
        <f ca="1">IFERROR(__xludf.DUMMYFUNCTION("""COMPUTED_VALUE"""),44859)</f>
        <v>44859</v>
      </c>
    </row>
    <row r="453" spans="1:10" x14ac:dyDescent="0.25">
      <c r="A453" s="1" t="str">
        <f ca="1">IFERROR(__xludf.DUMMYFUNCTION("""COMPUTED_VALUE"""),"T(r)ollas SE")</f>
        <v>T(r)ollas SE</v>
      </c>
      <c r="B453" s="1" t="str">
        <f ca="1">IFERROR(__xludf.DUMMYFUNCTION("""COMPUTED_VALUE"""),"Srinivas Mandali")</f>
        <v>Srinivas Mandali</v>
      </c>
      <c r="C453" s="1"/>
      <c r="D453" s="1" t="str">
        <f ca="1">IFERROR(__xludf.DUMMYFUNCTION("""COMPUTED_VALUE"""),"Férfi")</f>
        <v>Férfi</v>
      </c>
      <c r="E453" s="1"/>
      <c r="F453" s="1">
        <f ca="1">IFERROR(__xludf.DUMMYFUNCTION("""COMPUTED_VALUE"""),1978)</f>
        <v>1978</v>
      </c>
      <c r="G453" s="1">
        <f ca="1">IFERROR(__xludf.DUMMYFUNCTION("""COMPUTED_VALUE"""),3931)</f>
        <v>3931</v>
      </c>
      <c r="H453" s="1" t="str">
        <f ca="1">IFERROR(__xludf.DUMMYFUNCTION("""COMPUTED_VALUE"""),"MTLSZ003931A21")</f>
        <v>MTLSZ003931A21</v>
      </c>
      <c r="I453" s="2">
        <f ca="1">IFERROR(__xludf.DUMMYFUNCTION("""COMPUTED_VALUE"""),44495)</f>
        <v>44495</v>
      </c>
      <c r="J453" s="2">
        <f ca="1">IFERROR(__xludf.DUMMYFUNCTION("""COMPUTED_VALUE"""),44859)</f>
        <v>44859</v>
      </c>
    </row>
    <row r="454" spans="1:10" x14ac:dyDescent="0.25">
      <c r="A454" s="1" t="str">
        <f ca="1">IFERROR(__xludf.DUMMYFUNCTION("""COMPUTED_VALUE"""),"T(r)ollas SE")</f>
        <v>T(r)ollas SE</v>
      </c>
      <c r="B454" s="1" t="str">
        <f ca="1">IFERROR(__xludf.DUMMYFUNCTION("""COMPUTED_VALUE"""),"Törtei Renáta")</f>
        <v>Törtei Renáta</v>
      </c>
      <c r="C454" s="1"/>
      <c r="D454" s="1" t="str">
        <f ca="1">IFERROR(__xludf.DUMMYFUNCTION("""COMPUTED_VALUE"""),"Nő")</f>
        <v>Nő</v>
      </c>
      <c r="E454" s="1"/>
      <c r="F454" s="1">
        <f ca="1">IFERROR(__xludf.DUMMYFUNCTION("""COMPUTED_VALUE"""),1984)</f>
        <v>1984</v>
      </c>
      <c r="G454" s="1">
        <f ca="1">IFERROR(__xludf.DUMMYFUNCTION("""COMPUTED_VALUE"""),1069)</f>
        <v>1069</v>
      </c>
      <c r="H454" s="1" t="str">
        <f ca="1">IFERROR(__xludf.DUMMYFUNCTION("""COMPUTED_VALUE"""),"MTLSZ001069A21")</f>
        <v>MTLSZ001069A21</v>
      </c>
      <c r="I454" s="2">
        <f ca="1">IFERROR(__xludf.DUMMYFUNCTION("""COMPUTED_VALUE"""),44495)</f>
        <v>44495</v>
      </c>
      <c r="J454" s="2">
        <f ca="1">IFERROR(__xludf.DUMMYFUNCTION("""COMPUTED_VALUE"""),44859)</f>
        <v>44859</v>
      </c>
    </row>
    <row r="455" spans="1:10" x14ac:dyDescent="0.25">
      <c r="A455" s="1" t="str">
        <f ca="1">IFERROR(__xludf.DUMMYFUNCTION("""COMPUTED_VALUE"""),"T(r)ollas SE")</f>
        <v>T(r)ollas SE</v>
      </c>
      <c r="B455" s="1" t="str">
        <f ca="1">IFERROR(__xludf.DUMMYFUNCTION("""COMPUTED_VALUE"""),"Tudia Izabella")</f>
        <v>Tudia Izabella</v>
      </c>
      <c r="C455" s="1"/>
      <c r="D455" s="1" t="str">
        <f ca="1">IFERROR(__xludf.DUMMYFUNCTION("""COMPUTED_VALUE"""),"Nő")</f>
        <v>Nő</v>
      </c>
      <c r="E455" s="1"/>
      <c r="F455" s="1">
        <f ca="1">IFERROR(__xludf.DUMMYFUNCTION("""COMPUTED_VALUE"""),2000)</f>
        <v>2000</v>
      </c>
      <c r="G455" s="1">
        <f ca="1">IFERROR(__xludf.DUMMYFUNCTION("""COMPUTED_VALUE"""),4719)</f>
        <v>4719</v>
      </c>
      <c r="H455" s="1" t="str">
        <f ca="1">IFERROR(__xludf.DUMMYFUNCTION("""COMPUTED_VALUE"""),"MTLSZ004719A21")</f>
        <v>MTLSZ004719A21</v>
      </c>
      <c r="I455" s="2">
        <f ca="1">IFERROR(__xludf.DUMMYFUNCTION("""COMPUTED_VALUE"""),44495)</f>
        <v>44495</v>
      </c>
      <c r="J455" s="2">
        <f ca="1">IFERROR(__xludf.DUMMYFUNCTION("""COMPUTED_VALUE"""),44859)</f>
        <v>44859</v>
      </c>
    </row>
    <row r="456" spans="1:10" x14ac:dyDescent="0.25">
      <c r="A456" s="1" t="str">
        <f ca="1">IFERROR(__xludf.DUMMYFUNCTION("""COMPUTED_VALUE"""),"T(r)ollas SE")</f>
        <v>T(r)ollas SE</v>
      </c>
      <c r="B456" s="1" t="str">
        <f ca="1">IFERROR(__xludf.DUMMYFUNCTION("""COMPUTED_VALUE"""),"Varga Miklós")</f>
        <v>Varga Miklós</v>
      </c>
      <c r="C456" s="1"/>
      <c r="D456" s="1" t="str">
        <f ca="1">IFERROR(__xludf.DUMMYFUNCTION("""COMPUTED_VALUE"""),"Férfi")</f>
        <v>Férfi</v>
      </c>
      <c r="E456" s="1"/>
      <c r="F456" s="1">
        <f ca="1">IFERROR(__xludf.DUMMYFUNCTION("""COMPUTED_VALUE"""),1987)</f>
        <v>1987</v>
      </c>
      <c r="G456" s="1">
        <f ca="1">IFERROR(__xludf.DUMMYFUNCTION("""COMPUTED_VALUE"""),2955)</f>
        <v>2955</v>
      </c>
      <c r="H456" s="1" t="str">
        <f ca="1">IFERROR(__xludf.DUMMYFUNCTION("""COMPUTED_VALUE"""),"MTLSZ002955A21")</f>
        <v>MTLSZ002955A21</v>
      </c>
      <c r="I456" s="2">
        <f ca="1">IFERROR(__xludf.DUMMYFUNCTION("""COMPUTED_VALUE"""),44495)</f>
        <v>44495</v>
      </c>
      <c r="J456" s="2">
        <f ca="1">IFERROR(__xludf.DUMMYFUNCTION("""COMPUTED_VALUE"""),44859)</f>
        <v>44859</v>
      </c>
    </row>
    <row r="457" spans="1:10" x14ac:dyDescent="0.25">
      <c r="A457" s="1" t="str">
        <f ca="1">IFERROR(__xludf.DUMMYFUNCTION("""COMPUTED_VALUE"""),"BEAC")</f>
        <v>BEAC</v>
      </c>
      <c r="B457" s="1" t="str">
        <f ca="1">IFERROR(__xludf.DUMMYFUNCTION("""COMPUTED_VALUE"""),"Sohajda Villő")</f>
        <v>Sohajda Villő</v>
      </c>
      <c r="C457" s="1"/>
      <c r="D457" s="1" t="str">
        <f ca="1">IFERROR(__xludf.DUMMYFUNCTION("""COMPUTED_VALUE"""),"Nő")</f>
        <v>Nő</v>
      </c>
      <c r="E457" s="1"/>
      <c r="F457" s="1">
        <f ca="1">IFERROR(__xludf.DUMMYFUNCTION("""COMPUTED_VALUE"""),2005)</f>
        <v>2005</v>
      </c>
      <c r="G457" s="1">
        <f ca="1">IFERROR(__xludf.DUMMYFUNCTION("""COMPUTED_VALUE"""),3399)</f>
        <v>3399</v>
      </c>
      <c r="H457" s="1" t="str">
        <f ca="1">IFERROR(__xludf.DUMMYFUNCTION("""COMPUTED_VALUE"""),"MTLSZ003399A21")</f>
        <v>MTLSZ003399A21</v>
      </c>
      <c r="I457" s="2">
        <f ca="1">IFERROR(__xludf.DUMMYFUNCTION("""COMPUTED_VALUE"""),44494)</f>
        <v>44494</v>
      </c>
      <c r="J457" s="2">
        <f ca="1">IFERROR(__xludf.DUMMYFUNCTION("""COMPUTED_VALUE"""),44858)</f>
        <v>44858</v>
      </c>
    </row>
    <row r="458" spans="1:10" x14ac:dyDescent="0.25">
      <c r="A458" s="1" t="str">
        <f ca="1">IFERROR(__xludf.DUMMYFUNCTION("""COMPUTED_VALUE"""),"DSC-SI")</f>
        <v>DSC-SI</v>
      </c>
      <c r="B458" s="1" t="str">
        <f ca="1">IFERROR(__xludf.DUMMYFUNCTION("""COMPUTED_VALUE"""),"Balogh Boglárka")</f>
        <v>Balogh Boglárka</v>
      </c>
      <c r="C458" s="1"/>
      <c r="D458" s="1" t="str">
        <f ca="1">IFERROR(__xludf.DUMMYFUNCTION("""COMPUTED_VALUE"""),"Nő")</f>
        <v>Nő</v>
      </c>
      <c r="E458" s="1"/>
      <c r="F458" s="1">
        <f ca="1">IFERROR(__xludf.DUMMYFUNCTION("""COMPUTED_VALUE"""),2005)</f>
        <v>2005</v>
      </c>
      <c r="G458" s="1">
        <f ca="1">IFERROR(__xludf.DUMMYFUNCTION("""COMPUTED_VALUE"""),3534)</f>
        <v>3534</v>
      </c>
      <c r="H458" s="1" t="str">
        <f ca="1">IFERROR(__xludf.DUMMYFUNCTION("""COMPUTED_VALUE"""),"MTLSZ003534A21")</f>
        <v>MTLSZ003534A21</v>
      </c>
      <c r="I458" s="2">
        <f ca="1">IFERROR(__xludf.DUMMYFUNCTION("""COMPUTED_VALUE"""),44494)</f>
        <v>44494</v>
      </c>
      <c r="J458" s="2">
        <f ca="1">IFERROR(__xludf.DUMMYFUNCTION("""COMPUTED_VALUE"""),44858)</f>
        <v>44858</v>
      </c>
    </row>
    <row r="459" spans="1:10" x14ac:dyDescent="0.25">
      <c r="A459" s="1" t="str">
        <f ca="1">IFERROR(__xludf.DUMMYFUNCTION("""COMPUTED_VALUE"""),"DSC-SI")</f>
        <v>DSC-SI</v>
      </c>
      <c r="B459" s="1" t="str">
        <f ca="1">IFERROR(__xludf.DUMMYFUNCTION("""COMPUTED_VALUE"""),"Béri Bernát")</f>
        <v>Béri Bernát</v>
      </c>
      <c r="C459" s="1"/>
      <c r="D459" s="1" t="str">
        <f ca="1">IFERROR(__xludf.DUMMYFUNCTION("""COMPUTED_VALUE"""),"Férfi")</f>
        <v>Férfi</v>
      </c>
      <c r="E459" s="1"/>
      <c r="F459" s="1">
        <f ca="1">IFERROR(__xludf.DUMMYFUNCTION("""COMPUTED_VALUE"""),2009)</f>
        <v>2009</v>
      </c>
      <c r="G459" s="1">
        <f ca="1">IFERROR(__xludf.DUMMYFUNCTION("""COMPUTED_VALUE"""),3036)</f>
        <v>3036</v>
      </c>
      <c r="H459" s="1" t="str">
        <f ca="1">IFERROR(__xludf.DUMMYFUNCTION("""COMPUTED_VALUE"""),"MTLSZ003036A21")</f>
        <v>MTLSZ003036A21</v>
      </c>
      <c r="I459" s="2">
        <f ca="1">IFERROR(__xludf.DUMMYFUNCTION("""COMPUTED_VALUE"""),44494)</f>
        <v>44494</v>
      </c>
      <c r="J459" s="2">
        <f ca="1">IFERROR(__xludf.DUMMYFUNCTION("""COMPUTED_VALUE"""),44858)</f>
        <v>44858</v>
      </c>
    </row>
    <row r="460" spans="1:10" x14ac:dyDescent="0.25">
      <c r="A460" s="1" t="str">
        <f ca="1">IFERROR(__xludf.DUMMYFUNCTION("""COMPUTED_VALUE"""),"DSC-SI")</f>
        <v>DSC-SI</v>
      </c>
      <c r="B460" s="1" t="str">
        <f ca="1">IFERROR(__xludf.DUMMYFUNCTION("""COMPUTED_VALUE"""),"Boros Balázs")</f>
        <v>Boros Balázs</v>
      </c>
      <c r="C460" s="1"/>
      <c r="D460" s="1" t="str">
        <f ca="1">IFERROR(__xludf.DUMMYFUNCTION("""COMPUTED_VALUE"""),"Férfi")</f>
        <v>Férfi</v>
      </c>
      <c r="E460" s="1"/>
      <c r="F460" s="1">
        <f ca="1">IFERROR(__xludf.DUMMYFUNCTION("""COMPUTED_VALUE"""),1988)</f>
        <v>1988</v>
      </c>
      <c r="G460" s="1">
        <f ca="1">IFERROR(__xludf.DUMMYFUNCTION("""COMPUTED_VALUE"""),105)</f>
        <v>105</v>
      </c>
      <c r="H460" s="1" t="str">
        <f ca="1">IFERROR(__xludf.DUMMYFUNCTION("""COMPUTED_VALUE"""),"MTLSZ000105A21")</f>
        <v>MTLSZ000105A21</v>
      </c>
      <c r="I460" s="2">
        <f ca="1">IFERROR(__xludf.DUMMYFUNCTION("""COMPUTED_VALUE"""),44494)</f>
        <v>44494</v>
      </c>
      <c r="J460" s="2">
        <f ca="1">IFERROR(__xludf.DUMMYFUNCTION("""COMPUTED_VALUE"""),44858)</f>
        <v>44858</v>
      </c>
    </row>
    <row r="461" spans="1:10" x14ac:dyDescent="0.25">
      <c r="A461" s="1" t="str">
        <f ca="1">IFERROR(__xludf.DUMMYFUNCTION("""COMPUTED_VALUE"""),"DSC-SI")</f>
        <v>DSC-SI</v>
      </c>
      <c r="B461" s="1" t="str">
        <f ca="1">IFERROR(__xludf.DUMMYFUNCTION("""COMPUTED_VALUE"""),"Csernyánszki Balázs")</f>
        <v>Csernyánszki Balázs</v>
      </c>
      <c r="C461" s="1"/>
      <c r="D461" s="1" t="str">
        <f ca="1">IFERROR(__xludf.DUMMYFUNCTION("""COMPUTED_VALUE"""),"Férfi")</f>
        <v>Férfi</v>
      </c>
      <c r="E461" s="1"/>
      <c r="F461" s="1">
        <f ca="1">IFERROR(__xludf.DUMMYFUNCTION("""COMPUTED_VALUE"""),2007)</f>
        <v>2007</v>
      </c>
      <c r="G461" s="1">
        <f ca="1">IFERROR(__xludf.DUMMYFUNCTION("""COMPUTED_VALUE"""),3038)</f>
        <v>3038</v>
      </c>
      <c r="H461" s="1" t="str">
        <f ca="1">IFERROR(__xludf.DUMMYFUNCTION("""COMPUTED_VALUE"""),"MTLSZ003038A21")</f>
        <v>MTLSZ003038A21</v>
      </c>
      <c r="I461" s="2">
        <f ca="1">IFERROR(__xludf.DUMMYFUNCTION("""COMPUTED_VALUE"""),44494)</f>
        <v>44494</v>
      </c>
      <c r="J461" s="2">
        <f ca="1">IFERROR(__xludf.DUMMYFUNCTION("""COMPUTED_VALUE"""),44858)</f>
        <v>44858</v>
      </c>
    </row>
    <row r="462" spans="1:10" x14ac:dyDescent="0.25">
      <c r="A462" s="1" t="str">
        <f ca="1">IFERROR(__xludf.DUMMYFUNCTION("""COMPUTED_VALUE"""),"DSC-SI")</f>
        <v>DSC-SI</v>
      </c>
      <c r="B462" s="1" t="str">
        <f ca="1">IFERROR(__xludf.DUMMYFUNCTION("""COMPUTED_VALUE"""),"Galla Gergő")</f>
        <v>Galla Gergő</v>
      </c>
      <c r="C462" s="1"/>
      <c r="D462" s="1" t="str">
        <f ca="1">IFERROR(__xludf.DUMMYFUNCTION("""COMPUTED_VALUE"""),"Férfi")</f>
        <v>Férfi</v>
      </c>
      <c r="E462" s="1"/>
      <c r="F462" s="1">
        <f ca="1">IFERROR(__xludf.DUMMYFUNCTION("""COMPUTED_VALUE"""),2007)</f>
        <v>2007</v>
      </c>
      <c r="G462" s="1">
        <f ca="1">IFERROR(__xludf.DUMMYFUNCTION("""COMPUTED_VALUE"""),2988)</f>
        <v>2988</v>
      </c>
      <c r="H462" s="1" t="str">
        <f ca="1">IFERROR(__xludf.DUMMYFUNCTION("""COMPUTED_VALUE"""),"MTLSZ002988A21")</f>
        <v>MTLSZ002988A21</v>
      </c>
      <c r="I462" s="2">
        <f ca="1">IFERROR(__xludf.DUMMYFUNCTION("""COMPUTED_VALUE"""),44494)</f>
        <v>44494</v>
      </c>
      <c r="J462" s="2">
        <f ca="1">IFERROR(__xludf.DUMMYFUNCTION("""COMPUTED_VALUE"""),44858)</f>
        <v>44858</v>
      </c>
    </row>
    <row r="463" spans="1:10" x14ac:dyDescent="0.25">
      <c r="A463" s="1" t="str">
        <f ca="1">IFERROR(__xludf.DUMMYFUNCTION("""COMPUTED_VALUE"""),"DSC-SI")</f>
        <v>DSC-SI</v>
      </c>
      <c r="B463" s="1" t="str">
        <f ca="1">IFERROR(__xludf.DUMMYFUNCTION("""COMPUTED_VALUE"""),"Gondáné Fórián Csilla")</f>
        <v>Gondáné Fórián Csilla</v>
      </c>
      <c r="C463" s="1"/>
      <c r="D463" s="1" t="str">
        <f ca="1">IFERROR(__xludf.DUMMYFUNCTION("""COMPUTED_VALUE"""),"Nő")</f>
        <v>Nő</v>
      </c>
      <c r="E463" s="1"/>
      <c r="F463" s="1">
        <f ca="1">IFERROR(__xludf.DUMMYFUNCTION("""COMPUTED_VALUE"""),1969)</f>
        <v>1969</v>
      </c>
      <c r="G463" s="1">
        <f ca="1">IFERROR(__xludf.DUMMYFUNCTION("""COMPUTED_VALUE"""),299)</f>
        <v>299</v>
      </c>
      <c r="H463" s="1" t="str">
        <f ca="1">IFERROR(__xludf.DUMMYFUNCTION("""COMPUTED_VALUE"""),"MTLSZ000299A21")</f>
        <v>MTLSZ000299A21</v>
      </c>
      <c r="I463" s="2">
        <f ca="1">IFERROR(__xludf.DUMMYFUNCTION("""COMPUTED_VALUE"""),44494)</f>
        <v>44494</v>
      </c>
      <c r="J463" s="2">
        <f ca="1">IFERROR(__xludf.DUMMYFUNCTION("""COMPUTED_VALUE"""),44858)</f>
        <v>44858</v>
      </c>
    </row>
    <row r="464" spans="1:10" x14ac:dyDescent="0.25">
      <c r="A464" s="1" t="str">
        <f ca="1">IFERROR(__xludf.DUMMYFUNCTION("""COMPUTED_VALUE"""),"DSC-SI")</f>
        <v>DSC-SI</v>
      </c>
      <c r="B464" s="1" t="str">
        <f ca="1">IFERROR(__xludf.DUMMYFUNCTION("""COMPUTED_VALUE"""),"Horváth Kristóf Dr.")</f>
        <v>Horváth Kristóf Dr.</v>
      </c>
      <c r="C464" s="1"/>
      <c r="D464" s="1" t="str">
        <f ca="1">IFERROR(__xludf.DUMMYFUNCTION("""COMPUTED_VALUE"""),"Férfi")</f>
        <v>Férfi</v>
      </c>
      <c r="E464" s="1"/>
      <c r="F464" s="1">
        <f ca="1">IFERROR(__xludf.DUMMYFUNCTION("""COMPUTED_VALUE"""),1977)</f>
        <v>1977</v>
      </c>
      <c r="G464" s="1">
        <f ca="1">IFERROR(__xludf.DUMMYFUNCTION("""COMPUTED_VALUE"""),375)</f>
        <v>375</v>
      </c>
      <c r="H464" s="1" t="str">
        <f ca="1">IFERROR(__xludf.DUMMYFUNCTION("""COMPUTED_VALUE"""),"MTLSZ000375A21")</f>
        <v>MTLSZ000375A21</v>
      </c>
      <c r="I464" s="2">
        <f ca="1">IFERROR(__xludf.DUMMYFUNCTION("""COMPUTED_VALUE"""),44494)</f>
        <v>44494</v>
      </c>
      <c r="J464" s="2">
        <f ca="1">IFERROR(__xludf.DUMMYFUNCTION("""COMPUTED_VALUE"""),44858)</f>
        <v>44858</v>
      </c>
    </row>
    <row r="465" spans="1:10" x14ac:dyDescent="0.25">
      <c r="A465" s="1" t="str">
        <f ca="1">IFERROR(__xludf.DUMMYFUNCTION("""COMPUTED_VALUE"""),"DSC-SI")</f>
        <v>DSC-SI</v>
      </c>
      <c r="B465" s="1" t="str">
        <f ca="1">IFERROR(__xludf.DUMMYFUNCTION("""COMPUTED_VALUE"""),"Kapitány Péter")</f>
        <v>Kapitány Péter</v>
      </c>
      <c r="C465" s="1"/>
      <c r="D465" s="1" t="str">
        <f ca="1">IFERROR(__xludf.DUMMYFUNCTION("""COMPUTED_VALUE"""),"Férfi")</f>
        <v>Férfi</v>
      </c>
      <c r="E465" s="1"/>
      <c r="F465" s="1">
        <f ca="1">IFERROR(__xludf.DUMMYFUNCTION("""COMPUTED_VALUE"""),1984)</f>
        <v>1984</v>
      </c>
      <c r="G465" s="1">
        <f ca="1">IFERROR(__xludf.DUMMYFUNCTION("""COMPUTED_VALUE"""),431)</f>
        <v>431</v>
      </c>
      <c r="H465" s="1" t="str">
        <f ca="1">IFERROR(__xludf.DUMMYFUNCTION("""COMPUTED_VALUE"""),"MTLSZ000431A21")</f>
        <v>MTLSZ000431A21</v>
      </c>
      <c r="I465" s="2">
        <f ca="1">IFERROR(__xludf.DUMMYFUNCTION("""COMPUTED_VALUE"""),44494)</f>
        <v>44494</v>
      </c>
      <c r="J465" s="2">
        <f ca="1">IFERROR(__xludf.DUMMYFUNCTION("""COMPUTED_VALUE"""),44858)</f>
        <v>44858</v>
      </c>
    </row>
    <row r="466" spans="1:10" x14ac:dyDescent="0.25">
      <c r="A466" s="1" t="str">
        <f ca="1">IFERROR(__xludf.DUMMYFUNCTION("""COMPUTED_VALUE"""),"DSC-SI")</f>
        <v>DSC-SI</v>
      </c>
      <c r="B466" s="1" t="str">
        <f ca="1">IFERROR(__xludf.DUMMYFUNCTION("""COMPUTED_VALUE"""),"Kiss Vivien")</f>
        <v>Kiss Vivien</v>
      </c>
      <c r="C466" s="1"/>
      <c r="D466" s="1" t="str">
        <f ca="1">IFERROR(__xludf.DUMMYFUNCTION("""COMPUTED_VALUE"""),"Nő")</f>
        <v>Nő</v>
      </c>
      <c r="E466" s="1"/>
      <c r="F466" s="1">
        <f ca="1">IFERROR(__xludf.DUMMYFUNCTION("""COMPUTED_VALUE"""),2006)</f>
        <v>2006</v>
      </c>
      <c r="G466" s="1">
        <f ca="1">IFERROR(__xludf.DUMMYFUNCTION("""COMPUTED_VALUE"""),3043)</f>
        <v>3043</v>
      </c>
      <c r="H466" s="1" t="str">
        <f ca="1">IFERROR(__xludf.DUMMYFUNCTION("""COMPUTED_VALUE"""),"MTLSZ003043A21")</f>
        <v>MTLSZ003043A21</v>
      </c>
      <c r="I466" s="2">
        <f ca="1">IFERROR(__xludf.DUMMYFUNCTION("""COMPUTED_VALUE"""),44494)</f>
        <v>44494</v>
      </c>
      <c r="J466" s="2">
        <f ca="1">IFERROR(__xludf.DUMMYFUNCTION("""COMPUTED_VALUE"""),44858)</f>
        <v>44858</v>
      </c>
    </row>
    <row r="467" spans="1:10" x14ac:dyDescent="0.25">
      <c r="A467" s="1" t="str">
        <f ca="1">IFERROR(__xludf.DUMMYFUNCTION("""COMPUTED_VALUE"""),"DSC-SI")</f>
        <v>DSC-SI</v>
      </c>
      <c r="B467" s="1" t="str">
        <f ca="1">IFERROR(__xludf.DUMMYFUNCTION("""COMPUTED_VALUE"""),"Kovács Lili Petra")</f>
        <v>Kovács Lili Petra</v>
      </c>
      <c r="C467" s="1"/>
      <c r="D467" s="1" t="str">
        <f ca="1">IFERROR(__xludf.DUMMYFUNCTION("""COMPUTED_VALUE"""),"Nő")</f>
        <v>Nő</v>
      </c>
      <c r="E467" s="1"/>
      <c r="F467" s="1">
        <f ca="1">IFERROR(__xludf.DUMMYFUNCTION("""COMPUTED_VALUE"""),2004)</f>
        <v>2004</v>
      </c>
      <c r="G467" s="1">
        <f ca="1">IFERROR(__xludf.DUMMYFUNCTION("""COMPUTED_VALUE"""),2990)</f>
        <v>2990</v>
      </c>
      <c r="H467" s="1" t="str">
        <f ca="1">IFERROR(__xludf.DUMMYFUNCTION("""COMPUTED_VALUE"""),"MTLSZ002990A21")</f>
        <v>MTLSZ002990A21</v>
      </c>
      <c r="I467" s="2">
        <f ca="1">IFERROR(__xludf.DUMMYFUNCTION("""COMPUTED_VALUE"""),44494)</f>
        <v>44494</v>
      </c>
      <c r="J467" s="2">
        <f ca="1">IFERROR(__xludf.DUMMYFUNCTION("""COMPUTED_VALUE"""),44858)</f>
        <v>44858</v>
      </c>
    </row>
    <row r="468" spans="1:10" x14ac:dyDescent="0.25">
      <c r="A468" s="1" t="str">
        <f ca="1">IFERROR(__xludf.DUMMYFUNCTION("""COMPUTED_VALUE"""),"DSC-SI")</f>
        <v>DSC-SI</v>
      </c>
      <c r="B468" s="1" t="str">
        <f ca="1">IFERROR(__xludf.DUMMYFUNCTION("""COMPUTED_VALUE"""),"Kovács Nóra Réka")</f>
        <v>Kovács Nóra Réka</v>
      </c>
      <c r="C468" s="1"/>
      <c r="D468" s="1" t="str">
        <f ca="1">IFERROR(__xludf.DUMMYFUNCTION("""COMPUTED_VALUE"""),"Nő")</f>
        <v>Nő</v>
      </c>
      <c r="E468" s="1"/>
      <c r="F468" s="1">
        <f ca="1">IFERROR(__xludf.DUMMYFUNCTION("""COMPUTED_VALUE"""),2004)</f>
        <v>2004</v>
      </c>
      <c r="G468" s="1">
        <f ca="1">IFERROR(__xludf.DUMMYFUNCTION("""COMPUTED_VALUE"""),2991)</f>
        <v>2991</v>
      </c>
      <c r="H468" s="1" t="str">
        <f ca="1">IFERROR(__xludf.DUMMYFUNCTION("""COMPUTED_VALUE"""),"MTLSZ002991A21")</f>
        <v>MTLSZ002991A21</v>
      </c>
      <c r="I468" s="2">
        <f ca="1">IFERROR(__xludf.DUMMYFUNCTION("""COMPUTED_VALUE"""),44494)</f>
        <v>44494</v>
      </c>
      <c r="J468" s="2">
        <f ca="1">IFERROR(__xludf.DUMMYFUNCTION("""COMPUTED_VALUE"""),44858)</f>
        <v>44858</v>
      </c>
    </row>
    <row r="469" spans="1:10" x14ac:dyDescent="0.25">
      <c r="A469" s="1" t="str">
        <f ca="1">IFERROR(__xludf.DUMMYFUNCTION("""COMPUTED_VALUE"""),"DSC-SI")</f>
        <v>DSC-SI</v>
      </c>
      <c r="B469" s="1" t="str">
        <f ca="1">IFERROR(__xludf.DUMMYFUNCTION("""COMPUTED_VALUE"""),"Lakatos Áron")</f>
        <v>Lakatos Áron</v>
      </c>
      <c r="C469" s="1"/>
      <c r="D469" s="1" t="str">
        <f ca="1">IFERROR(__xludf.DUMMYFUNCTION("""COMPUTED_VALUE"""),"Férfi")</f>
        <v>Férfi</v>
      </c>
      <c r="E469" s="1"/>
      <c r="F469" s="1">
        <f ca="1">IFERROR(__xludf.DUMMYFUNCTION("""COMPUTED_VALUE"""),2000)</f>
        <v>2000</v>
      </c>
      <c r="G469" s="1">
        <f ca="1">IFERROR(__xludf.DUMMYFUNCTION("""COMPUTED_VALUE"""),2532)</f>
        <v>2532</v>
      </c>
      <c r="H469" s="1" t="str">
        <f ca="1">IFERROR(__xludf.DUMMYFUNCTION("""COMPUTED_VALUE"""),"MTLSZ002532A21")</f>
        <v>MTLSZ002532A21</v>
      </c>
      <c r="I469" s="2">
        <f ca="1">IFERROR(__xludf.DUMMYFUNCTION("""COMPUTED_VALUE"""),44494)</f>
        <v>44494</v>
      </c>
      <c r="J469" s="2">
        <f ca="1">IFERROR(__xludf.DUMMYFUNCTION("""COMPUTED_VALUE"""),44858)</f>
        <v>44858</v>
      </c>
    </row>
    <row r="470" spans="1:10" x14ac:dyDescent="0.25">
      <c r="A470" s="1" t="str">
        <f ca="1">IFERROR(__xludf.DUMMYFUNCTION("""COMPUTED_VALUE"""),"DSC-SI")</f>
        <v>DSC-SI</v>
      </c>
      <c r="B470" s="1" t="str">
        <f ca="1">IFERROR(__xludf.DUMMYFUNCTION("""COMPUTED_VALUE"""),"Magura Anna Luca")</f>
        <v>Magura Anna Luca</v>
      </c>
      <c r="C470" s="1"/>
      <c r="D470" s="1" t="str">
        <f ca="1">IFERROR(__xludf.DUMMYFUNCTION("""COMPUTED_VALUE"""),"Nő")</f>
        <v>Nő</v>
      </c>
      <c r="E470" s="1"/>
      <c r="F470" s="1">
        <f ca="1">IFERROR(__xludf.DUMMYFUNCTION("""COMPUTED_VALUE"""),2006)</f>
        <v>2006</v>
      </c>
      <c r="G470" s="1">
        <f ca="1">IFERROR(__xludf.DUMMYFUNCTION("""COMPUTED_VALUE"""),3075)</f>
        <v>3075</v>
      </c>
      <c r="H470" s="1" t="str">
        <f ca="1">IFERROR(__xludf.DUMMYFUNCTION("""COMPUTED_VALUE"""),"MTLSZ003075A21")</f>
        <v>MTLSZ003075A21</v>
      </c>
      <c r="I470" s="2">
        <f ca="1">IFERROR(__xludf.DUMMYFUNCTION("""COMPUTED_VALUE"""),44494)</f>
        <v>44494</v>
      </c>
      <c r="J470" s="2">
        <f ca="1">IFERROR(__xludf.DUMMYFUNCTION("""COMPUTED_VALUE"""),44858)</f>
        <v>44858</v>
      </c>
    </row>
    <row r="471" spans="1:10" x14ac:dyDescent="0.25">
      <c r="A471" s="1" t="str">
        <f ca="1">IFERROR(__xludf.DUMMYFUNCTION("""COMPUTED_VALUE"""),"DSC-SI")</f>
        <v>DSC-SI</v>
      </c>
      <c r="B471" s="1" t="str">
        <f ca="1">IFERROR(__xludf.DUMMYFUNCTION("""COMPUTED_VALUE"""),"Magura Sára")</f>
        <v>Magura Sára</v>
      </c>
      <c r="C471" s="1"/>
      <c r="D471" s="1" t="str">
        <f ca="1">IFERROR(__xludf.DUMMYFUNCTION("""COMPUTED_VALUE"""),"Nő")</f>
        <v>Nő</v>
      </c>
      <c r="E471" s="1"/>
      <c r="F471" s="1">
        <f ca="1">IFERROR(__xludf.DUMMYFUNCTION("""COMPUTED_VALUE"""),2008)</f>
        <v>2008</v>
      </c>
      <c r="G471" s="1">
        <f ca="1">IFERROR(__xludf.DUMMYFUNCTION("""COMPUTED_VALUE"""),3045)</f>
        <v>3045</v>
      </c>
      <c r="H471" s="1" t="str">
        <f ca="1">IFERROR(__xludf.DUMMYFUNCTION("""COMPUTED_VALUE"""),"MTLSZ003045A21")</f>
        <v>MTLSZ003045A21</v>
      </c>
      <c r="I471" s="2">
        <f ca="1">IFERROR(__xludf.DUMMYFUNCTION("""COMPUTED_VALUE"""),44494)</f>
        <v>44494</v>
      </c>
      <c r="J471" s="2">
        <f ca="1">IFERROR(__xludf.DUMMYFUNCTION("""COMPUTED_VALUE"""),44858)</f>
        <v>44858</v>
      </c>
    </row>
    <row r="472" spans="1:10" x14ac:dyDescent="0.25">
      <c r="A472" s="1" t="str">
        <f ca="1">IFERROR(__xludf.DUMMYFUNCTION("""COMPUTED_VALUE"""),"DSC-SI")</f>
        <v>DSC-SI</v>
      </c>
      <c r="B472" s="1" t="str">
        <f ca="1">IFERROR(__xludf.DUMMYFUNCTION("""COMPUTED_VALUE"""),"Mester József Balázs")</f>
        <v>Mester József Balázs</v>
      </c>
      <c r="C472" s="1"/>
      <c r="D472" s="1" t="str">
        <f ca="1">IFERROR(__xludf.DUMMYFUNCTION("""COMPUTED_VALUE"""),"Férfi")</f>
        <v>Férfi</v>
      </c>
      <c r="E472" s="1"/>
      <c r="F472" s="1">
        <f ca="1">IFERROR(__xludf.DUMMYFUNCTION("""COMPUTED_VALUE"""),1993)</f>
        <v>1993</v>
      </c>
      <c r="G472" s="1">
        <f ca="1">IFERROR(__xludf.DUMMYFUNCTION("""COMPUTED_VALUE"""),1367)</f>
        <v>1367</v>
      </c>
      <c r="H472" s="1" t="str">
        <f ca="1">IFERROR(__xludf.DUMMYFUNCTION("""COMPUTED_VALUE"""),"MTLSZ001367A21")</f>
        <v>MTLSZ001367A21</v>
      </c>
      <c r="I472" s="2">
        <f ca="1">IFERROR(__xludf.DUMMYFUNCTION("""COMPUTED_VALUE"""),44494)</f>
        <v>44494</v>
      </c>
      <c r="J472" s="2">
        <f ca="1">IFERROR(__xludf.DUMMYFUNCTION("""COMPUTED_VALUE"""),44858)</f>
        <v>44858</v>
      </c>
    </row>
    <row r="473" spans="1:10" x14ac:dyDescent="0.25">
      <c r="A473" s="1" t="str">
        <f ca="1">IFERROR(__xludf.DUMMYFUNCTION("""COMPUTED_VALUE"""),"DSC-SI")</f>
        <v>DSC-SI</v>
      </c>
      <c r="B473" s="1" t="str">
        <f ca="1">IFERROR(__xludf.DUMMYFUNCTION("""COMPUTED_VALUE"""),"Nábrádi Bence")</f>
        <v>Nábrádi Bence</v>
      </c>
      <c r="C473" s="1"/>
      <c r="D473" s="1" t="str">
        <f ca="1">IFERROR(__xludf.DUMMYFUNCTION("""COMPUTED_VALUE"""),"Férfi")</f>
        <v>Férfi</v>
      </c>
      <c r="E473" s="1"/>
      <c r="F473" s="1">
        <f ca="1">IFERROR(__xludf.DUMMYFUNCTION("""COMPUTED_VALUE"""),2004)</f>
        <v>2004</v>
      </c>
      <c r="G473" s="1">
        <f ca="1">IFERROR(__xludf.DUMMYFUNCTION("""COMPUTED_VALUE"""),2993)</f>
        <v>2993</v>
      </c>
      <c r="H473" s="1" t="str">
        <f ca="1">IFERROR(__xludf.DUMMYFUNCTION("""COMPUTED_VALUE"""),"MTLSZ002993A21")</f>
        <v>MTLSZ002993A21</v>
      </c>
      <c r="I473" s="2">
        <f ca="1">IFERROR(__xludf.DUMMYFUNCTION("""COMPUTED_VALUE"""),44494)</f>
        <v>44494</v>
      </c>
      <c r="J473" s="2">
        <f ca="1">IFERROR(__xludf.DUMMYFUNCTION("""COMPUTED_VALUE"""),44858)</f>
        <v>44858</v>
      </c>
    </row>
    <row r="474" spans="1:10" x14ac:dyDescent="0.25">
      <c r="A474" s="1" t="str">
        <f ca="1">IFERROR(__xludf.DUMMYFUNCTION("""COMPUTED_VALUE"""),"DSC-SI")</f>
        <v>DSC-SI</v>
      </c>
      <c r="B474" s="1" t="str">
        <f ca="1">IFERROR(__xludf.DUMMYFUNCTION("""COMPUTED_VALUE"""),"Ombódi Leila")</f>
        <v>Ombódi Leila</v>
      </c>
      <c r="C474" s="1"/>
      <c r="D474" s="1" t="str">
        <f ca="1">IFERROR(__xludf.DUMMYFUNCTION("""COMPUTED_VALUE"""),"Nő")</f>
        <v>Nő</v>
      </c>
      <c r="E474" s="1"/>
      <c r="F474" s="1">
        <f ca="1">IFERROR(__xludf.DUMMYFUNCTION("""COMPUTED_VALUE"""),2001)</f>
        <v>2001</v>
      </c>
      <c r="G474" s="1">
        <f ca="1">IFERROR(__xludf.DUMMYFUNCTION("""COMPUTED_VALUE"""),2353)</f>
        <v>2353</v>
      </c>
      <c r="H474" s="1" t="str">
        <f ca="1">IFERROR(__xludf.DUMMYFUNCTION("""COMPUTED_VALUE"""),"MTLSZ002353A21")</f>
        <v>MTLSZ002353A21</v>
      </c>
      <c r="I474" s="2">
        <f ca="1">IFERROR(__xludf.DUMMYFUNCTION("""COMPUTED_VALUE"""),44494)</f>
        <v>44494</v>
      </c>
      <c r="J474" s="2">
        <f ca="1">IFERROR(__xludf.DUMMYFUNCTION("""COMPUTED_VALUE"""),44858)</f>
        <v>44858</v>
      </c>
    </row>
    <row r="475" spans="1:10" x14ac:dyDescent="0.25">
      <c r="A475" s="1" t="str">
        <f ca="1">IFERROR(__xludf.DUMMYFUNCTION("""COMPUTED_VALUE"""),"DSC-SI")</f>
        <v>DSC-SI</v>
      </c>
      <c r="B475" s="1" t="str">
        <f ca="1">IFERROR(__xludf.DUMMYFUNCTION("""COMPUTED_VALUE"""),"Orosz Tekla Anna")</f>
        <v>Orosz Tekla Anna</v>
      </c>
      <c r="C475" s="1"/>
      <c r="D475" s="1" t="str">
        <f ca="1">IFERROR(__xludf.DUMMYFUNCTION("""COMPUTED_VALUE"""),"Nő")</f>
        <v>Nő</v>
      </c>
      <c r="E475" s="1"/>
      <c r="F475" s="1">
        <f ca="1">IFERROR(__xludf.DUMMYFUNCTION("""COMPUTED_VALUE"""),2005)</f>
        <v>2005</v>
      </c>
      <c r="G475" s="1">
        <f ca="1">IFERROR(__xludf.DUMMYFUNCTION("""COMPUTED_VALUE"""),2691)</f>
        <v>2691</v>
      </c>
      <c r="H475" s="1" t="str">
        <f ca="1">IFERROR(__xludf.DUMMYFUNCTION("""COMPUTED_VALUE"""),"MTLSZ002691A21")</f>
        <v>MTLSZ002691A21</v>
      </c>
      <c r="I475" s="2">
        <f ca="1">IFERROR(__xludf.DUMMYFUNCTION("""COMPUTED_VALUE"""),44494)</f>
        <v>44494</v>
      </c>
      <c r="J475" s="2">
        <f ca="1">IFERROR(__xludf.DUMMYFUNCTION("""COMPUTED_VALUE"""),44858)</f>
        <v>44858</v>
      </c>
    </row>
    <row r="476" spans="1:10" x14ac:dyDescent="0.25">
      <c r="A476" s="1" t="str">
        <f ca="1">IFERROR(__xludf.DUMMYFUNCTION("""COMPUTED_VALUE"""),"DSC-SI")</f>
        <v>DSC-SI</v>
      </c>
      <c r="B476" s="1" t="str">
        <f ca="1">IFERROR(__xludf.DUMMYFUNCTION("""COMPUTED_VALUE"""),"Szoták Kitti")</f>
        <v>Szoták Kitti</v>
      </c>
      <c r="C476" s="1"/>
      <c r="D476" s="1" t="str">
        <f ca="1">IFERROR(__xludf.DUMMYFUNCTION("""COMPUTED_VALUE"""),"Nő")</f>
        <v>Nő</v>
      </c>
      <c r="E476" s="1"/>
      <c r="F476" s="1">
        <f ca="1">IFERROR(__xludf.DUMMYFUNCTION("""COMPUTED_VALUE"""),2001)</f>
        <v>2001</v>
      </c>
      <c r="G476" s="1">
        <f ca="1">IFERROR(__xludf.DUMMYFUNCTION("""COMPUTED_VALUE"""),2358)</f>
        <v>2358</v>
      </c>
      <c r="H476" s="1" t="str">
        <f ca="1">IFERROR(__xludf.DUMMYFUNCTION("""COMPUTED_VALUE"""),"MTLSZ002358A21")</f>
        <v>MTLSZ002358A21</v>
      </c>
      <c r="I476" s="2">
        <f ca="1">IFERROR(__xludf.DUMMYFUNCTION("""COMPUTED_VALUE"""),44494)</f>
        <v>44494</v>
      </c>
      <c r="J476" s="2">
        <f ca="1">IFERROR(__xludf.DUMMYFUNCTION("""COMPUTED_VALUE"""),44858)</f>
        <v>44858</v>
      </c>
    </row>
    <row r="477" spans="1:10" x14ac:dyDescent="0.25">
      <c r="A477" s="1" t="str">
        <f ca="1">IFERROR(__xludf.DUMMYFUNCTION("""COMPUTED_VALUE"""),"DSC-SI")</f>
        <v>DSC-SI</v>
      </c>
      <c r="B477" s="1" t="str">
        <f ca="1">IFERROR(__xludf.DUMMYFUNCTION("""COMPUTED_VALUE"""),"Tóth Kristóf")</f>
        <v>Tóth Kristóf</v>
      </c>
      <c r="C477" s="1"/>
      <c r="D477" s="1" t="str">
        <f ca="1">IFERROR(__xludf.DUMMYFUNCTION("""COMPUTED_VALUE"""),"Férfi")</f>
        <v>Férfi</v>
      </c>
      <c r="E477" s="1"/>
      <c r="F477" s="1">
        <f ca="1">IFERROR(__xludf.DUMMYFUNCTION("""COMPUTED_VALUE"""),2004)</f>
        <v>2004</v>
      </c>
      <c r="G477" s="1">
        <f ca="1">IFERROR(__xludf.DUMMYFUNCTION("""COMPUTED_VALUE"""),2361)</f>
        <v>2361</v>
      </c>
      <c r="H477" s="1" t="str">
        <f ca="1">IFERROR(__xludf.DUMMYFUNCTION("""COMPUTED_VALUE"""),"MTLSZ002361A21")</f>
        <v>MTLSZ002361A21</v>
      </c>
      <c r="I477" s="2">
        <f ca="1">IFERROR(__xludf.DUMMYFUNCTION("""COMPUTED_VALUE"""),44494)</f>
        <v>44494</v>
      </c>
      <c r="J477" s="2">
        <f ca="1">IFERROR(__xludf.DUMMYFUNCTION("""COMPUTED_VALUE"""),44858)</f>
        <v>44858</v>
      </c>
    </row>
    <row r="478" spans="1:10" x14ac:dyDescent="0.25">
      <c r="A478" s="1" t="str">
        <f ca="1">IFERROR(__xludf.DUMMYFUNCTION("""COMPUTED_VALUE"""),"DSC-SI")</f>
        <v>DSC-SI</v>
      </c>
      <c r="B478" s="1" t="str">
        <f ca="1">IFERROR(__xludf.DUMMYFUNCTION("""COMPUTED_VALUE"""),"Varga Ákos")</f>
        <v>Varga Ákos</v>
      </c>
      <c r="C478" s="1"/>
      <c r="D478" s="1" t="str">
        <f ca="1">IFERROR(__xludf.DUMMYFUNCTION("""COMPUTED_VALUE"""),"Férfi")</f>
        <v>Férfi</v>
      </c>
      <c r="E478" s="1"/>
      <c r="F478" s="1">
        <f ca="1">IFERROR(__xludf.DUMMYFUNCTION("""COMPUTED_VALUE"""),1987)</f>
        <v>1987</v>
      </c>
      <c r="G478" s="1">
        <f ca="1">IFERROR(__xludf.DUMMYFUNCTION("""COMPUTED_VALUE"""),1085)</f>
        <v>1085</v>
      </c>
      <c r="H478" s="1" t="str">
        <f ca="1">IFERROR(__xludf.DUMMYFUNCTION("""COMPUTED_VALUE"""),"MTLSZ001085A21")</f>
        <v>MTLSZ001085A21</v>
      </c>
      <c r="I478" s="2">
        <f ca="1">IFERROR(__xludf.DUMMYFUNCTION("""COMPUTED_VALUE"""),44494)</f>
        <v>44494</v>
      </c>
      <c r="J478" s="2">
        <f ca="1">IFERROR(__xludf.DUMMYFUNCTION("""COMPUTED_VALUE"""),44858)</f>
        <v>44858</v>
      </c>
    </row>
    <row r="479" spans="1:10" x14ac:dyDescent="0.25">
      <c r="A479" s="1" t="str">
        <f ca="1">IFERROR(__xludf.DUMMYFUNCTION("""COMPUTED_VALUE"""),"DSC-SI")</f>
        <v>DSC-SI</v>
      </c>
      <c r="B479" s="1" t="str">
        <f ca="1">IFERROR(__xludf.DUMMYFUNCTION("""COMPUTED_VALUE"""),"Varga Orsolya")</f>
        <v>Varga Orsolya</v>
      </c>
      <c r="C479" s="1"/>
      <c r="D479" s="1" t="str">
        <f ca="1">IFERROR(__xludf.DUMMYFUNCTION("""COMPUTED_VALUE"""),"Nő")</f>
        <v>Nő</v>
      </c>
      <c r="E479" s="1"/>
      <c r="F479" s="1">
        <f ca="1">IFERROR(__xludf.DUMMYFUNCTION("""COMPUTED_VALUE"""),1987)</f>
        <v>1987</v>
      </c>
      <c r="G479" s="1">
        <f ca="1">IFERROR(__xludf.DUMMYFUNCTION("""COMPUTED_VALUE"""),1095)</f>
        <v>1095</v>
      </c>
      <c r="H479" s="1" t="str">
        <f ca="1">IFERROR(__xludf.DUMMYFUNCTION("""COMPUTED_VALUE"""),"MTLSZ001095A21")</f>
        <v>MTLSZ001095A21</v>
      </c>
      <c r="I479" s="2">
        <f ca="1">IFERROR(__xludf.DUMMYFUNCTION("""COMPUTED_VALUE"""),44494)</f>
        <v>44494</v>
      </c>
      <c r="J479" s="2">
        <f ca="1">IFERROR(__xludf.DUMMYFUNCTION("""COMPUTED_VALUE"""),44858)</f>
        <v>44858</v>
      </c>
    </row>
    <row r="480" spans="1:10" x14ac:dyDescent="0.25">
      <c r="A480" s="1" t="str">
        <f ca="1">IFERROR(__xludf.DUMMYFUNCTION("""COMPUTED_VALUE"""),"Veszprémi TE")</f>
        <v>Veszprémi TE</v>
      </c>
      <c r="B480" s="1" t="str">
        <f ca="1">IFERROR(__xludf.DUMMYFUNCTION("""COMPUTED_VALUE"""),"Csertán György dr.")</f>
        <v>Csertán György dr.</v>
      </c>
      <c r="C480" s="1"/>
      <c r="D480" s="1" t="str">
        <f ca="1">IFERROR(__xludf.DUMMYFUNCTION("""COMPUTED_VALUE"""),"Férfi")</f>
        <v>Férfi</v>
      </c>
      <c r="E480" s="1"/>
      <c r="F480" s="1">
        <f ca="1">IFERROR(__xludf.DUMMYFUNCTION("""COMPUTED_VALUE"""),1968)</f>
        <v>1968</v>
      </c>
      <c r="G480" s="1">
        <f ca="1">IFERROR(__xludf.DUMMYFUNCTION("""COMPUTED_VALUE"""),3225)</f>
        <v>3225</v>
      </c>
      <c r="H480" s="1" t="str">
        <f ca="1">IFERROR(__xludf.DUMMYFUNCTION("""COMPUTED_VALUE"""),"MTLSZ003225A21")</f>
        <v>MTLSZ003225A21</v>
      </c>
      <c r="I480" s="2">
        <f ca="1">IFERROR(__xludf.DUMMYFUNCTION("""COMPUTED_VALUE"""),44494)</f>
        <v>44494</v>
      </c>
      <c r="J480" s="2">
        <f ca="1">IFERROR(__xludf.DUMMYFUNCTION("""COMPUTED_VALUE"""),44858)</f>
        <v>44858</v>
      </c>
    </row>
    <row r="481" spans="1:10" x14ac:dyDescent="0.25">
      <c r="A481" s="1" t="str">
        <f ca="1">IFERROR(__xludf.DUMMYFUNCTION("""COMPUTED_VALUE"""),"Veszprémi TE")</f>
        <v>Veszprémi TE</v>
      </c>
      <c r="B481" s="1" t="str">
        <f ca="1">IFERROR(__xludf.DUMMYFUNCTION("""COMPUTED_VALUE"""),"Csikné Herczeg Kata")</f>
        <v>Csikné Herczeg Kata</v>
      </c>
      <c r="C481" s="1"/>
      <c r="D481" s="1" t="str">
        <f ca="1">IFERROR(__xludf.DUMMYFUNCTION("""COMPUTED_VALUE"""),"Nő")</f>
        <v>Nő</v>
      </c>
      <c r="E481" s="1"/>
      <c r="F481" s="1">
        <f ca="1">IFERROR(__xludf.DUMMYFUNCTION("""COMPUTED_VALUE"""),1988)</f>
        <v>1988</v>
      </c>
      <c r="G481" s="1">
        <f ca="1">IFERROR(__xludf.DUMMYFUNCTION("""COMPUTED_VALUE"""),1373)</f>
        <v>1373</v>
      </c>
      <c r="H481" s="1" t="str">
        <f ca="1">IFERROR(__xludf.DUMMYFUNCTION("""COMPUTED_VALUE"""),"MTLSZ001373A21")</f>
        <v>MTLSZ001373A21</v>
      </c>
      <c r="I481" s="2">
        <f ca="1">IFERROR(__xludf.DUMMYFUNCTION("""COMPUTED_VALUE"""),44494)</f>
        <v>44494</v>
      </c>
      <c r="J481" s="2">
        <f ca="1">IFERROR(__xludf.DUMMYFUNCTION("""COMPUTED_VALUE"""),44858)</f>
        <v>44858</v>
      </c>
    </row>
    <row r="482" spans="1:10" x14ac:dyDescent="0.25">
      <c r="A482" s="1" t="str">
        <f ca="1">IFERROR(__xludf.DUMMYFUNCTION("""COMPUTED_VALUE"""),"Veszprémi TE")</f>
        <v>Veszprémi TE</v>
      </c>
      <c r="B482" s="1" t="str">
        <f ca="1">IFERROR(__xludf.DUMMYFUNCTION("""COMPUTED_VALUE"""),"Fodor Márton")</f>
        <v>Fodor Márton</v>
      </c>
      <c r="C482" s="1"/>
      <c r="D482" s="1" t="str">
        <f ca="1">IFERROR(__xludf.DUMMYFUNCTION("""COMPUTED_VALUE"""),"Férfi")</f>
        <v>Férfi</v>
      </c>
      <c r="E482" s="1"/>
      <c r="F482" s="1">
        <f ca="1">IFERROR(__xludf.DUMMYFUNCTION("""COMPUTED_VALUE"""),1981)</f>
        <v>1981</v>
      </c>
      <c r="G482" s="1">
        <f ca="1">IFERROR(__xludf.DUMMYFUNCTION("""COMPUTED_VALUE"""),1773)</f>
        <v>1773</v>
      </c>
      <c r="H482" s="1" t="str">
        <f ca="1">IFERROR(__xludf.DUMMYFUNCTION("""COMPUTED_VALUE"""),"MTLSZ001773A21")</f>
        <v>MTLSZ001773A21</v>
      </c>
      <c r="I482" s="2">
        <f ca="1">IFERROR(__xludf.DUMMYFUNCTION("""COMPUTED_VALUE"""),44494)</f>
        <v>44494</v>
      </c>
      <c r="J482" s="2">
        <f ca="1">IFERROR(__xludf.DUMMYFUNCTION("""COMPUTED_VALUE"""),44858)</f>
        <v>44858</v>
      </c>
    </row>
    <row r="483" spans="1:10" x14ac:dyDescent="0.25">
      <c r="A483" s="1" t="str">
        <f ca="1">IFERROR(__xludf.DUMMYFUNCTION("""COMPUTED_VALUE"""),"Veszprémi TE")</f>
        <v>Veszprémi TE</v>
      </c>
      <c r="B483" s="1" t="str">
        <f ca="1">IFERROR(__xludf.DUMMYFUNCTION("""COMPUTED_VALUE"""),"Jusztin-Majercsik Lívia")</f>
        <v>Jusztin-Majercsik Lívia</v>
      </c>
      <c r="C483" s="1"/>
      <c r="D483" s="1" t="str">
        <f ca="1">IFERROR(__xludf.DUMMYFUNCTION("""COMPUTED_VALUE"""),"Nő")</f>
        <v>Nő</v>
      </c>
      <c r="E483" s="1"/>
      <c r="F483" s="1">
        <f ca="1">IFERROR(__xludf.DUMMYFUNCTION("""COMPUTED_VALUE"""),1985)</f>
        <v>1985</v>
      </c>
      <c r="G483" s="1">
        <f ca="1">IFERROR(__xludf.DUMMYFUNCTION("""COMPUTED_VALUE"""),1701)</f>
        <v>1701</v>
      </c>
      <c r="H483" s="1" t="str">
        <f ca="1">IFERROR(__xludf.DUMMYFUNCTION("""COMPUTED_VALUE"""),"MTLSZ001701A21")</f>
        <v>MTLSZ001701A21</v>
      </c>
      <c r="I483" s="2">
        <f ca="1">IFERROR(__xludf.DUMMYFUNCTION("""COMPUTED_VALUE"""),44494)</f>
        <v>44494</v>
      </c>
      <c r="J483" s="2">
        <f ca="1">IFERROR(__xludf.DUMMYFUNCTION("""COMPUTED_VALUE"""),44858)</f>
        <v>44858</v>
      </c>
    </row>
    <row r="484" spans="1:10" x14ac:dyDescent="0.25">
      <c r="A484" s="1" t="str">
        <f ca="1">IFERROR(__xludf.DUMMYFUNCTION("""COMPUTED_VALUE"""),"Veszprémi TE")</f>
        <v>Veszprémi TE</v>
      </c>
      <c r="B484" s="1" t="str">
        <f ca="1">IFERROR(__xludf.DUMMYFUNCTION("""COMPUTED_VALUE"""),"Kárpáti Brigitta")</f>
        <v>Kárpáti Brigitta</v>
      </c>
      <c r="C484" s="1"/>
      <c r="D484" s="1" t="str">
        <f ca="1">IFERROR(__xludf.DUMMYFUNCTION("""COMPUTED_VALUE"""),"Nő")</f>
        <v>Nő</v>
      </c>
      <c r="E484" s="1"/>
      <c r="F484" s="1">
        <f ca="1">IFERROR(__xludf.DUMMYFUNCTION("""COMPUTED_VALUE"""),2003)</f>
        <v>2003</v>
      </c>
      <c r="G484" s="1">
        <f ca="1">IFERROR(__xludf.DUMMYFUNCTION("""COMPUTED_VALUE"""),3229)</f>
        <v>3229</v>
      </c>
      <c r="H484" s="1" t="str">
        <f ca="1">IFERROR(__xludf.DUMMYFUNCTION("""COMPUTED_VALUE"""),"MTLSZ003229A21")</f>
        <v>MTLSZ003229A21</v>
      </c>
      <c r="I484" s="2">
        <f ca="1">IFERROR(__xludf.DUMMYFUNCTION("""COMPUTED_VALUE"""),44494)</f>
        <v>44494</v>
      </c>
      <c r="J484" s="2">
        <f ca="1">IFERROR(__xludf.DUMMYFUNCTION("""COMPUTED_VALUE"""),44858)</f>
        <v>44858</v>
      </c>
    </row>
    <row r="485" spans="1:10" x14ac:dyDescent="0.25">
      <c r="A485" s="1" t="str">
        <f ca="1">IFERROR(__xludf.DUMMYFUNCTION("""COMPUTED_VALUE"""),"Veszprémi TE")</f>
        <v>Veszprémi TE</v>
      </c>
      <c r="B485" s="1" t="str">
        <f ca="1">IFERROR(__xludf.DUMMYFUNCTION("""COMPUTED_VALUE"""),"Kólinger Dóra")</f>
        <v>Kólinger Dóra</v>
      </c>
      <c r="C485" s="1"/>
      <c r="D485" s="1" t="str">
        <f ca="1">IFERROR(__xludf.DUMMYFUNCTION("""COMPUTED_VALUE"""),"Nő")</f>
        <v>Nő</v>
      </c>
      <c r="E485" s="1"/>
      <c r="F485" s="1">
        <f ca="1">IFERROR(__xludf.DUMMYFUNCTION("""COMPUTED_VALUE"""),1988)</f>
        <v>1988</v>
      </c>
      <c r="G485" s="1">
        <f ca="1">IFERROR(__xludf.DUMMYFUNCTION("""COMPUTED_VALUE"""),3227)</f>
        <v>3227</v>
      </c>
      <c r="H485" s="1" t="str">
        <f ca="1">IFERROR(__xludf.DUMMYFUNCTION("""COMPUTED_VALUE"""),"MTLSZ003227A21")</f>
        <v>MTLSZ003227A21</v>
      </c>
      <c r="I485" s="2">
        <f ca="1">IFERROR(__xludf.DUMMYFUNCTION("""COMPUTED_VALUE"""),44494)</f>
        <v>44494</v>
      </c>
      <c r="J485" s="2">
        <f ca="1">IFERROR(__xludf.DUMMYFUNCTION("""COMPUTED_VALUE"""),44858)</f>
        <v>44858</v>
      </c>
    </row>
    <row r="486" spans="1:10" x14ac:dyDescent="0.25">
      <c r="A486" s="1" t="str">
        <f ca="1">IFERROR(__xludf.DUMMYFUNCTION("""COMPUTED_VALUE"""),"Veszprémi TE")</f>
        <v>Veszprémi TE</v>
      </c>
      <c r="B486" s="1" t="str">
        <f ca="1">IFERROR(__xludf.DUMMYFUNCTION("""COMPUTED_VALUE"""),"Kósa Katalin")</f>
        <v>Kósa Katalin</v>
      </c>
      <c r="C486" s="1"/>
      <c r="D486" s="1" t="str">
        <f ca="1">IFERROR(__xludf.DUMMYFUNCTION("""COMPUTED_VALUE"""),"Nő")</f>
        <v>Nő</v>
      </c>
      <c r="E486" s="1"/>
      <c r="F486" s="1">
        <f ca="1">IFERROR(__xludf.DUMMYFUNCTION("""COMPUTED_VALUE"""),1971)</f>
        <v>1971</v>
      </c>
      <c r="G486" s="1">
        <f ca="1">IFERROR(__xludf.DUMMYFUNCTION("""COMPUTED_VALUE"""),523)</f>
        <v>523</v>
      </c>
      <c r="H486" s="1" t="str">
        <f ca="1">IFERROR(__xludf.DUMMYFUNCTION("""COMPUTED_VALUE"""),"MTLSZ000523A21")</f>
        <v>MTLSZ000523A21</v>
      </c>
      <c r="I486" s="2">
        <f ca="1">IFERROR(__xludf.DUMMYFUNCTION("""COMPUTED_VALUE"""),44494)</f>
        <v>44494</v>
      </c>
      <c r="J486" s="2">
        <f ca="1">IFERROR(__xludf.DUMMYFUNCTION("""COMPUTED_VALUE"""),44858)</f>
        <v>44858</v>
      </c>
    </row>
    <row r="487" spans="1:10" x14ac:dyDescent="0.25">
      <c r="A487" s="1" t="str">
        <f ca="1">IFERROR(__xludf.DUMMYFUNCTION("""COMPUTED_VALUE"""),"Veszprémi TE")</f>
        <v>Veszprémi TE</v>
      </c>
      <c r="B487" s="1" t="str">
        <f ca="1">IFERROR(__xludf.DUMMYFUNCTION("""COMPUTED_VALUE"""),"Kovács Attila")</f>
        <v>Kovács Attila</v>
      </c>
      <c r="C487" s="1"/>
      <c r="D487" s="1" t="str">
        <f ca="1">IFERROR(__xludf.DUMMYFUNCTION("""COMPUTED_VALUE"""),"Férfi")</f>
        <v>Férfi</v>
      </c>
      <c r="E487" s="1"/>
      <c r="F487" s="1">
        <f ca="1">IFERROR(__xludf.DUMMYFUNCTION("""COMPUTED_VALUE"""),1986)</f>
        <v>1986</v>
      </c>
      <c r="G487" s="1">
        <f ca="1">IFERROR(__xludf.DUMMYFUNCTION("""COMPUTED_VALUE"""),3228)</f>
        <v>3228</v>
      </c>
      <c r="H487" s="1" t="str">
        <f ca="1">IFERROR(__xludf.DUMMYFUNCTION("""COMPUTED_VALUE"""),"MTLSZ003228A21")</f>
        <v>MTLSZ003228A21</v>
      </c>
      <c r="I487" s="2">
        <f ca="1">IFERROR(__xludf.DUMMYFUNCTION("""COMPUTED_VALUE"""),44494)</f>
        <v>44494</v>
      </c>
      <c r="J487" s="2">
        <f ca="1">IFERROR(__xludf.DUMMYFUNCTION("""COMPUTED_VALUE"""),44858)</f>
        <v>44858</v>
      </c>
    </row>
    <row r="488" spans="1:10" x14ac:dyDescent="0.25">
      <c r="A488" s="1" t="str">
        <f ca="1">IFERROR(__xludf.DUMMYFUNCTION("""COMPUTED_VALUE"""),"Veszprémi TE")</f>
        <v>Veszprémi TE</v>
      </c>
      <c r="B488" s="1" t="str">
        <f ca="1">IFERROR(__xludf.DUMMYFUNCTION("""COMPUTED_VALUE"""),"Montli Gábor")</f>
        <v>Montli Gábor</v>
      </c>
      <c r="C488" s="1"/>
      <c r="D488" s="1" t="str">
        <f ca="1">IFERROR(__xludf.DUMMYFUNCTION("""COMPUTED_VALUE"""),"Férfi")</f>
        <v>Férfi</v>
      </c>
      <c r="E488" s="1"/>
      <c r="F488" s="1">
        <f ca="1">IFERROR(__xludf.DUMMYFUNCTION("""COMPUTED_VALUE"""),1982)</f>
        <v>1982</v>
      </c>
      <c r="G488" s="1">
        <f ca="1">IFERROR(__xludf.DUMMYFUNCTION("""COMPUTED_VALUE"""),2983)</f>
        <v>2983</v>
      </c>
      <c r="H488" s="1" t="str">
        <f ca="1">IFERROR(__xludf.DUMMYFUNCTION("""COMPUTED_VALUE"""),"MTLSZ002983A21")</f>
        <v>MTLSZ002983A21</v>
      </c>
      <c r="I488" s="2">
        <f ca="1">IFERROR(__xludf.DUMMYFUNCTION("""COMPUTED_VALUE"""),44494)</f>
        <v>44494</v>
      </c>
      <c r="J488" s="2">
        <f ca="1">IFERROR(__xludf.DUMMYFUNCTION("""COMPUTED_VALUE"""),44858)</f>
        <v>44858</v>
      </c>
    </row>
    <row r="489" spans="1:10" x14ac:dyDescent="0.25">
      <c r="A489" s="1" t="str">
        <f ca="1">IFERROR(__xludf.DUMMYFUNCTION("""COMPUTED_VALUE"""),"Veszprémi TE")</f>
        <v>Veszprémi TE</v>
      </c>
      <c r="B489" s="1" t="str">
        <f ca="1">IFERROR(__xludf.DUMMYFUNCTION("""COMPUTED_VALUE"""),"Nagy Judit")</f>
        <v>Nagy Judit</v>
      </c>
      <c r="C489" s="1"/>
      <c r="D489" s="1" t="str">
        <f ca="1">IFERROR(__xludf.DUMMYFUNCTION("""COMPUTED_VALUE"""),"Nő")</f>
        <v>Nő</v>
      </c>
      <c r="E489" s="1"/>
      <c r="F489" s="1">
        <f ca="1">IFERROR(__xludf.DUMMYFUNCTION("""COMPUTED_VALUE"""),1990)</f>
        <v>1990</v>
      </c>
      <c r="G489" s="1">
        <f ca="1">IFERROR(__xludf.DUMMYFUNCTION("""COMPUTED_VALUE"""),2985)</f>
        <v>2985</v>
      </c>
      <c r="H489" s="1" t="str">
        <f ca="1">IFERROR(__xludf.DUMMYFUNCTION("""COMPUTED_VALUE"""),"MTLSZ002985A21")</f>
        <v>MTLSZ002985A21</v>
      </c>
      <c r="I489" s="2">
        <f ca="1">IFERROR(__xludf.DUMMYFUNCTION("""COMPUTED_VALUE"""),44494)</f>
        <v>44494</v>
      </c>
      <c r="J489" s="2">
        <f ca="1">IFERROR(__xludf.DUMMYFUNCTION("""COMPUTED_VALUE"""),44858)</f>
        <v>44858</v>
      </c>
    </row>
    <row r="490" spans="1:10" x14ac:dyDescent="0.25">
      <c r="A490" s="1" t="str">
        <f ca="1">IFERROR(__xludf.DUMMYFUNCTION("""COMPUTED_VALUE"""),"Veszprémi TE")</f>
        <v>Veszprémi TE</v>
      </c>
      <c r="B490" s="1" t="str">
        <f ca="1">IFERROR(__xludf.DUMMYFUNCTION("""COMPUTED_VALUE"""),"Rompos István")</f>
        <v>Rompos István</v>
      </c>
      <c r="C490" s="1"/>
      <c r="D490" s="1" t="str">
        <f ca="1">IFERROR(__xludf.DUMMYFUNCTION("""COMPUTED_VALUE"""),"Férfi")</f>
        <v>Férfi</v>
      </c>
      <c r="E490" s="1"/>
      <c r="F490" s="1">
        <f ca="1">IFERROR(__xludf.DUMMYFUNCTION("""COMPUTED_VALUE"""),1975)</f>
        <v>1975</v>
      </c>
      <c r="G490" s="1">
        <f ca="1">IFERROR(__xludf.DUMMYFUNCTION("""COMPUTED_VALUE"""),2981)</f>
        <v>2981</v>
      </c>
      <c r="H490" s="1" t="str">
        <f ca="1">IFERROR(__xludf.DUMMYFUNCTION("""COMPUTED_VALUE"""),"MTLSZ002981A21")</f>
        <v>MTLSZ002981A21</v>
      </c>
      <c r="I490" s="2">
        <f ca="1">IFERROR(__xludf.DUMMYFUNCTION("""COMPUTED_VALUE"""),44494)</f>
        <v>44494</v>
      </c>
      <c r="J490" s="2">
        <f ca="1">IFERROR(__xludf.DUMMYFUNCTION("""COMPUTED_VALUE"""),44858)</f>
        <v>44858</v>
      </c>
    </row>
    <row r="491" spans="1:10" x14ac:dyDescent="0.25">
      <c r="A491" s="1" t="str">
        <f ca="1">IFERROR(__xludf.DUMMYFUNCTION("""COMPUTED_VALUE"""),"Veszprémi TE")</f>
        <v>Veszprémi TE</v>
      </c>
      <c r="B491" s="1" t="str">
        <f ca="1">IFERROR(__xludf.DUMMYFUNCTION("""COMPUTED_VALUE"""),"Samu Balázs")</f>
        <v>Samu Balázs</v>
      </c>
      <c r="C491" s="1"/>
      <c r="D491" s="1" t="str">
        <f ca="1">IFERROR(__xludf.DUMMYFUNCTION("""COMPUTED_VALUE"""),"Férfi")</f>
        <v>Férfi</v>
      </c>
      <c r="E491" s="1"/>
      <c r="F491" s="1">
        <f ca="1">IFERROR(__xludf.DUMMYFUNCTION("""COMPUTED_VALUE"""),1991)</f>
        <v>1991</v>
      </c>
      <c r="G491" s="1">
        <f ca="1">IFERROR(__xludf.DUMMYFUNCTION("""COMPUTED_VALUE"""),826)</f>
        <v>826</v>
      </c>
      <c r="H491" s="1" t="str">
        <f ca="1">IFERROR(__xludf.DUMMYFUNCTION("""COMPUTED_VALUE"""),"MTLSZ000826A21")</f>
        <v>MTLSZ000826A21</v>
      </c>
      <c r="I491" s="2">
        <f ca="1">IFERROR(__xludf.DUMMYFUNCTION("""COMPUTED_VALUE"""),44494)</f>
        <v>44494</v>
      </c>
      <c r="J491" s="2">
        <f ca="1">IFERROR(__xludf.DUMMYFUNCTION("""COMPUTED_VALUE"""),44858)</f>
        <v>44858</v>
      </c>
    </row>
    <row r="492" spans="1:10" x14ac:dyDescent="0.25">
      <c r="A492" s="1" t="str">
        <f ca="1">IFERROR(__xludf.DUMMYFUNCTION("""COMPUTED_VALUE"""),"Veszprémi TE")</f>
        <v>Veszprémi TE</v>
      </c>
      <c r="B492" s="1" t="str">
        <f ca="1">IFERROR(__xludf.DUMMYFUNCTION("""COMPUTED_VALUE"""),"Szentpéteri Gábor")</f>
        <v>Szentpéteri Gábor</v>
      </c>
      <c r="C492" s="1"/>
      <c r="D492" s="1" t="str">
        <f ca="1">IFERROR(__xludf.DUMMYFUNCTION("""COMPUTED_VALUE"""),"Férfi")</f>
        <v>Férfi</v>
      </c>
      <c r="E492" s="1"/>
      <c r="F492" s="1">
        <f ca="1">IFERROR(__xludf.DUMMYFUNCTION("""COMPUTED_VALUE"""),1984)</f>
        <v>1984</v>
      </c>
      <c r="G492" s="1">
        <f ca="1">IFERROR(__xludf.DUMMYFUNCTION("""COMPUTED_VALUE"""),940)</f>
        <v>940</v>
      </c>
      <c r="H492" s="1" t="str">
        <f ca="1">IFERROR(__xludf.DUMMYFUNCTION("""COMPUTED_VALUE"""),"MTLSZ000940A21")</f>
        <v>MTLSZ000940A21</v>
      </c>
      <c r="I492" s="2">
        <f ca="1">IFERROR(__xludf.DUMMYFUNCTION("""COMPUTED_VALUE"""),44494)</f>
        <v>44494</v>
      </c>
      <c r="J492" s="2">
        <f ca="1">IFERROR(__xludf.DUMMYFUNCTION("""COMPUTED_VALUE"""),44858)</f>
        <v>44858</v>
      </c>
    </row>
    <row r="493" spans="1:10" x14ac:dyDescent="0.25">
      <c r="A493" s="1" t="str">
        <f ca="1">IFERROR(__xludf.DUMMYFUNCTION("""COMPUTED_VALUE"""),"Veszprémi TE")</f>
        <v>Veszprémi TE</v>
      </c>
      <c r="B493" s="1" t="str">
        <f ca="1">IFERROR(__xludf.DUMMYFUNCTION("""COMPUTED_VALUE"""),"Varga Orsolya")</f>
        <v>Varga Orsolya</v>
      </c>
      <c r="C493" s="1"/>
      <c r="D493" s="1" t="str">
        <f ca="1">IFERROR(__xludf.DUMMYFUNCTION("""COMPUTED_VALUE"""),"Nő")</f>
        <v>Nő</v>
      </c>
      <c r="E493" s="1"/>
      <c r="F493" s="1">
        <f ca="1">IFERROR(__xludf.DUMMYFUNCTION("""COMPUTED_VALUE"""),1991)</f>
        <v>1991</v>
      </c>
      <c r="G493" s="1">
        <f ca="1">IFERROR(__xludf.DUMMYFUNCTION("""COMPUTED_VALUE"""),2588)</f>
        <v>2588</v>
      </c>
      <c r="H493" s="1" t="str">
        <f ca="1">IFERROR(__xludf.DUMMYFUNCTION("""COMPUTED_VALUE"""),"MTLSZ002588A21")</f>
        <v>MTLSZ002588A21</v>
      </c>
      <c r="I493" s="2">
        <f ca="1">IFERROR(__xludf.DUMMYFUNCTION("""COMPUTED_VALUE"""),44494)</f>
        <v>44494</v>
      </c>
      <c r="J493" s="2">
        <f ca="1">IFERROR(__xludf.DUMMYFUNCTION("""COMPUTED_VALUE"""),44858)</f>
        <v>44858</v>
      </c>
    </row>
    <row r="494" spans="1:10" x14ac:dyDescent="0.25">
      <c r="A494" s="1" t="str">
        <f ca="1">IFERROR(__xludf.DUMMYFUNCTION("""COMPUTED_VALUE"""),"BEAC")</f>
        <v>BEAC</v>
      </c>
      <c r="B494" s="1" t="str">
        <f ca="1">IFERROR(__xludf.DUMMYFUNCTION("""COMPUTED_VALUE"""),"Dernovics Eszter Dalma")</f>
        <v>Dernovics Eszter Dalma</v>
      </c>
      <c r="C494" s="1"/>
      <c r="D494" s="1" t="str">
        <f ca="1">IFERROR(__xludf.DUMMYFUNCTION("""COMPUTED_VALUE"""),"Nő")</f>
        <v>Nő</v>
      </c>
      <c r="E494" s="1"/>
      <c r="F494" s="1">
        <f ca="1">IFERROR(__xludf.DUMMYFUNCTION("""COMPUTED_VALUE"""),2004)</f>
        <v>2004</v>
      </c>
      <c r="G494" s="1">
        <f ca="1">IFERROR(__xludf.DUMMYFUNCTION("""COMPUTED_VALUE"""),3081)</f>
        <v>3081</v>
      </c>
      <c r="H494" s="1" t="str">
        <f ca="1">IFERROR(__xludf.DUMMYFUNCTION("""COMPUTED_VALUE"""),"MTLSZ003081A21")</f>
        <v>MTLSZ003081A21</v>
      </c>
      <c r="I494" s="2">
        <f ca="1">IFERROR(__xludf.DUMMYFUNCTION("""COMPUTED_VALUE"""),44493)</f>
        <v>44493</v>
      </c>
      <c r="J494" s="2">
        <f ca="1">IFERROR(__xludf.DUMMYFUNCTION("""COMPUTED_VALUE"""),44857)</f>
        <v>44857</v>
      </c>
    </row>
    <row r="495" spans="1:10" x14ac:dyDescent="0.25">
      <c r="A495" s="1" t="str">
        <f ca="1">IFERROR(__xludf.DUMMYFUNCTION("""COMPUTED_VALUE"""),"BEAC")</f>
        <v>BEAC</v>
      </c>
      <c r="B495" s="1" t="str">
        <f ca="1">IFERROR(__xludf.DUMMYFUNCTION("""COMPUTED_VALUE"""),"Holtzer Eszter Magdolna")</f>
        <v>Holtzer Eszter Magdolna</v>
      </c>
      <c r="C495" s="1"/>
      <c r="D495" s="1" t="str">
        <f ca="1">IFERROR(__xludf.DUMMYFUNCTION("""COMPUTED_VALUE"""),"Nő")</f>
        <v>Nő</v>
      </c>
      <c r="E495" s="1"/>
      <c r="F495" s="1">
        <f ca="1">IFERROR(__xludf.DUMMYFUNCTION("""COMPUTED_VALUE"""),2004)</f>
        <v>2004</v>
      </c>
      <c r="G495" s="1">
        <f ca="1">IFERROR(__xludf.DUMMYFUNCTION("""COMPUTED_VALUE"""),3400)</f>
        <v>3400</v>
      </c>
      <c r="H495" s="1" t="str">
        <f ca="1">IFERROR(__xludf.DUMMYFUNCTION("""COMPUTED_VALUE"""),"MTLSZ003400A21")</f>
        <v>MTLSZ003400A21</v>
      </c>
      <c r="I495" s="2">
        <f ca="1">IFERROR(__xludf.DUMMYFUNCTION("""COMPUTED_VALUE"""),44493)</f>
        <v>44493</v>
      </c>
      <c r="J495" s="2">
        <f ca="1">IFERROR(__xludf.DUMMYFUNCTION("""COMPUTED_VALUE"""),44857)</f>
        <v>44857</v>
      </c>
    </row>
    <row r="496" spans="1:10" x14ac:dyDescent="0.25">
      <c r="A496" s="1" t="str">
        <f ca="1">IFERROR(__xludf.DUMMYFUNCTION("""COMPUTED_VALUE"""),"Ludovika SE")</f>
        <v>Ludovika SE</v>
      </c>
      <c r="B496" s="1" t="str">
        <f ca="1">IFERROR(__xludf.DUMMYFUNCTION("""COMPUTED_VALUE"""),"Balázs Gergő")</f>
        <v>Balázs Gergő</v>
      </c>
      <c r="C496" s="1"/>
      <c r="D496" s="1" t="str">
        <f ca="1">IFERROR(__xludf.DUMMYFUNCTION("""COMPUTED_VALUE"""),"Férfi")</f>
        <v>Férfi</v>
      </c>
      <c r="E496" s="1"/>
      <c r="F496" s="1">
        <f ca="1">IFERROR(__xludf.DUMMYFUNCTION("""COMPUTED_VALUE"""),1990)</f>
        <v>1990</v>
      </c>
      <c r="G496" s="1">
        <f ca="1">IFERROR(__xludf.DUMMYFUNCTION("""COMPUTED_VALUE"""),2258)</f>
        <v>2258</v>
      </c>
      <c r="H496" s="1" t="str">
        <f ca="1">IFERROR(__xludf.DUMMYFUNCTION("""COMPUTED_VALUE"""),"MTLSZ002258A21")</f>
        <v>MTLSZ002258A21</v>
      </c>
      <c r="I496" s="2">
        <f ca="1">IFERROR(__xludf.DUMMYFUNCTION("""COMPUTED_VALUE"""),44493)</f>
        <v>44493</v>
      </c>
      <c r="J496" s="2">
        <f ca="1">IFERROR(__xludf.DUMMYFUNCTION("""COMPUTED_VALUE"""),44857)</f>
        <v>44857</v>
      </c>
    </row>
    <row r="497" spans="1:10" x14ac:dyDescent="0.25">
      <c r="A497" s="1" t="str">
        <f ca="1">IFERROR(__xludf.DUMMYFUNCTION("""COMPUTED_VALUE"""),"Ludovika SE")</f>
        <v>Ludovika SE</v>
      </c>
      <c r="B497" s="1" t="str">
        <f ca="1">IFERROR(__xludf.DUMMYFUNCTION("""COMPUTED_VALUE"""),"Kadlicskó Gréta")</f>
        <v>Kadlicskó Gréta</v>
      </c>
      <c r="C497" s="1"/>
      <c r="D497" s="1" t="str">
        <f ca="1">IFERROR(__xludf.DUMMYFUNCTION("""COMPUTED_VALUE"""),"Nő")</f>
        <v>Nő</v>
      </c>
      <c r="E497" s="1"/>
      <c r="F497" s="1">
        <f ca="1">IFERROR(__xludf.DUMMYFUNCTION("""COMPUTED_VALUE"""),1999)</f>
        <v>1999</v>
      </c>
      <c r="G497" s="1">
        <f ca="1">IFERROR(__xludf.DUMMYFUNCTION("""COMPUTED_VALUE"""),2537)</f>
        <v>2537</v>
      </c>
      <c r="H497" s="1" t="str">
        <f ca="1">IFERROR(__xludf.DUMMYFUNCTION("""COMPUTED_VALUE"""),"MTLSZ002537A21")</f>
        <v>MTLSZ002537A21</v>
      </c>
      <c r="I497" s="2">
        <f ca="1">IFERROR(__xludf.DUMMYFUNCTION("""COMPUTED_VALUE"""),44493)</f>
        <v>44493</v>
      </c>
      <c r="J497" s="2">
        <f ca="1">IFERROR(__xludf.DUMMYFUNCTION("""COMPUTED_VALUE"""),44857)</f>
        <v>44857</v>
      </c>
    </row>
    <row r="498" spans="1:10" x14ac:dyDescent="0.25">
      <c r="A498" s="1" t="str">
        <f ca="1">IFERROR(__xludf.DUMMYFUNCTION("""COMPUTED_VALUE"""),"Ludovika SE")</f>
        <v>Ludovika SE</v>
      </c>
      <c r="B498" s="1" t="str">
        <f ca="1">IFERROR(__xludf.DUMMYFUNCTION("""COMPUTED_VALUE"""),"Sajó Dóra")</f>
        <v>Sajó Dóra</v>
      </c>
      <c r="C498" s="1"/>
      <c r="D498" s="1" t="str">
        <f ca="1">IFERROR(__xludf.DUMMYFUNCTION("""COMPUTED_VALUE"""),"Nő")</f>
        <v>Nő</v>
      </c>
      <c r="E498" s="1"/>
      <c r="F498" s="1">
        <f ca="1">IFERROR(__xludf.DUMMYFUNCTION("""COMPUTED_VALUE"""),1971)</f>
        <v>1971</v>
      </c>
      <c r="G498" s="1">
        <f ca="1">IFERROR(__xludf.DUMMYFUNCTION("""COMPUTED_VALUE"""),824)</f>
        <v>824</v>
      </c>
      <c r="H498" s="1" t="str">
        <f ca="1">IFERROR(__xludf.DUMMYFUNCTION("""COMPUTED_VALUE"""),"MTLSZ000824A21")</f>
        <v>MTLSZ000824A21</v>
      </c>
      <c r="I498" s="2">
        <f ca="1">IFERROR(__xludf.DUMMYFUNCTION("""COMPUTED_VALUE"""),44493)</f>
        <v>44493</v>
      </c>
      <c r="J498" s="2">
        <f ca="1">IFERROR(__xludf.DUMMYFUNCTION("""COMPUTED_VALUE"""),44857)</f>
        <v>44857</v>
      </c>
    </row>
    <row r="499" spans="1:10" x14ac:dyDescent="0.25">
      <c r="A499" s="1" t="str">
        <f ca="1">IFERROR(__xludf.DUMMYFUNCTION("""COMPUTED_VALUE"""),"Ludovika SE")</f>
        <v>Ludovika SE</v>
      </c>
      <c r="B499" s="1" t="str">
        <f ca="1">IFERROR(__xludf.DUMMYFUNCTION("""COMPUTED_VALUE"""),"Szent-Andrássy Márk")</f>
        <v>Szent-Andrássy Márk</v>
      </c>
      <c r="C499" s="1"/>
      <c r="D499" s="1" t="str">
        <f ca="1">IFERROR(__xludf.DUMMYFUNCTION("""COMPUTED_VALUE"""),"Férfi")</f>
        <v>Férfi</v>
      </c>
      <c r="E499" s="1"/>
      <c r="F499" s="1">
        <f ca="1">IFERROR(__xludf.DUMMYFUNCTION("""COMPUTED_VALUE"""),1984)</f>
        <v>1984</v>
      </c>
      <c r="G499" s="1">
        <f ca="1">IFERROR(__xludf.DUMMYFUNCTION("""COMPUTED_VALUE"""),936)</f>
        <v>936</v>
      </c>
      <c r="H499" s="1" t="str">
        <f ca="1">IFERROR(__xludf.DUMMYFUNCTION("""COMPUTED_VALUE"""),"MTLSZ000936A21")</f>
        <v>MTLSZ000936A21</v>
      </c>
      <c r="I499" s="2">
        <f ca="1">IFERROR(__xludf.DUMMYFUNCTION("""COMPUTED_VALUE"""),44493)</f>
        <v>44493</v>
      </c>
      <c r="J499" s="2">
        <f ca="1">IFERROR(__xludf.DUMMYFUNCTION("""COMPUTED_VALUE"""),44857)</f>
        <v>44857</v>
      </c>
    </row>
    <row r="500" spans="1:10" x14ac:dyDescent="0.25">
      <c r="A500" s="1" t="str">
        <f ca="1">IFERROR(__xludf.DUMMYFUNCTION("""COMPUTED_VALUE"""),"Seregélyesi PDSE")</f>
        <v>Seregélyesi PDSE</v>
      </c>
      <c r="B500" s="1" t="str">
        <f ca="1">IFERROR(__xludf.DUMMYFUNCTION("""COMPUTED_VALUE"""),"Karkó Péter")</f>
        <v>Karkó Péter</v>
      </c>
      <c r="C500" s="1"/>
      <c r="D500" s="1" t="str">
        <f ca="1">IFERROR(__xludf.DUMMYFUNCTION("""COMPUTED_VALUE"""),"Férfi")</f>
        <v>Férfi</v>
      </c>
      <c r="E500" s="1"/>
      <c r="F500" s="1">
        <f ca="1">IFERROR(__xludf.DUMMYFUNCTION("""COMPUTED_VALUE"""),1985)</f>
        <v>1985</v>
      </c>
      <c r="G500" s="1">
        <f ca="1">IFERROR(__xludf.DUMMYFUNCTION("""COMPUTED_VALUE"""),1486)</f>
        <v>1486</v>
      </c>
      <c r="H500" s="1" t="str">
        <f ca="1">IFERROR(__xludf.DUMMYFUNCTION("""COMPUTED_VALUE"""),"MTLSZ001486A21")</f>
        <v>MTLSZ001486A21</v>
      </c>
      <c r="I500" s="2">
        <f ca="1">IFERROR(__xludf.DUMMYFUNCTION("""COMPUTED_VALUE"""),44493)</f>
        <v>44493</v>
      </c>
      <c r="J500" s="2">
        <f ca="1">IFERROR(__xludf.DUMMYFUNCTION("""COMPUTED_VALUE"""),44857)</f>
        <v>44857</v>
      </c>
    </row>
    <row r="501" spans="1:10" x14ac:dyDescent="0.25">
      <c r="A501" s="1" t="str">
        <f ca="1">IFERROR(__xludf.DUMMYFUNCTION("""COMPUTED_VALUE"""),"Seregélyesi PDSE")</f>
        <v>Seregélyesi PDSE</v>
      </c>
      <c r="B501" s="1" t="str">
        <f ca="1">IFERROR(__xludf.DUMMYFUNCTION("""COMPUTED_VALUE"""),"Szalai Kíra Leila")</f>
        <v>Szalai Kíra Leila</v>
      </c>
      <c r="C501" s="1"/>
      <c r="D501" s="1" t="str">
        <f ca="1">IFERROR(__xludf.DUMMYFUNCTION("""COMPUTED_VALUE"""),"Nő")</f>
        <v>Nő</v>
      </c>
      <c r="E501" s="1"/>
      <c r="F501" s="1">
        <f ca="1">IFERROR(__xludf.DUMMYFUNCTION("""COMPUTED_VALUE"""),2005)</f>
        <v>2005</v>
      </c>
      <c r="G501" s="1">
        <f ca="1">IFERROR(__xludf.DUMMYFUNCTION("""COMPUTED_VALUE"""),2633)</f>
        <v>2633</v>
      </c>
      <c r="H501" s="1" t="str">
        <f ca="1">IFERROR(__xludf.DUMMYFUNCTION("""COMPUTED_VALUE"""),"MTLSZ002633A21")</f>
        <v>MTLSZ002633A21</v>
      </c>
      <c r="I501" s="2">
        <f ca="1">IFERROR(__xludf.DUMMYFUNCTION("""COMPUTED_VALUE"""),44493)</f>
        <v>44493</v>
      </c>
      <c r="J501" s="2">
        <f ca="1">IFERROR(__xludf.DUMMYFUNCTION("""COMPUTED_VALUE"""),44857)</f>
        <v>44857</v>
      </c>
    </row>
    <row r="502" spans="1:10" x14ac:dyDescent="0.25">
      <c r="A502" s="1" t="str">
        <f ca="1">IFERROR(__xludf.DUMMYFUNCTION("""COMPUTED_VALUE"""),"VSD")</f>
        <v>VSD</v>
      </c>
      <c r="B502" s="1" t="str">
        <f ca="1">IFERROR(__xludf.DUMMYFUNCTION("""COMPUTED_VALUE"""),"Süle Bernát")</f>
        <v>Süle Bernát</v>
      </c>
      <c r="C502" s="1"/>
      <c r="D502" s="1" t="str">
        <f ca="1">IFERROR(__xludf.DUMMYFUNCTION("""COMPUTED_VALUE"""),"Férfi")</f>
        <v>Férfi</v>
      </c>
      <c r="E502" s="1"/>
      <c r="F502" s="1">
        <f ca="1">IFERROR(__xludf.DUMMYFUNCTION("""COMPUTED_VALUE"""),2006)</f>
        <v>2006</v>
      </c>
      <c r="G502" s="1">
        <f ca="1">IFERROR(__xludf.DUMMYFUNCTION("""COMPUTED_VALUE"""),3239)</f>
        <v>3239</v>
      </c>
      <c r="H502" s="1" t="str">
        <f ca="1">IFERROR(__xludf.DUMMYFUNCTION("""COMPUTED_VALUE"""),"MTLSZ003239A21")</f>
        <v>MTLSZ003239A21</v>
      </c>
      <c r="I502" s="2">
        <f ca="1">IFERROR(__xludf.DUMMYFUNCTION("""COMPUTED_VALUE"""),44493)</f>
        <v>44493</v>
      </c>
      <c r="J502" s="2">
        <f ca="1">IFERROR(__xludf.DUMMYFUNCTION("""COMPUTED_VALUE"""),44857)</f>
        <v>44857</v>
      </c>
    </row>
    <row r="503" spans="1:10" x14ac:dyDescent="0.25">
      <c r="A503" s="1" t="str">
        <f ca="1">IFERROR(__xludf.DUMMYFUNCTION("""COMPUTED_VALUE"""),"VSD")</f>
        <v>VSD</v>
      </c>
      <c r="B503" s="1" t="str">
        <f ca="1">IFERROR(__xludf.DUMMYFUNCTION("""COMPUTED_VALUE"""),"Szabolcs Balázs")</f>
        <v>Szabolcs Balázs</v>
      </c>
      <c r="C503" s="1"/>
      <c r="D503" s="1" t="str">
        <f ca="1">IFERROR(__xludf.DUMMYFUNCTION("""COMPUTED_VALUE"""),"Férfi")</f>
        <v>Férfi</v>
      </c>
      <c r="E503" s="1"/>
      <c r="F503" s="1">
        <f ca="1">IFERROR(__xludf.DUMMYFUNCTION("""COMPUTED_VALUE"""),2010)</f>
        <v>2010</v>
      </c>
      <c r="G503" s="1">
        <f ca="1">IFERROR(__xludf.DUMMYFUNCTION("""COMPUTED_VALUE"""),3290)</f>
        <v>3290</v>
      </c>
      <c r="H503" s="1" t="str">
        <f ca="1">IFERROR(__xludf.DUMMYFUNCTION("""COMPUTED_VALUE"""),"MTLSZ003290A21")</f>
        <v>MTLSZ003290A21</v>
      </c>
      <c r="I503" s="2">
        <f ca="1">IFERROR(__xludf.DUMMYFUNCTION("""COMPUTED_VALUE"""),44493)</f>
        <v>44493</v>
      </c>
      <c r="J503" s="2">
        <f ca="1">IFERROR(__xludf.DUMMYFUNCTION("""COMPUTED_VALUE"""),44857)</f>
        <v>44857</v>
      </c>
    </row>
    <row r="504" spans="1:10" x14ac:dyDescent="0.25">
      <c r="A504" s="1" t="str">
        <f ca="1">IFERROR(__xludf.DUMMYFUNCTION("""COMPUTED_VALUE"""),"VSD")</f>
        <v>VSD</v>
      </c>
      <c r="B504" s="1" t="str">
        <f ca="1">IFERROR(__xludf.DUMMYFUNCTION("""COMPUTED_VALUE"""),"Szabolcs Márton")</f>
        <v>Szabolcs Márton</v>
      </c>
      <c r="C504" s="1"/>
      <c r="D504" s="1" t="str">
        <f ca="1">IFERROR(__xludf.DUMMYFUNCTION("""COMPUTED_VALUE"""),"Férfi")</f>
        <v>Férfi</v>
      </c>
      <c r="E504" s="1"/>
      <c r="F504" s="1">
        <f ca="1">IFERROR(__xludf.DUMMYFUNCTION("""COMPUTED_VALUE"""),2012)</f>
        <v>2012</v>
      </c>
      <c r="G504" s="1">
        <f ca="1">IFERROR(__xludf.DUMMYFUNCTION("""COMPUTED_VALUE"""),3498)</f>
        <v>3498</v>
      </c>
      <c r="H504" s="1" t="str">
        <f ca="1">IFERROR(__xludf.DUMMYFUNCTION("""COMPUTED_VALUE"""),"MTLSZ003498A21")</f>
        <v>MTLSZ003498A21</v>
      </c>
      <c r="I504" s="2">
        <f ca="1">IFERROR(__xludf.DUMMYFUNCTION("""COMPUTED_VALUE"""),44493)</f>
        <v>44493</v>
      </c>
      <c r="J504" s="2">
        <f ca="1">IFERROR(__xludf.DUMMYFUNCTION("""COMPUTED_VALUE"""),44857)</f>
        <v>44857</v>
      </c>
    </row>
    <row r="505" spans="1:10" x14ac:dyDescent="0.25">
      <c r="A505" s="1" t="str">
        <f ca="1">IFERROR(__xludf.DUMMYFUNCTION("""COMPUTED_VALUE"""),"BEAC")</f>
        <v>BEAC</v>
      </c>
      <c r="B505" s="1" t="str">
        <f ca="1">IFERROR(__xludf.DUMMYFUNCTION("""COMPUTED_VALUE"""),"Kocsis Zsolt")</f>
        <v>Kocsis Zsolt</v>
      </c>
      <c r="C505" s="1"/>
      <c r="D505" s="1" t="str">
        <f ca="1">IFERROR(__xludf.DUMMYFUNCTION("""COMPUTED_VALUE"""),"Férfi")</f>
        <v>Férfi</v>
      </c>
      <c r="E505" s="1"/>
      <c r="F505" s="1">
        <f ca="1">IFERROR(__xludf.DUMMYFUNCTION("""COMPUTED_VALUE"""),1970)</f>
        <v>1970</v>
      </c>
      <c r="G505" s="1">
        <f ca="1">IFERROR(__xludf.DUMMYFUNCTION("""COMPUTED_VALUE"""),508)</f>
        <v>508</v>
      </c>
      <c r="H505" s="1" t="str">
        <f ca="1">IFERROR(__xludf.DUMMYFUNCTION("""COMPUTED_VALUE"""),"MTLSZ000508A21")</f>
        <v>MTLSZ000508A21</v>
      </c>
      <c r="I505" s="2">
        <f ca="1">IFERROR(__xludf.DUMMYFUNCTION("""COMPUTED_VALUE"""),44490)</f>
        <v>44490</v>
      </c>
      <c r="J505" s="2">
        <f ca="1">IFERROR(__xludf.DUMMYFUNCTION("""COMPUTED_VALUE"""),44854)</f>
        <v>44854</v>
      </c>
    </row>
    <row r="506" spans="1:10" x14ac:dyDescent="0.25">
      <c r="A506" s="1" t="str">
        <f ca="1">IFERROR(__xludf.DUMMYFUNCTION("""COMPUTED_VALUE"""),"FBSE")</f>
        <v>FBSE</v>
      </c>
      <c r="B506" s="1" t="str">
        <f ca="1">IFERROR(__xludf.DUMMYFUNCTION("""COMPUTED_VALUE"""),"Janky Berzsián")</f>
        <v>Janky Berzsián</v>
      </c>
      <c r="C506" s="1"/>
      <c r="D506" s="1" t="str">
        <f ca="1">IFERROR(__xludf.DUMMYFUNCTION("""COMPUTED_VALUE"""),"Férfi")</f>
        <v>Férfi</v>
      </c>
      <c r="E506" s="1"/>
      <c r="F506" s="1">
        <f ca="1">IFERROR(__xludf.DUMMYFUNCTION("""COMPUTED_VALUE"""),2010)</f>
        <v>2010</v>
      </c>
      <c r="G506" s="1">
        <f ca="1">IFERROR(__xludf.DUMMYFUNCTION("""COMPUTED_VALUE"""),4226)</f>
        <v>4226</v>
      </c>
      <c r="H506" s="1" t="str">
        <f ca="1">IFERROR(__xludf.DUMMYFUNCTION("""COMPUTED_VALUE"""),"MTLSZ004226A21")</f>
        <v>MTLSZ004226A21</v>
      </c>
      <c r="I506" s="2">
        <f ca="1">IFERROR(__xludf.DUMMYFUNCTION("""COMPUTED_VALUE"""),44490)</f>
        <v>44490</v>
      </c>
      <c r="J506" s="2">
        <f ca="1">IFERROR(__xludf.DUMMYFUNCTION("""COMPUTED_VALUE"""),44854)</f>
        <v>44854</v>
      </c>
    </row>
    <row r="507" spans="1:10" x14ac:dyDescent="0.25">
      <c r="A507" s="1" t="str">
        <f ca="1">IFERROR(__xludf.DUMMYFUNCTION("""COMPUTED_VALUE"""),"FBSE")</f>
        <v>FBSE</v>
      </c>
      <c r="B507" s="1" t="str">
        <f ca="1">IFERROR(__xludf.DUMMYFUNCTION("""COMPUTED_VALUE"""),"Molnár Boglárka")</f>
        <v>Molnár Boglárka</v>
      </c>
      <c r="C507" s="1"/>
      <c r="D507" s="1" t="str">
        <f ca="1">IFERROR(__xludf.DUMMYFUNCTION("""COMPUTED_VALUE"""),"Nő")</f>
        <v>Nő</v>
      </c>
      <c r="E507" s="1"/>
      <c r="F507" s="1">
        <f ca="1">IFERROR(__xludf.DUMMYFUNCTION("""COMPUTED_VALUE"""),2010)</f>
        <v>2010</v>
      </c>
      <c r="G507" s="1">
        <f ca="1">IFERROR(__xludf.DUMMYFUNCTION("""COMPUTED_VALUE"""),4232)</f>
        <v>4232</v>
      </c>
      <c r="H507" s="1" t="str">
        <f ca="1">IFERROR(__xludf.DUMMYFUNCTION("""COMPUTED_VALUE"""),"MTLSZ004232A21")</f>
        <v>MTLSZ004232A21</v>
      </c>
      <c r="I507" s="2">
        <f ca="1">IFERROR(__xludf.DUMMYFUNCTION("""COMPUTED_VALUE"""),44490)</f>
        <v>44490</v>
      </c>
      <c r="J507" s="2">
        <f ca="1">IFERROR(__xludf.DUMMYFUNCTION("""COMPUTED_VALUE"""),44854)</f>
        <v>44854</v>
      </c>
    </row>
    <row r="508" spans="1:10" x14ac:dyDescent="0.25">
      <c r="A508" s="1" t="str">
        <f ca="1">IFERROR(__xludf.DUMMYFUNCTION("""COMPUTED_VALUE"""),"FBSE")</f>
        <v>FBSE</v>
      </c>
      <c r="B508" s="1" t="str">
        <f ca="1">IFERROR(__xludf.DUMMYFUNCTION("""COMPUTED_VALUE"""),"Takács Zsófi")</f>
        <v>Takács Zsófi</v>
      </c>
      <c r="C508" s="1"/>
      <c r="D508" s="1" t="str">
        <f ca="1">IFERROR(__xludf.DUMMYFUNCTION("""COMPUTED_VALUE"""),"Nő")</f>
        <v>Nő</v>
      </c>
      <c r="E508" s="1"/>
      <c r="F508" s="1">
        <f ca="1">IFERROR(__xludf.DUMMYFUNCTION("""COMPUTED_VALUE"""),2010)</f>
        <v>2010</v>
      </c>
      <c r="G508" s="1">
        <f ca="1">IFERROR(__xludf.DUMMYFUNCTION("""COMPUTED_VALUE"""),4231)</f>
        <v>4231</v>
      </c>
      <c r="H508" s="1" t="str">
        <f ca="1">IFERROR(__xludf.DUMMYFUNCTION("""COMPUTED_VALUE"""),"MTLSZ004231A21")</f>
        <v>MTLSZ004231A21</v>
      </c>
      <c r="I508" s="2">
        <f ca="1">IFERROR(__xludf.DUMMYFUNCTION("""COMPUTED_VALUE"""),44490)</f>
        <v>44490</v>
      </c>
      <c r="J508" s="2">
        <f ca="1">IFERROR(__xludf.DUMMYFUNCTION("""COMPUTED_VALUE"""),44854)</f>
        <v>44854</v>
      </c>
    </row>
    <row r="509" spans="1:10" x14ac:dyDescent="0.25">
      <c r="A509" s="1" t="str">
        <f ca="1">IFERROR(__xludf.DUMMYFUNCTION("""COMPUTED_VALUE"""),"Verőcei DE")</f>
        <v>Verőcei DE</v>
      </c>
      <c r="B509" s="1" t="str">
        <f ca="1">IFERROR(__xludf.DUMMYFUNCTION("""COMPUTED_VALUE"""),"Kiss Boglárka")</f>
        <v>Kiss Boglárka</v>
      </c>
      <c r="C509" s="1"/>
      <c r="D509" s="1" t="str">
        <f ca="1">IFERROR(__xludf.DUMMYFUNCTION("""COMPUTED_VALUE"""),"Nő")</f>
        <v>Nő</v>
      </c>
      <c r="E509" s="1"/>
      <c r="F509" s="1">
        <f ca="1">IFERROR(__xludf.DUMMYFUNCTION("""COMPUTED_VALUE"""),2005)</f>
        <v>2005</v>
      </c>
      <c r="G509" s="1">
        <f ca="1">IFERROR(__xludf.DUMMYFUNCTION("""COMPUTED_VALUE"""),3111)</f>
        <v>3111</v>
      </c>
      <c r="H509" s="1" t="str">
        <f ca="1">IFERROR(__xludf.DUMMYFUNCTION("""COMPUTED_VALUE"""),"MTLSZ003111A21")</f>
        <v>MTLSZ003111A21</v>
      </c>
      <c r="I509" s="2">
        <f ca="1">IFERROR(__xludf.DUMMYFUNCTION("""COMPUTED_VALUE"""),44490)</f>
        <v>44490</v>
      </c>
      <c r="J509" s="2">
        <f ca="1">IFERROR(__xludf.DUMMYFUNCTION("""COMPUTED_VALUE"""),44854)</f>
        <v>44854</v>
      </c>
    </row>
    <row r="510" spans="1:10" x14ac:dyDescent="0.25">
      <c r="A510" s="1" t="str">
        <f ca="1">IFERROR(__xludf.DUMMYFUNCTION("""COMPUTED_VALUE"""),"Seregélyesi PDSE")</f>
        <v>Seregélyesi PDSE</v>
      </c>
      <c r="B510" s="1" t="str">
        <f ca="1">IFERROR(__xludf.DUMMYFUNCTION("""COMPUTED_VALUE"""),"Németh László")</f>
        <v>Németh László</v>
      </c>
      <c r="C510" s="1"/>
      <c r="D510" s="1" t="str">
        <f ca="1">IFERROR(__xludf.DUMMYFUNCTION("""COMPUTED_VALUE"""),"Férfi")</f>
        <v>Férfi</v>
      </c>
      <c r="E510" s="1"/>
      <c r="F510" s="1">
        <f ca="1">IFERROR(__xludf.DUMMYFUNCTION("""COMPUTED_VALUE"""),1995)</f>
        <v>1995</v>
      </c>
      <c r="G510" s="1">
        <f ca="1">IFERROR(__xludf.DUMMYFUNCTION("""COMPUTED_VALUE"""),1800)</f>
        <v>1800</v>
      </c>
      <c r="H510" s="1" t="str">
        <f ca="1">IFERROR(__xludf.DUMMYFUNCTION("""COMPUTED_VALUE"""),"MTLSZ001800A21")</f>
        <v>MTLSZ001800A21</v>
      </c>
      <c r="I510" s="2">
        <f ca="1">IFERROR(__xludf.DUMMYFUNCTION("""COMPUTED_VALUE"""),44489)</f>
        <v>44489</v>
      </c>
      <c r="J510" s="2">
        <f ca="1">IFERROR(__xludf.DUMMYFUNCTION("""COMPUTED_VALUE"""),44853)</f>
        <v>44853</v>
      </c>
    </row>
    <row r="511" spans="1:10" x14ac:dyDescent="0.25">
      <c r="A511" s="1" t="str">
        <f ca="1">IFERROR(__xludf.DUMMYFUNCTION("""COMPUTED_VALUE"""),"Seregélyesi PDSE")</f>
        <v>Seregélyesi PDSE</v>
      </c>
      <c r="B511" s="1" t="str">
        <f ca="1">IFERROR(__xludf.DUMMYFUNCTION("""COMPUTED_VALUE"""),"Oláh Barnabás István")</f>
        <v>Oláh Barnabás István</v>
      </c>
      <c r="C511" s="1"/>
      <c r="D511" s="1" t="str">
        <f ca="1">IFERROR(__xludf.DUMMYFUNCTION("""COMPUTED_VALUE"""),"Férfi")</f>
        <v>Férfi</v>
      </c>
      <c r="E511" s="1"/>
      <c r="F511" s="1">
        <f ca="1">IFERROR(__xludf.DUMMYFUNCTION("""COMPUTED_VALUE"""),2001)</f>
        <v>2001</v>
      </c>
      <c r="G511" s="1">
        <f ca="1">IFERROR(__xludf.DUMMYFUNCTION("""COMPUTED_VALUE"""),2306)</f>
        <v>2306</v>
      </c>
      <c r="H511" s="1" t="str">
        <f ca="1">IFERROR(__xludf.DUMMYFUNCTION("""COMPUTED_VALUE"""),"MTLSZ002306A21")</f>
        <v>MTLSZ002306A21</v>
      </c>
      <c r="I511" s="2">
        <f ca="1">IFERROR(__xludf.DUMMYFUNCTION("""COMPUTED_VALUE"""),44489)</f>
        <v>44489</v>
      </c>
      <c r="J511" s="2">
        <f ca="1">IFERROR(__xludf.DUMMYFUNCTION("""COMPUTED_VALUE"""),44853)</f>
        <v>44853</v>
      </c>
    </row>
    <row r="512" spans="1:10" x14ac:dyDescent="0.25">
      <c r="A512" s="1" t="str">
        <f ca="1">IFERROR(__xludf.DUMMYFUNCTION("""COMPUTED_VALUE"""),"Danubius KSE")</f>
        <v>Danubius KSE</v>
      </c>
      <c r="B512" s="1" t="str">
        <f ca="1">IFERROR(__xludf.DUMMYFUNCTION("""COMPUTED_VALUE"""),"Mayer Hedvig")</f>
        <v>Mayer Hedvig</v>
      </c>
      <c r="C512" s="1"/>
      <c r="D512" s="1" t="str">
        <f ca="1">IFERROR(__xludf.DUMMYFUNCTION("""COMPUTED_VALUE"""),"Nő")</f>
        <v>Nő</v>
      </c>
      <c r="E512" s="1"/>
      <c r="F512" s="1">
        <f ca="1">IFERROR(__xludf.DUMMYFUNCTION("""COMPUTED_VALUE"""),2011)</f>
        <v>2011</v>
      </c>
      <c r="G512" s="1">
        <f ca="1">IFERROR(__xludf.DUMMYFUNCTION("""COMPUTED_VALUE"""),4705)</f>
        <v>4705</v>
      </c>
      <c r="H512" s="1" t="str">
        <f ca="1">IFERROR(__xludf.DUMMYFUNCTION("""COMPUTED_VALUE"""),"MTLSZ004705A21")</f>
        <v>MTLSZ004705A21</v>
      </c>
      <c r="I512" s="2">
        <f ca="1">IFERROR(__xludf.DUMMYFUNCTION("""COMPUTED_VALUE"""),44488)</f>
        <v>44488</v>
      </c>
      <c r="J512" s="2">
        <f ca="1">IFERROR(__xludf.DUMMYFUNCTION("""COMPUTED_VALUE"""),44852)</f>
        <v>44852</v>
      </c>
    </row>
    <row r="513" spans="1:10" x14ac:dyDescent="0.25">
      <c r="A513" s="1" t="str">
        <f ca="1">IFERROR(__xludf.DUMMYFUNCTION("""COMPUTED_VALUE"""),"Danubius KSE")</f>
        <v>Danubius KSE</v>
      </c>
      <c r="B513" s="1" t="str">
        <f ca="1">IFERROR(__xludf.DUMMYFUNCTION("""COMPUTED_VALUE"""),"Tápai Panna")</f>
        <v>Tápai Panna</v>
      </c>
      <c r="C513" s="1"/>
      <c r="D513" s="1" t="str">
        <f ca="1">IFERROR(__xludf.DUMMYFUNCTION("""COMPUTED_VALUE"""),"Nő")</f>
        <v>Nő</v>
      </c>
      <c r="E513" s="1"/>
      <c r="F513" s="1">
        <f ca="1">IFERROR(__xludf.DUMMYFUNCTION("""COMPUTED_VALUE"""),2013)</f>
        <v>2013</v>
      </c>
      <c r="G513" s="1">
        <f ca="1">IFERROR(__xludf.DUMMYFUNCTION("""COMPUTED_VALUE"""),4713)</f>
        <v>4713</v>
      </c>
      <c r="H513" s="1" t="str">
        <f ca="1">IFERROR(__xludf.DUMMYFUNCTION("""COMPUTED_VALUE"""),"MTLSZ004713A21")</f>
        <v>MTLSZ004713A21</v>
      </c>
      <c r="I513" s="2">
        <f ca="1">IFERROR(__xludf.DUMMYFUNCTION("""COMPUTED_VALUE"""),44488)</f>
        <v>44488</v>
      </c>
      <c r="J513" s="2">
        <f ca="1">IFERROR(__xludf.DUMMYFUNCTION("""COMPUTED_VALUE"""),44852)</f>
        <v>44852</v>
      </c>
    </row>
    <row r="514" spans="1:10" x14ac:dyDescent="0.25">
      <c r="A514" s="1" t="str">
        <f ca="1">IFERROR(__xludf.DUMMYFUNCTION("""COMPUTED_VALUE"""),"Klébi DSE")</f>
        <v>Klébi DSE</v>
      </c>
      <c r="B514" s="1" t="str">
        <f ca="1">IFERROR(__xludf.DUMMYFUNCTION("""COMPUTED_VALUE"""),"Helmle Bertalan")</f>
        <v>Helmle Bertalan</v>
      </c>
      <c r="C514" s="1"/>
      <c r="D514" s="1" t="str">
        <f ca="1">IFERROR(__xludf.DUMMYFUNCTION("""COMPUTED_VALUE"""),"Férfi")</f>
        <v>Férfi</v>
      </c>
      <c r="E514" s="1"/>
      <c r="F514" s="1">
        <f ca="1">IFERROR(__xludf.DUMMYFUNCTION("""COMPUTED_VALUE"""),2011)</f>
        <v>2011</v>
      </c>
      <c r="G514" s="1">
        <f ca="1">IFERROR(__xludf.DUMMYFUNCTION("""COMPUTED_VALUE"""),4716)</f>
        <v>4716</v>
      </c>
      <c r="H514" s="1" t="str">
        <f ca="1">IFERROR(__xludf.DUMMYFUNCTION("""COMPUTED_VALUE"""),"MTLSZ004716A21")</f>
        <v>MTLSZ004716A21</v>
      </c>
      <c r="I514" s="2">
        <f ca="1">IFERROR(__xludf.DUMMYFUNCTION("""COMPUTED_VALUE"""),44488)</f>
        <v>44488</v>
      </c>
      <c r="J514" s="2">
        <f ca="1">IFERROR(__xludf.DUMMYFUNCTION("""COMPUTED_VALUE"""),44852)</f>
        <v>44852</v>
      </c>
    </row>
    <row r="515" spans="1:10" x14ac:dyDescent="0.25">
      <c r="A515" s="1" t="str">
        <f ca="1">IFERROR(__xludf.DUMMYFUNCTION("""COMPUTED_VALUE"""),"Klébi DSE")</f>
        <v>Klébi DSE</v>
      </c>
      <c r="B515" s="1" t="str">
        <f ca="1">IFERROR(__xludf.DUMMYFUNCTION("""COMPUTED_VALUE"""),"Kutas Gergely Ákos")</f>
        <v>Kutas Gergely Ákos</v>
      </c>
      <c r="C515" s="1"/>
      <c r="D515" s="1" t="str">
        <f ca="1">IFERROR(__xludf.DUMMYFUNCTION("""COMPUTED_VALUE"""),"Férfi")</f>
        <v>Férfi</v>
      </c>
      <c r="E515" s="1"/>
      <c r="F515" s="1">
        <f ca="1">IFERROR(__xludf.DUMMYFUNCTION("""COMPUTED_VALUE"""),2011)</f>
        <v>2011</v>
      </c>
      <c r="G515" s="1">
        <f ca="1">IFERROR(__xludf.DUMMYFUNCTION("""COMPUTED_VALUE"""),4717)</f>
        <v>4717</v>
      </c>
      <c r="H515" s="1" t="str">
        <f ca="1">IFERROR(__xludf.DUMMYFUNCTION("""COMPUTED_VALUE"""),"MTLSZ004717A21")</f>
        <v>MTLSZ004717A21</v>
      </c>
      <c r="I515" s="2">
        <f ca="1">IFERROR(__xludf.DUMMYFUNCTION("""COMPUTED_VALUE"""),44488)</f>
        <v>44488</v>
      </c>
      <c r="J515" s="2">
        <f ca="1">IFERROR(__xludf.DUMMYFUNCTION("""COMPUTED_VALUE"""),44852)</f>
        <v>44852</v>
      </c>
    </row>
    <row r="516" spans="1:10" x14ac:dyDescent="0.25">
      <c r="A516" s="1" t="str">
        <f ca="1">IFERROR(__xludf.DUMMYFUNCTION("""COMPUTED_VALUE"""),"Klébi DSE")</f>
        <v>Klébi DSE</v>
      </c>
      <c r="B516" s="1" t="str">
        <f ca="1">IFERROR(__xludf.DUMMYFUNCTION("""COMPUTED_VALUE"""),"Puskás István")</f>
        <v>Puskás István</v>
      </c>
      <c r="C516" s="1"/>
      <c r="D516" s="1" t="str">
        <f ca="1">IFERROR(__xludf.DUMMYFUNCTION("""COMPUTED_VALUE"""),"Férfi")</f>
        <v>Férfi</v>
      </c>
      <c r="E516" s="1"/>
      <c r="F516" s="1">
        <f ca="1">IFERROR(__xludf.DUMMYFUNCTION("""COMPUTED_VALUE"""),1972)</f>
        <v>1972</v>
      </c>
      <c r="G516" s="1">
        <f ca="1">IFERROR(__xludf.DUMMYFUNCTION("""COMPUTED_VALUE"""),4714)</f>
        <v>4714</v>
      </c>
      <c r="H516" s="1" t="str">
        <f ca="1">IFERROR(__xludf.DUMMYFUNCTION("""COMPUTED_VALUE"""),"MTLSZ004714A21")</f>
        <v>MTLSZ004714A21</v>
      </c>
      <c r="I516" s="2">
        <f ca="1">IFERROR(__xludf.DUMMYFUNCTION("""COMPUTED_VALUE"""),44488)</f>
        <v>44488</v>
      </c>
      <c r="J516" s="2">
        <f ca="1">IFERROR(__xludf.DUMMYFUNCTION("""COMPUTED_VALUE"""),44852)</f>
        <v>44852</v>
      </c>
    </row>
    <row r="517" spans="1:10" x14ac:dyDescent="0.25">
      <c r="A517" s="1" t="str">
        <f ca="1">IFERROR(__xludf.DUMMYFUNCTION("""COMPUTED_VALUE"""),"Klébi DSE")</f>
        <v>Klébi DSE</v>
      </c>
      <c r="B517" s="1" t="str">
        <f ca="1">IFERROR(__xludf.DUMMYFUNCTION("""COMPUTED_VALUE"""),"Takách Benedek")</f>
        <v>Takách Benedek</v>
      </c>
      <c r="C517" s="1"/>
      <c r="D517" s="1" t="str">
        <f ca="1">IFERROR(__xludf.DUMMYFUNCTION("""COMPUTED_VALUE"""),"Férfi")</f>
        <v>Férfi</v>
      </c>
      <c r="E517" s="1"/>
      <c r="F517" s="1">
        <f ca="1">IFERROR(__xludf.DUMMYFUNCTION("""COMPUTED_VALUE"""),2005)</f>
        <v>2005</v>
      </c>
      <c r="G517" s="1">
        <f ca="1">IFERROR(__xludf.DUMMYFUNCTION("""COMPUTED_VALUE"""),4718)</f>
        <v>4718</v>
      </c>
      <c r="H517" s="1" t="str">
        <f ca="1">IFERROR(__xludf.DUMMYFUNCTION("""COMPUTED_VALUE"""),"MTLSZ004718A21")</f>
        <v>MTLSZ004718A21</v>
      </c>
      <c r="I517" s="2">
        <f ca="1">IFERROR(__xludf.DUMMYFUNCTION("""COMPUTED_VALUE"""),44488)</f>
        <v>44488</v>
      </c>
      <c r="J517" s="2">
        <f ca="1">IFERROR(__xludf.DUMMYFUNCTION("""COMPUTED_VALUE"""),44852)</f>
        <v>44852</v>
      </c>
    </row>
    <row r="518" spans="1:10" x14ac:dyDescent="0.25">
      <c r="A518" s="1" t="str">
        <f ca="1">IFERROR(__xludf.DUMMYFUNCTION("""COMPUTED_VALUE"""),"Klébi DSE")</f>
        <v>Klébi DSE</v>
      </c>
      <c r="B518" s="1" t="str">
        <f ca="1">IFERROR(__xludf.DUMMYFUNCTION("""COMPUTED_VALUE"""),"Zarándy István")</f>
        <v>Zarándy István</v>
      </c>
      <c r="C518" s="1"/>
      <c r="D518" s="1" t="str">
        <f ca="1">IFERROR(__xludf.DUMMYFUNCTION("""COMPUTED_VALUE"""),"Férfi")</f>
        <v>Férfi</v>
      </c>
      <c r="E518" s="1"/>
      <c r="F518" s="1">
        <f ca="1">IFERROR(__xludf.DUMMYFUNCTION("""COMPUTED_VALUE"""),1974)</f>
        <v>1974</v>
      </c>
      <c r="G518" s="1">
        <f ca="1">IFERROR(__xludf.DUMMYFUNCTION("""COMPUTED_VALUE"""),4715)</f>
        <v>4715</v>
      </c>
      <c r="H518" s="1" t="str">
        <f ca="1">IFERROR(__xludf.DUMMYFUNCTION("""COMPUTED_VALUE"""),"MTLSZ004715A21")</f>
        <v>MTLSZ004715A21</v>
      </c>
      <c r="I518" s="2">
        <f ca="1">IFERROR(__xludf.DUMMYFUNCTION("""COMPUTED_VALUE"""),44488)</f>
        <v>44488</v>
      </c>
      <c r="J518" s="2">
        <f ca="1">IFERROR(__xludf.DUMMYFUNCTION("""COMPUTED_VALUE"""),44852)</f>
        <v>44852</v>
      </c>
    </row>
    <row r="519" spans="1:10" x14ac:dyDescent="0.25">
      <c r="A519" s="1" t="str">
        <f ca="1">IFERROR(__xludf.DUMMYFUNCTION("""COMPUTED_VALUE"""),"Győri TSE")</f>
        <v>Győri TSE</v>
      </c>
      <c r="B519" s="1" t="str">
        <f ca="1">IFERROR(__xludf.DUMMYFUNCTION("""COMPUTED_VALUE"""),"Brachmann Huba")</f>
        <v>Brachmann Huba</v>
      </c>
      <c r="C519" s="1"/>
      <c r="D519" s="1" t="str">
        <f ca="1">IFERROR(__xludf.DUMMYFUNCTION("""COMPUTED_VALUE"""),"Férfi")</f>
        <v>Férfi</v>
      </c>
      <c r="E519" s="1"/>
      <c r="F519" s="1">
        <f ca="1">IFERROR(__xludf.DUMMYFUNCTION("""COMPUTED_VALUE"""),1999)</f>
        <v>1999</v>
      </c>
      <c r="G519" s="1">
        <f ca="1">IFERROR(__xludf.DUMMYFUNCTION("""COMPUTED_VALUE"""),1827)</f>
        <v>1827</v>
      </c>
      <c r="H519" s="1" t="str">
        <f ca="1">IFERROR(__xludf.DUMMYFUNCTION("""COMPUTED_VALUE"""),"MTLSZ001827A21")</f>
        <v>MTLSZ001827A21</v>
      </c>
      <c r="I519" s="2">
        <f ca="1">IFERROR(__xludf.DUMMYFUNCTION("""COMPUTED_VALUE"""),44487)</f>
        <v>44487</v>
      </c>
      <c r="J519" s="2">
        <f ca="1">IFERROR(__xludf.DUMMYFUNCTION("""COMPUTED_VALUE"""),44851)</f>
        <v>44851</v>
      </c>
    </row>
    <row r="520" spans="1:10" x14ac:dyDescent="0.25">
      <c r="A520" s="1" t="str">
        <f ca="1">IFERROR(__xludf.DUMMYFUNCTION("""COMPUTED_VALUE"""),"Győri TSE")</f>
        <v>Győri TSE</v>
      </c>
      <c r="B520" s="1" t="str">
        <f ca="1">IFERROR(__xludf.DUMMYFUNCTION("""COMPUTED_VALUE"""),"Kakassy Szilvia")</f>
        <v>Kakassy Szilvia</v>
      </c>
      <c r="C520" s="1"/>
      <c r="D520" s="1" t="str">
        <f ca="1">IFERROR(__xludf.DUMMYFUNCTION("""COMPUTED_VALUE"""),"Nő")</f>
        <v>Nő</v>
      </c>
      <c r="E520" s="1"/>
      <c r="F520" s="1">
        <f ca="1">IFERROR(__xludf.DUMMYFUNCTION("""COMPUTED_VALUE"""),2005)</f>
        <v>2005</v>
      </c>
      <c r="G520" s="1">
        <f ca="1">IFERROR(__xludf.DUMMYFUNCTION("""COMPUTED_VALUE"""),2727)</f>
        <v>2727</v>
      </c>
      <c r="H520" s="1" t="str">
        <f ca="1">IFERROR(__xludf.DUMMYFUNCTION("""COMPUTED_VALUE"""),"MTLSZ002727A21")</f>
        <v>MTLSZ002727A21</v>
      </c>
      <c r="I520" s="2">
        <f ca="1">IFERROR(__xludf.DUMMYFUNCTION("""COMPUTED_VALUE"""),44487)</f>
        <v>44487</v>
      </c>
      <c r="J520" s="2">
        <f ca="1">IFERROR(__xludf.DUMMYFUNCTION("""COMPUTED_VALUE"""),44851)</f>
        <v>44851</v>
      </c>
    </row>
    <row r="521" spans="1:10" x14ac:dyDescent="0.25">
      <c r="A521" s="1" t="str">
        <f ca="1">IFERROR(__xludf.DUMMYFUNCTION("""COMPUTED_VALUE"""),"Győri TSE")</f>
        <v>Győri TSE</v>
      </c>
      <c r="B521" s="1" t="str">
        <f ca="1">IFERROR(__xludf.DUMMYFUNCTION("""COMPUTED_VALUE"""),"Pesty Tamás")</f>
        <v>Pesty Tamás</v>
      </c>
      <c r="C521" s="1"/>
      <c r="D521" s="1" t="str">
        <f ca="1">IFERROR(__xludf.DUMMYFUNCTION("""COMPUTED_VALUE"""),"Férfi")</f>
        <v>Férfi</v>
      </c>
      <c r="E521" s="1"/>
      <c r="F521" s="1">
        <f ca="1">IFERROR(__xludf.DUMMYFUNCTION("""COMPUTED_VALUE"""),1976)</f>
        <v>1976</v>
      </c>
      <c r="G521" s="1">
        <f ca="1">IFERROR(__xludf.DUMMYFUNCTION("""COMPUTED_VALUE"""),2308)</f>
        <v>2308</v>
      </c>
      <c r="H521" s="1" t="str">
        <f ca="1">IFERROR(__xludf.DUMMYFUNCTION("""COMPUTED_VALUE"""),"MTLSZ002308A21")</f>
        <v>MTLSZ002308A21</v>
      </c>
      <c r="I521" s="2">
        <f ca="1">IFERROR(__xludf.DUMMYFUNCTION("""COMPUTED_VALUE"""),44487)</f>
        <v>44487</v>
      </c>
      <c r="J521" s="2">
        <f ca="1">IFERROR(__xludf.DUMMYFUNCTION("""COMPUTED_VALUE"""),44851)</f>
        <v>44851</v>
      </c>
    </row>
    <row r="522" spans="1:10" x14ac:dyDescent="0.25">
      <c r="A522" s="1" t="str">
        <f ca="1">IFERROR(__xludf.DUMMYFUNCTION("""COMPUTED_VALUE"""),"CET SE")</f>
        <v>CET SE</v>
      </c>
      <c r="B522" s="1" t="str">
        <f ca="1">IFERROR(__xludf.DUMMYFUNCTION("""COMPUTED_VALUE"""),"Csuka Csaba")</f>
        <v>Csuka Csaba</v>
      </c>
      <c r="C522" s="1"/>
      <c r="D522" s="1" t="str">
        <f ca="1">IFERROR(__xludf.DUMMYFUNCTION("""COMPUTED_VALUE"""),"Férfi")</f>
        <v>Férfi</v>
      </c>
      <c r="E522" s="1"/>
      <c r="F522" s="1">
        <f ca="1">IFERROR(__xludf.DUMMYFUNCTION("""COMPUTED_VALUE"""),2006)</f>
        <v>2006</v>
      </c>
      <c r="G522" s="1">
        <f ca="1">IFERROR(__xludf.DUMMYFUNCTION("""COMPUTED_VALUE"""),4699)</f>
        <v>4699</v>
      </c>
      <c r="H522" s="1" t="str">
        <f ca="1">IFERROR(__xludf.DUMMYFUNCTION("""COMPUTED_VALUE"""),"MTLSZ004699A21")</f>
        <v>MTLSZ004699A21</v>
      </c>
      <c r="I522" s="2">
        <f ca="1">IFERROR(__xludf.DUMMYFUNCTION("""COMPUTED_VALUE"""),44484)</f>
        <v>44484</v>
      </c>
      <c r="J522" s="2">
        <f ca="1">IFERROR(__xludf.DUMMYFUNCTION("""COMPUTED_VALUE"""),44848)</f>
        <v>44848</v>
      </c>
    </row>
    <row r="523" spans="1:10" x14ac:dyDescent="0.25">
      <c r="A523" s="1" t="str">
        <f ca="1">IFERROR(__xludf.DUMMYFUNCTION("""COMPUTED_VALUE"""),"FBSE")</f>
        <v>FBSE</v>
      </c>
      <c r="B523" s="1" t="str">
        <f ca="1">IFERROR(__xludf.DUMMYFUNCTION("""COMPUTED_VALUE"""),"Szatzker Márton")</f>
        <v>Szatzker Márton</v>
      </c>
      <c r="C523" s="1"/>
      <c r="D523" s="1" t="str">
        <f ca="1">IFERROR(__xludf.DUMMYFUNCTION("""COMPUTED_VALUE"""),"Férfi")</f>
        <v>Férfi</v>
      </c>
      <c r="E523" s="1"/>
      <c r="F523" s="1">
        <f ca="1">IFERROR(__xludf.DUMMYFUNCTION("""COMPUTED_VALUE"""),1991)</f>
        <v>1991</v>
      </c>
      <c r="G523" s="1">
        <f ca="1">IFERROR(__xludf.DUMMYFUNCTION("""COMPUTED_VALUE"""),920)</f>
        <v>920</v>
      </c>
      <c r="H523" s="1" t="str">
        <f ca="1">IFERROR(__xludf.DUMMYFUNCTION("""COMPUTED_VALUE"""),"MTLSZ000920A21")</f>
        <v>MTLSZ000920A21</v>
      </c>
      <c r="I523" s="2">
        <f ca="1">IFERROR(__xludf.DUMMYFUNCTION("""COMPUTED_VALUE"""),44484)</f>
        <v>44484</v>
      </c>
      <c r="J523" s="2">
        <f ca="1">IFERROR(__xludf.DUMMYFUNCTION("""COMPUTED_VALUE"""),44848)</f>
        <v>44848</v>
      </c>
    </row>
    <row r="524" spans="1:10" x14ac:dyDescent="0.25">
      <c r="A524" s="1" t="str">
        <f ca="1">IFERROR(__xludf.DUMMYFUNCTION("""COMPUTED_VALUE"""),"KörösTSE")</f>
        <v>KörösTSE</v>
      </c>
      <c r="B524" s="1" t="str">
        <f ca="1">IFERROR(__xludf.DUMMYFUNCTION("""COMPUTED_VALUE"""),"Baranyai János")</f>
        <v>Baranyai János</v>
      </c>
      <c r="C524" s="1"/>
      <c r="D524" s="1" t="str">
        <f ca="1">IFERROR(__xludf.DUMMYFUNCTION("""COMPUTED_VALUE"""),"Férfi")</f>
        <v>Férfi</v>
      </c>
      <c r="E524" s="1"/>
      <c r="F524" s="1">
        <f ca="1">IFERROR(__xludf.DUMMYFUNCTION("""COMPUTED_VALUE"""),1994)</f>
        <v>1994</v>
      </c>
      <c r="G524" s="1">
        <f ca="1">IFERROR(__xludf.DUMMYFUNCTION("""COMPUTED_VALUE"""),2961)</f>
        <v>2961</v>
      </c>
      <c r="H524" s="1" t="str">
        <f ca="1">IFERROR(__xludf.DUMMYFUNCTION("""COMPUTED_VALUE"""),"MTLSZ002961A21")</f>
        <v>MTLSZ002961A21</v>
      </c>
      <c r="I524" s="2">
        <f ca="1">IFERROR(__xludf.DUMMYFUNCTION("""COMPUTED_VALUE"""),44484)</f>
        <v>44484</v>
      </c>
      <c r="J524" s="2">
        <f ca="1">IFERROR(__xludf.DUMMYFUNCTION("""COMPUTED_VALUE"""),44848)</f>
        <v>44848</v>
      </c>
    </row>
    <row r="525" spans="1:10" x14ac:dyDescent="0.25">
      <c r="A525" s="1" t="str">
        <f ca="1">IFERROR(__xludf.DUMMYFUNCTION("""COMPUTED_VALUE"""),"KörösTSE")</f>
        <v>KörösTSE</v>
      </c>
      <c r="B525" s="1" t="str">
        <f ca="1">IFERROR(__xludf.DUMMYFUNCTION("""COMPUTED_VALUE"""),"Petrovszki Tamás")</f>
        <v>Petrovszki Tamás</v>
      </c>
      <c r="C525" s="1"/>
      <c r="D525" s="1" t="str">
        <f ca="1">IFERROR(__xludf.DUMMYFUNCTION("""COMPUTED_VALUE"""),"Férfi")</f>
        <v>Férfi</v>
      </c>
      <c r="E525" s="1"/>
      <c r="F525" s="1">
        <f ca="1">IFERROR(__xludf.DUMMYFUNCTION("""COMPUTED_VALUE"""),1972)</f>
        <v>1972</v>
      </c>
      <c r="G525" s="1">
        <f ca="1">IFERROR(__xludf.DUMMYFUNCTION("""COMPUTED_VALUE"""),2775)</f>
        <v>2775</v>
      </c>
      <c r="H525" s="1" t="str">
        <f ca="1">IFERROR(__xludf.DUMMYFUNCTION("""COMPUTED_VALUE"""),"MTLSZ002775A21")</f>
        <v>MTLSZ002775A21</v>
      </c>
      <c r="I525" s="2">
        <f ca="1">IFERROR(__xludf.DUMMYFUNCTION("""COMPUTED_VALUE"""),44484)</f>
        <v>44484</v>
      </c>
      <c r="J525" s="2">
        <f ca="1">IFERROR(__xludf.DUMMYFUNCTION("""COMPUTED_VALUE"""),44848)</f>
        <v>44848</v>
      </c>
    </row>
    <row r="526" spans="1:10" x14ac:dyDescent="0.25">
      <c r="A526" s="1" t="str">
        <f ca="1">IFERROR(__xludf.DUMMYFUNCTION("""COMPUTED_VALUE"""),"KörösTSE")</f>
        <v>KörösTSE</v>
      </c>
      <c r="B526" s="1" t="str">
        <f ca="1">IFERROR(__xludf.DUMMYFUNCTION("""COMPUTED_VALUE"""),"Schindler Imre")</f>
        <v>Schindler Imre</v>
      </c>
      <c r="C526" s="1"/>
      <c r="D526" s="1" t="str">
        <f ca="1">IFERROR(__xludf.DUMMYFUNCTION("""COMPUTED_VALUE"""),"Férfi")</f>
        <v>Férfi</v>
      </c>
      <c r="E526" s="1"/>
      <c r="F526" s="1">
        <f ca="1">IFERROR(__xludf.DUMMYFUNCTION("""COMPUTED_VALUE"""),1974)</f>
        <v>1974</v>
      </c>
      <c r="G526" s="1">
        <f ca="1">IFERROR(__xludf.DUMMYFUNCTION("""COMPUTED_VALUE"""),4701)</f>
        <v>4701</v>
      </c>
      <c r="H526" s="1" t="str">
        <f ca="1">IFERROR(__xludf.DUMMYFUNCTION("""COMPUTED_VALUE"""),"MTLSZ004701A21")</f>
        <v>MTLSZ004701A21</v>
      </c>
      <c r="I526" s="2">
        <f ca="1">IFERROR(__xludf.DUMMYFUNCTION("""COMPUTED_VALUE"""),44484)</f>
        <v>44484</v>
      </c>
      <c r="J526" s="2">
        <f ca="1">IFERROR(__xludf.DUMMYFUNCTION("""COMPUTED_VALUE"""),44848)</f>
        <v>44848</v>
      </c>
    </row>
    <row r="527" spans="1:10" x14ac:dyDescent="0.25">
      <c r="A527" s="1" t="str">
        <f ca="1">IFERROR(__xludf.DUMMYFUNCTION("""COMPUTED_VALUE"""),"KörösTSE")</f>
        <v>KörösTSE</v>
      </c>
      <c r="B527" s="1" t="str">
        <f ca="1">IFERROR(__xludf.DUMMYFUNCTION("""COMPUTED_VALUE"""),"Zöld Petra")</f>
        <v>Zöld Petra</v>
      </c>
      <c r="C527" s="1"/>
      <c r="D527" s="1" t="str">
        <f ca="1">IFERROR(__xludf.DUMMYFUNCTION("""COMPUTED_VALUE"""),"Nő")</f>
        <v>Nő</v>
      </c>
      <c r="E527" s="1"/>
      <c r="F527" s="1">
        <f ca="1">IFERROR(__xludf.DUMMYFUNCTION("""COMPUTED_VALUE"""),2007)</f>
        <v>2007</v>
      </c>
      <c r="G527" s="1">
        <f ca="1">IFERROR(__xludf.DUMMYFUNCTION("""COMPUTED_VALUE"""),3234)</f>
        <v>3234</v>
      </c>
      <c r="H527" s="1" t="str">
        <f ca="1">IFERROR(__xludf.DUMMYFUNCTION("""COMPUTED_VALUE"""),"MTLSZ003234A21")</f>
        <v>MTLSZ003234A21</v>
      </c>
      <c r="I527" s="2">
        <f ca="1">IFERROR(__xludf.DUMMYFUNCTION("""COMPUTED_VALUE"""),44484)</f>
        <v>44484</v>
      </c>
      <c r="J527" s="2">
        <f ca="1">IFERROR(__xludf.DUMMYFUNCTION("""COMPUTED_VALUE"""),44848)</f>
        <v>44848</v>
      </c>
    </row>
    <row r="528" spans="1:10" x14ac:dyDescent="0.25">
      <c r="A528" s="1" t="str">
        <f ca="1">IFERROR(__xludf.DUMMYFUNCTION("""COMPUTED_VALUE"""),"Pillangó TK")</f>
        <v>Pillangó TK</v>
      </c>
      <c r="B528" s="1" t="str">
        <f ca="1">IFERROR(__xludf.DUMMYFUNCTION("""COMPUTED_VALUE"""),"Horváth Loretta")</f>
        <v>Horváth Loretta</v>
      </c>
      <c r="C528" s="1"/>
      <c r="D528" s="1" t="str">
        <f ca="1">IFERROR(__xludf.DUMMYFUNCTION("""COMPUTED_VALUE"""),"Nő")</f>
        <v>Nő</v>
      </c>
      <c r="E528" s="1"/>
      <c r="F528" s="1">
        <f ca="1">IFERROR(__xludf.DUMMYFUNCTION("""COMPUTED_VALUE"""),1998)</f>
        <v>1998</v>
      </c>
      <c r="G528" s="1">
        <f ca="1">IFERROR(__xludf.DUMMYFUNCTION("""COMPUTED_VALUE"""),2932)</f>
        <v>2932</v>
      </c>
      <c r="H528" s="1" t="str">
        <f ca="1">IFERROR(__xludf.DUMMYFUNCTION("""COMPUTED_VALUE"""),"MTLSZ002932A21")</f>
        <v>MTLSZ002932A21</v>
      </c>
      <c r="I528" s="2">
        <f ca="1">IFERROR(__xludf.DUMMYFUNCTION("""COMPUTED_VALUE"""),44484)</f>
        <v>44484</v>
      </c>
      <c r="J528" s="2">
        <f ca="1">IFERROR(__xludf.DUMMYFUNCTION("""COMPUTED_VALUE"""),44848)</f>
        <v>44848</v>
      </c>
    </row>
    <row r="529" spans="1:10" x14ac:dyDescent="0.25">
      <c r="A529" s="1" t="str">
        <f ca="1">IFERROR(__xludf.DUMMYFUNCTION("""COMPUTED_VALUE"""),"Újpest TSE")</f>
        <v>Újpest TSE</v>
      </c>
      <c r="B529" s="1" t="str">
        <f ca="1">IFERROR(__xludf.DUMMYFUNCTION("""COMPUTED_VALUE"""),"Nagy Maja Rebeka")</f>
        <v>Nagy Maja Rebeka</v>
      </c>
      <c r="C529" s="1"/>
      <c r="D529" s="1" t="str">
        <f ca="1">IFERROR(__xludf.DUMMYFUNCTION("""COMPUTED_VALUE"""),"Nő")</f>
        <v>Nő</v>
      </c>
      <c r="E529" s="1"/>
      <c r="F529" s="1">
        <f ca="1">IFERROR(__xludf.DUMMYFUNCTION("""COMPUTED_VALUE"""),2001)</f>
        <v>2001</v>
      </c>
      <c r="G529" s="1">
        <f ca="1">IFERROR(__xludf.DUMMYFUNCTION("""COMPUTED_VALUE"""),2926)</f>
        <v>2926</v>
      </c>
      <c r="H529" s="1" t="str">
        <f ca="1">IFERROR(__xludf.DUMMYFUNCTION("""COMPUTED_VALUE"""),"MTLSZ002926A21")</f>
        <v>MTLSZ002926A21</v>
      </c>
      <c r="I529" s="2">
        <f ca="1">IFERROR(__xludf.DUMMYFUNCTION("""COMPUTED_VALUE"""),44484)</f>
        <v>44484</v>
      </c>
      <c r="J529" s="2">
        <f ca="1">IFERROR(__xludf.DUMMYFUNCTION("""COMPUTED_VALUE"""),44848)</f>
        <v>44848</v>
      </c>
    </row>
    <row r="530" spans="1:10" x14ac:dyDescent="0.25">
      <c r="A530" s="1" t="str">
        <f ca="1">IFERROR(__xludf.DUMMYFUNCTION("""COMPUTED_VALUE"""),"VSD")</f>
        <v>VSD</v>
      </c>
      <c r="B530" s="1" t="str">
        <f ca="1">IFERROR(__xludf.DUMMYFUNCTION("""COMPUTED_VALUE"""),"Vetor Nikol Szabina")</f>
        <v>Vetor Nikol Szabina</v>
      </c>
      <c r="C530" s="1"/>
      <c r="D530" s="1" t="str">
        <f ca="1">IFERROR(__xludf.DUMMYFUNCTION("""COMPUTED_VALUE"""),"Nő")</f>
        <v>Nő</v>
      </c>
      <c r="E530" s="1"/>
      <c r="F530" s="1">
        <f ca="1">IFERROR(__xludf.DUMMYFUNCTION("""COMPUTED_VALUE"""),2004)</f>
        <v>2004</v>
      </c>
      <c r="G530" s="1">
        <f ca="1">IFERROR(__xludf.DUMMYFUNCTION("""COMPUTED_VALUE"""),2503)</f>
        <v>2503</v>
      </c>
      <c r="H530" s="1" t="str">
        <f ca="1">IFERROR(__xludf.DUMMYFUNCTION("""COMPUTED_VALUE"""),"MTLSZ002503A21")</f>
        <v>MTLSZ002503A21</v>
      </c>
      <c r="I530" s="2">
        <f ca="1">IFERROR(__xludf.DUMMYFUNCTION("""COMPUTED_VALUE"""),44484)</f>
        <v>44484</v>
      </c>
      <c r="J530" s="2">
        <f ca="1">IFERROR(__xludf.DUMMYFUNCTION("""COMPUTED_VALUE"""),44848)</f>
        <v>44848</v>
      </c>
    </row>
    <row r="531" spans="1:10" x14ac:dyDescent="0.25">
      <c r="A531" s="1" t="str">
        <f ca="1">IFERROR(__xludf.DUMMYFUNCTION("""COMPUTED_VALUE"""),"VSD")</f>
        <v>VSD</v>
      </c>
      <c r="B531" s="1" t="str">
        <f ca="1">IFERROR(__xludf.DUMMYFUNCTION("""COMPUTED_VALUE"""),"Vetor Tánya Tamara")</f>
        <v>Vetor Tánya Tamara</v>
      </c>
      <c r="C531" s="1"/>
      <c r="D531" s="1" t="str">
        <f ca="1">IFERROR(__xludf.DUMMYFUNCTION("""COMPUTED_VALUE"""),"Nő")</f>
        <v>Nő</v>
      </c>
      <c r="E531" s="1"/>
      <c r="F531" s="1">
        <f ca="1">IFERROR(__xludf.DUMMYFUNCTION("""COMPUTED_VALUE"""),2004)</f>
        <v>2004</v>
      </c>
      <c r="G531" s="1">
        <f ca="1">IFERROR(__xludf.DUMMYFUNCTION("""COMPUTED_VALUE"""),2506)</f>
        <v>2506</v>
      </c>
      <c r="H531" s="1" t="str">
        <f ca="1">IFERROR(__xludf.DUMMYFUNCTION("""COMPUTED_VALUE"""),"MTLSZ002506A21")</f>
        <v>MTLSZ002506A21</v>
      </c>
      <c r="I531" s="2">
        <f ca="1">IFERROR(__xludf.DUMMYFUNCTION("""COMPUTED_VALUE"""),44484)</f>
        <v>44484</v>
      </c>
      <c r="J531" s="2">
        <f ca="1">IFERROR(__xludf.DUMMYFUNCTION("""COMPUTED_VALUE"""),44848)</f>
        <v>44848</v>
      </c>
    </row>
    <row r="532" spans="1:10" x14ac:dyDescent="0.25">
      <c r="A532" s="1" t="str">
        <f ca="1">IFERROR(__xludf.DUMMYFUNCTION("""COMPUTED_VALUE"""),"BEAC")</f>
        <v>BEAC</v>
      </c>
      <c r="B532" s="1" t="str">
        <f ca="1">IFERROR(__xludf.DUMMYFUNCTION("""COMPUTED_VALUE"""),"Fehérvári Bence")</f>
        <v>Fehérvári Bence</v>
      </c>
      <c r="C532" s="1"/>
      <c r="D532" s="1" t="str">
        <f ca="1">IFERROR(__xludf.DUMMYFUNCTION("""COMPUTED_VALUE"""),"Férfi")</f>
        <v>Férfi</v>
      </c>
      <c r="E532" s="1"/>
      <c r="F532" s="1">
        <f ca="1">IFERROR(__xludf.DUMMYFUNCTION("""COMPUTED_VALUE"""),1983)</f>
        <v>1983</v>
      </c>
      <c r="G532" s="1">
        <f ca="1">IFERROR(__xludf.DUMMYFUNCTION("""COMPUTED_VALUE"""),1734)</f>
        <v>1734</v>
      </c>
      <c r="H532" s="1" t="str">
        <f ca="1">IFERROR(__xludf.DUMMYFUNCTION("""COMPUTED_VALUE"""),"MTLSZ001734A21")</f>
        <v>MTLSZ001734A21</v>
      </c>
      <c r="I532" s="2">
        <f ca="1">IFERROR(__xludf.DUMMYFUNCTION("""COMPUTED_VALUE"""),44483)</f>
        <v>44483</v>
      </c>
      <c r="J532" s="2">
        <f ca="1">IFERROR(__xludf.DUMMYFUNCTION("""COMPUTED_VALUE"""),44847)</f>
        <v>44847</v>
      </c>
    </row>
    <row r="533" spans="1:10" x14ac:dyDescent="0.25">
      <c r="A533" s="1" t="str">
        <f ca="1">IFERROR(__xludf.DUMMYFUNCTION("""COMPUTED_VALUE"""),"BEAC")</f>
        <v>BEAC</v>
      </c>
      <c r="B533" s="1" t="str">
        <f ca="1">IFERROR(__xludf.DUMMYFUNCTION("""COMPUTED_VALUE"""),"Ficzek Mária")</f>
        <v>Ficzek Mária</v>
      </c>
      <c r="C533" s="1"/>
      <c r="D533" s="1" t="str">
        <f ca="1">IFERROR(__xludf.DUMMYFUNCTION("""COMPUTED_VALUE"""),"Nő")</f>
        <v>Nő</v>
      </c>
      <c r="E533" s="1"/>
      <c r="F533" s="1">
        <f ca="1">IFERROR(__xludf.DUMMYFUNCTION("""COMPUTED_VALUE"""),1971)</f>
        <v>1971</v>
      </c>
      <c r="G533" s="1">
        <f ca="1">IFERROR(__xludf.DUMMYFUNCTION("""COMPUTED_VALUE"""),250)</f>
        <v>250</v>
      </c>
      <c r="H533" s="1" t="str">
        <f ca="1">IFERROR(__xludf.DUMMYFUNCTION("""COMPUTED_VALUE"""),"MTLSZ000250A21")</f>
        <v>MTLSZ000250A21</v>
      </c>
      <c r="I533" s="2">
        <f ca="1">IFERROR(__xludf.DUMMYFUNCTION("""COMPUTED_VALUE"""),44483)</f>
        <v>44483</v>
      </c>
      <c r="J533" s="2">
        <f ca="1">IFERROR(__xludf.DUMMYFUNCTION("""COMPUTED_VALUE"""),44847)</f>
        <v>44847</v>
      </c>
    </row>
    <row r="534" spans="1:10" x14ac:dyDescent="0.25">
      <c r="A534" s="1" t="str">
        <f ca="1">IFERROR(__xludf.DUMMYFUNCTION("""COMPUTED_VALUE"""),"BEAC")</f>
        <v>BEAC</v>
      </c>
      <c r="B534" s="1" t="str">
        <f ca="1">IFERROR(__xludf.DUMMYFUNCTION("""COMPUTED_VALUE"""),"Hambuch Bertold Tamás")</f>
        <v>Hambuch Bertold Tamás</v>
      </c>
      <c r="C534" s="1"/>
      <c r="D534" s="1" t="str">
        <f ca="1">IFERROR(__xludf.DUMMYFUNCTION("""COMPUTED_VALUE"""),"Férfi")</f>
        <v>Férfi</v>
      </c>
      <c r="E534" s="1"/>
      <c r="F534" s="1">
        <f ca="1">IFERROR(__xludf.DUMMYFUNCTION("""COMPUTED_VALUE"""),1994)</f>
        <v>1994</v>
      </c>
      <c r="G534" s="1">
        <f ca="1">IFERROR(__xludf.DUMMYFUNCTION("""COMPUTED_VALUE"""),3553)</f>
        <v>3553</v>
      </c>
      <c r="H534" s="1" t="str">
        <f ca="1">IFERROR(__xludf.DUMMYFUNCTION("""COMPUTED_VALUE"""),"MTLSZ003553A21")</f>
        <v>MTLSZ003553A21</v>
      </c>
      <c r="I534" s="2">
        <f ca="1">IFERROR(__xludf.DUMMYFUNCTION("""COMPUTED_VALUE"""),44483)</f>
        <v>44483</v>
      </c>
      <c r="J534" s="2">
        <f ca="1">IFERROR(__xludf.DUMMYFUNCTION("""COMPUTED_VALUE"""),44847)</f>
        <v>44847</v>
      </c>
    </row>
    <row r="535" spans="1:10" x14ac:dyDescent="0.25">
      <c r="A535" s="1" t="str">
        <f ca="1">IFERROR(__xludf.DUMMYFUNCTION("""COMPUTED_VALUE"""),"BEAC")</f>
        <v>BEAC</v>
      </c>
      <c r="B535" s="1" t="str">
        <f ca="1">IFERROR(__xludf.DUMMYFUNCTION("""COMPUTED_VALUE"""),"Hatvani Szabolcs")</f>
        <v>Hatvani Szabolcs</v>
      </c>
      <c r="C535" s="1"/>
      <c r="D535" s="1" t="str">
        <f ca="1">IFERROR(__xludf.DUMMYFUNCTION("""COMPUTED_VALUE"""),"Férfi")</f>
        <v>Férfi</v>
      </c>
      <c r="E535" s="1"/>
      <c r="F535" s="1">
        <f ca="1">IFERROR(__xludf.DUMMYFUNCTION("""COMPUTED_VALUE"""),1973)</f>
        <v>1973</v>
      </c>
      <c r="G535" s="1">
        <f ca="1">IFERROR(__xludf.DUMMYFUNCTION("""COMPUTED_VALUE"""),347)</f>
        <v>347</v>
      </c>
      <c r="H535" s="1" t="str">
        <f ca="1">IFERROR(__xludf.DUMMYFUNCTION("""COMPUTED_VALUE"""),"MTLSZ000347A21")</f>
        <v>MTLSZ000347A21</v>
      </c>
      <c r="I535" s="2">
        <f ca="1">IFERROR(__xludf.DUMMYFUNCTION("""COMPUTED_VALUE"""),44483)</f>
        <v>44483</v>
      </c>
      <c r="J535" s="2">
        <f ca="1">IFERROR(__xludf.DUMMYFUNCTION("""COMPUTED_VALUE"""),44847)</f>
        <v>44847</v>
      </c>
    </row>
    <row r="536" spans="1:10" x14ac:dyDescent="0.25">
      <c r="A536" s="1" t="str">
        <f ca="1">IFERROR(__xludf.DUMMYFUNCTION("""COMPUTED_VALUE"""),"BEAC")</f>
        <v>BEAC</v>
      </c>
      <c r="B536" s="1" t="str">
        <f ca="1">IFERROR(__xludf.DUMMYFUNCTION("""COMPUTED_VALUE"""),"Hunyady Adrienn")</f>
        <v>Hunyady Adrienn</v>
      </c>
      <c r="C536" s="1"/>
      <c r="D536" s="1" t="str">
        <f ca="1">IFERROR(__xludf.DUMMYFUNCTION("""COMPUTED_VALUE"""),"Nő")</f>
        <v>Nő</v>
      </c>
      <c r="E536" s="1"/>
      <c r="F536" s="1">
        <f ca="1">IFERROR(__xludf.DUMMYFUNCTION("""COMPUTED_VALUE"""),1979)</f>
        <v>1979</v>
      </c>
      <c r="G536" s="1">
        <f ca="1">IFERROR(__xludf.DUMMYFUNCTION("""COMPUTED_VALUE"""),2725)</f>
        <v>2725</v>
      </c>
      <c r="H536" s="1" t="str">
        <f ca="1">IFERROR(__xludf.DUMMYFUNCTION("""COMPUTED_VALUE"""),"MTLSZ002725A21")</f>
        <v>MTLSZ002725A21</v>
      </c>
      <c r="I536" s="2">
        <f ca="1">IFERROR(__xludf.DUMMYFUNCTION("""COMPUTED_VALUE"""),44483)</f>
        <v>44483</v>
      </c>
      <c r="J536" s="2">
        <f ca="1">IFERROR(__xludf.DUMMYFUNCTION("""COMPUTED_VALUE"""),44847)</f>
        <v>44847</v>
      </c>
    </row>
    <row r="537" spans="1:10" x14ac:dyDescent="0.25">
      <c r="A537" s="1" t="str">
        <f ca="1">IFERROR(__xludf.DUMMYFUNCTION("""COMPUTED_VALUE"""),"BEAC")</f>
        <v>BEAC</v>
      </c>
      <c r="B537" s="1" t="str">
        <f ca="1">IFERROR(__xludf.DUMMYFUNCTION("""COMPUTED_VALUE"""),"Kerekes András")</f>
        <v>Kerekes András</v>
      </c>
      <c r="C537" s="1"/>
      <c r="D537" s="1" t="str">
        <f ca="1">IFERROR(__xludf.DUMMYFUNCTION("""COMPUTED_VALUE"""),"Férfi")</f>
        <v>Férfi</v>
      </c>
      <c r="E537" s="1"/>
      <c r="F537" s="1">
        <f ca="1">IFERROR(__xludf.DUMMYFUNCTION("""COMPUTED_VALUE"""),1978)</f>
        <v>1978</v>
      </c>
      <c r="G537" s="1">
        <f ca="1">IFERROR(__xludf.DUMMYFUNCTION("""COMPUTED_VALUE"""),454)</f>
        <v>454</v>
      </c>
      <c r="H537" s="1" t="str">
        <f ca="1">IFERROR(__xludf.DUMMYFUNCTION("""COMPUTED_VALUE"""),"MTLSZ000454A21")</f>
        <v>MTLSZ000454A21</v>
      </c>
      <c r="I537" s="2">
        <f ca="1">IFERROR(__xludf.DUMMYFUNCTION("""COMPUTED_VALUE"""),44483)</f>
        <v>44483</v>
      </c>
      <c r="J537" s="2">
        <f ca="1">IFERROR(__xludf.DUMMYFUNCTION("""COMPUTED_VALUE"""),44847)</f>
        <v>44847</v>
      </c>
    </row>
    <row r="538" spans="1:10" x14ac:dyDescent="0.25">
      <c r="A538" s="1" t="str">
        <f ca="1">IFERROR(__xludf.DUMMYFUNCTION("""COMPUTED_VALUE"""),"BEAC")</f>
        <v>BEAC</v>
      </c>
      <c r="B538" s="1" t="str">
        <f ca="1">IFERROR(__xludf.DUMMYFUNCTION("""COMPUTED_VALUE"""),"Ködmön Gabriella")</f>
        <v>Ködmön Gabriella</v>
      </c>
      <c r="C538" s="1"/>
      <c r="D538" s="1" t="str">
        <f ca="1">IFERROR(__xludf.DUMMYFUNCTION("""COMPUTED_VALUE"""),"Nő")</f>
        <v>Nő</v>
      </c>
      <c r="E538" s="1"/>
      <c r="F538" s="1">
        <f ca="1">IFERROR(__xludf.DUMMYFUNCTION("""COMPUTED_VALUE"""),1990)</f>
        <v>1990</v>
      </c>
      <c r="G538" s="1">
        <f ca="1">IFERROR(__xludf.DUMMYFUNCTION("""COMPUTED_VALUE"""),1235)</f>
        <v>1235</v>
      </c>
      <c r="H538" s="1" t="str">
        <f ca="1">IFERROR(__xludf.DUMMYFUNCTION("""COMPUTED_VALUE"""),"MTLSZ001235A21")</f>
        <v>MTLSZ001235A21</v>
      </c>
      <c r="I538" s="2">
        <f ca="1">IFERROR(__xludf.DUMMYFUNCTION("""COMPUTED_VALUE"""),44483)</f>
        <v>44483</v>
      </c>
      <c r="J538" s="2">
        <f ca="1">IFERROR(__xludf.DUMMYFUNCTION("""COMPUTED_VALUE"""),44847)</f>
        <v>44847</v>
      </c>
    </row>
    <row r="539" spans="1:10" x14ac:dyDescent="0.25">
      <c r="A539" s="1" t="str">
        <f ca="1">IFERROR(__xludf.DUMMYFUNCTION("""COMPUTED_VALUE"""),"BEAC")</f>
        <v>BEAC</v>
      </c>
      <c r="B539" s="1" t="str">
        <f ca="1">IFERROR(__xludf.DUMMYFUNCTION("""COMPUTED_VALUE"""),"Orbán Jakab")</f>
        <v>Orbán Jakab</v>
      </c>
      <c r="C539" s="1"/>
      <c r="D539" s="1" t="str">
        <f ca="1">IFERROR(__xludf.DUMMYFUNCTION("""COMPUTED_VALUE"""),"Férfi")</f>
        <v>Férfi</v>
      </c>
      <c r="E539" s="1"/>
      <c r="F539" s="1">
        <f ca="1">IFERROR(__xludf.DUMMYFUNCTION("""COMPUTED_VALUE"""),1995)</f>
        <v>1995</v>
      </c>
      <c r="G539" s="1">
        <f ca="1">IFERROR(__xludf.DUMMYFUNCTION("""COMPUTED_VALUE"""),1463)</f>
        <v>1463</v>
      </c>
      <c r="H539" s="1" t="str">
        <f ca="1">IFERROR(__xludf.DUMMYFUNCTION("""COMPUTED_VALUE"""),"MTLSZ001463A21")</f>
        <v>MTLSZ001463A21</v>
      </c>
      <c r="I539" s="2">
        <f ca="1">IFERROR(__xludf.DUMMYFUNCTION("""COMPUTED_VALUE"""),44483)</f>
        <v>44483</v>
      </c>
      <c r="J539" s="2">
        <f ca="1">IFERROR(__xludf.DUMMYFUNCTION("""COMPUTED_VALUE"""),44847)</f>
        <v>44847</v>
      </c>
    </row>
    <row r="540" spans="1:10" x14ac:dyDescent="0.25">
      <c r="A540" s="1" t="str">
        <f ca="1">IFERROR(__xludf.DUMMYFUNCTION("""COMPUTED_VALUE"""),"BEAC")</f>
        <v>BEAC</v>
      </c>
      <c r="B540" s="1" t="str">
        <f ca="1">IFERROR(__xludf.DUMMYFUNCTION("""COMPUTED_VALUE"""),"Tóth Zsuzsanna")</f>
        <v>Tóth Zsuzsanna</v>
      </c>
      <c r="C540" s="1"/>
      <c r="D540" s="1" t="str">
        <f ca="1">IFERROR(__xludf.DUMMYFUNCTION("""COMPUTED_VALUE"""),"Nő")</f>
        <v>Nő</v>
      </c>
      <c r="E540" s="1"/>
      <c r="F540" s="1">
        <f ca="1">IFERROR(__xludf.DUMMYFUNCTION("""COMPUTED_VALUE"""),1973)</f>
        <v>1973</v>
      </c>
      <c r="G540" s="1">
        <f ca="1">IFERROR(__xludf.DUMMYFUNCTION("""COMPUTED_VALUE"""),1056)</f>
        <v>1056</v>
      </c>
      <c r="H540" s="1" t="str">
        <f ca="1">IFERROR(__xludf.DUMMYFUNCTION("""COMPUTED_VALUE"""),"MTLSZ001056A21")</f>
        <v>MTLSZ001056A21</v>
      </c>
      <c r="I540" s="2">
        <f ca="1">IFERROR(__xludf.DUMMYFUNCTION("""COMPUTED_VALUE"""),44483)</f>
        <v>44483</v>
      </c>
      <c r="J540" s="2">
        <f ca="1">IFERROR(__xludf.DUMMYFUNCTION("""COMPUTED_VALUE"""),44847)</f>
        <v>44847</v>
      </c>
    </row>
    <row r="541" spans="1:10" x14ac:dyDescent="0.25">
      <c r="A541" s="1" t="str">
        <f ca="1">IFERROR(__xludf.DUMMYFUNCTION("""COMPUTED_VALUE"""),"CET SE")</f>
        <v>CET SE</v>
      </c>
      <c r="B541" s="1" t="str">
        <f ca="1">IFERROR(__xludf.DUMMYFUNCTION("""COMPUTED_VALUE"""),"Bozsó Janka")</f>
        <v>Bozsó Janka</v>
      </c>
      <c r="C541" s="1"/>
      <c r="D541" s="1" t="str">
        <f ca="1">IFERROR(__xludf.DUMMYFUNCTION("""COMPUTED_VALUE"""),"Nő")</f>
        <v>Nő</v>
      </c>
      <c r="E541" s="1"/>
      <c r="F541" s="1">
        <f ca="1">IFERROR(__xludf.DUMMYFUNCTION("""COMPUTED_VALUE"""),2001)</f>
        <v>2001</v>
      </c>
      <c r="G541" s="1">
        <f ca="1">IFERROR(__xludf.DUMMYFUNCTION("""COMPUTED_VALUE"""),2950)</f>
        <v>2950</v>
      </c>
      <c r="H541" s="1" t="str">
        <f ca="1">IFERROR(__xludf.DUMMYFUNCTION("""COMPUTED_VALUE"""),"MTLSZ002950A21")</f>
        <v>MTLSZ002950A21</v>
      </c>
      <c r="I541" s="2">
        <f ca="1">IFERROR(__xludf.DUMMYFUNCTION("""COMPUTED_VALUE"""),44483)</f>
        <v>44483</v>
      </c>
      <c r="J541" s="2">
        <f ca="1">IFERROR(__xludf.DUMMYFUNCTION("""COMPUTED_VALUE"""),44847)</f>
        <v>44847</v>
      </c>
    </row>
    <row r="542" spans="1:10" x14ac:dyDescent="0.25">
      <c r="A542" s="1" t="str">
        <f ca="1">IFERROR(__xludf.DUMMYFUNCTION("""COMPUTED_VALUE"""),"CET SE")</f>
        <v>CET SE</v>
      </c>
      <c r="B542" s="1" t="str">
        <f ca="1">IFERROR(__xludf.DUMMYFUNCTION("""COMPUTED_VALUE"""),"Nagy Gergely")</f>
        <v>Nagy Gergely</v>
      </c>
      <c r="C542" s="1"/>
      <c r="D542" s="1" t="str">
        <f ca="1">IFERROR(__xludf.DUMMYFUNCTION("""COMPUTED_VALUE"""),"Férfi")</f>
        <v>Férfi</v>
      </c>
      <c r="E542" s="1"/>
      <c r="F542" s="1">
        <f ca="1">IFERROR(__xludf.DUMMYFUNCTION("""COMPUTED_VALUE"""),1992)</f>
        <v>1992</v>
      </c>
      <c r="G542" s="1">
        <f ca="1">IFERROR(__xludf.DUMMYFUNCTION("""COMPUTED_VALUE"""),3805)</f>
        <v>3805</v>
      </c>
      <c r="H542" s="1" t="str">
        <f ca="1">IFERROR(__xludf.DUMMYFUNCTION("""COMPUTED_VALUE"""),"MTLSZ003805A21")</f>
        <v>MTLSZ003805A21</v>
      </c>
      <c r="I542" s="2">
        <f ca="1">IFERROR(__xludf.DUMMYFUNCTION("""COMPUTED_VALUE"""),44483)</f>
        <v>44483</v>
      </c>
      <c r="J542" s="2">
        <f ca="1">IFERROR(__xludf.DUMMYFUNCTION("""COMPUTED_VALUE"""),44847)</f>
        <v>44847</v>
      </c>
    </row>
    <row r="543" spans="1:10" x14ac:dyDescent="0.25">
      <c r="A543" s="1" t="str">
        <f ca="1">IFERROR(__xludf.DUMMYFUNCTION("""COMPUTED_VALUE"""),"CET SE")</f>
        <v>CET SE</v>
      </c>
      <c r="B543" s="1" t="str">
        <f ca="1">IFERROR(__xludf.DUMMYFUNCTION("""COMPUTED_VALUE"""),"Oláhné Kiszel Edit")</f>
        <v>Oláhné Kiszel Edit</v>
      </c>
      <c r="C543" s="1"/>
      <c r="D543" s="1" t="str">
        <f ca="1">IFERROR(__xludf.DUMMYFUNCTION("""COMPUTED_VALUE"""),"Nő")</f>
        <v>Nő</v>
      </c>
      <c r="E543" s="1"/>
      <c r="F543" s="1">
        <f ca="1">IFERROR(__xludf.DUMMYFUNCTION("""COMPUTED_VALUE"""),1972)</f>
        <v>1972</v>
      </c>
      <c r="G543" s="1">
        <f ca="1">IFERROR(__xludf.DUMMYFUNCTION("""COMPUTED_VALUE"""),4698)</f>
        <v>4698</v>
      </c>
      <c r="H543" s="1" t="str">
        <f ca="1">IFERROR(__xludf.DUMMYFUNCTION("""COMPUTED_VALUE"""),"MTLSZ004698A21")</f>
        <v>MTLSZ004698A21</v>
      </c>
      <c r="I543" s="2">
        <f ca="1">IFERROR(__xludf.DUMMYFUNCTION("""COMPUTED_VALUE"""),44483)</f>
        <v>44483</v>
      </c>
      <c r="J543" s="2">
        <f ca="1">IFERROR(__xludf.DUMMYFUNCTION("""COMPUTED_VALUE"""),44847)</f>
        <v>44847</v>
      </c>
    </row>
    <row r="544" spans="1:10" x14ac:dyDescent="0.25">
      <c r="A544" s="1" t="str">
        <f ca="1">IFERROR(__xludf.DUMMYFUNCTION("""COMPUTED_VALUE"""),"CET SE")</f>
        <v>CET SE</v>
      </c>
      <c r="B544" s="1" t="str">
        <f ca="1">IFERROR(__xludf.DUMMYFUNCTION("""COMPUTED_VALUE"""),"Szabó Zsolt Csaba")</f>
        <v>Szabó Zsolt Csaba</v>
      </c>
      <c r="C544" s="1"/>
      <c r="D544" s="1" t="str">
        <f ca="1">IFERROR(__xludf.DUMMYFUNCTION("""COMPUTED_VALUE"""),"Férfi")</f>
        <v>Férfi</v>
      </c>
      <c r="E544" s="1"/>
      <c r="F544" s="1">
        <f ca="1">IFERROR(__xludf.DUMMYFUNCTION("""COMPUTED_VALUE"""),1976)</f>
        <v>1976</v>
      </c>
      <c r="G544" s="1">
        <f ca="1">IFERROR(__xludf.DUMMYFUNCTION("""COMPUTED_VALUE"""),4696)</f>
        <v>4696</v>
      </c>
      <c r="H544" s="1" t="str">
        <f ca="1">IFERROR(__xludf.DUMMYFUNCTION("""COMPUTED_VALUE"""),"MTLSZ004696A21")</f>
        <v>MTLSZ004696A21</v>
      </c>
      <c r="I544" s="2">
        <f ca="1">IFERROR(__xludf.DUMMYFUNCTION("""COMPUTED_VALUE"""),44483)</f>
        <v>44483</v>
      </c>
      <c r="J544" s="2">
        <f ca="1">IFERROR(__xludf.DUMMYFUNCTION("""COMPUTED_VALUE"""),44847)</f>
        <v>44847</v>
      </c>
    </row>
    <row r="545" spans="1:10" x14ac:dyDescent="0.25">
      <c r="A545" s="1" t="str">
        <f ca="1">IFERROR(__xludf.DUMMYFUNCTION("""COMPUTED_VALUE"""),"CET SE")</f>
        <v>CET SE</v>
      </c>
      <c r="B545" s="1" t="str">
        <f ca="1">IFERROR(__xludf.DUMMYFUNCTION("""COMPUTED_VALUE"""),"Szegedi Sára")</f>
        <v>Szegedi Sára</v>
      </c>
      <c r="C545" s="1"/>
      <c r="D545" s="1" t="str">
        <f ca="1">IFERROR(__xludf.DUMMYFUNCTION("""COMPUTED_VALUE"""),"Nő")</f>
        <v>Nő</v>
      </c>
      <c r="E545" s="1"/>
      <c r="F545" s="1">
        <f ca="1">IFERROR(__xludf.DUMMYFUNCTION("""COMPUTED_VALUE"""),1986)</f>
        <v>1986</v>
      </c>
      <c r="G545" s="1">
        <f ca="1">IFERROR(__xludf.DUMMYFUNCTION("""COMPUTED_VALUE"""),4697)</f>
        <v>4697</v>
      </c>
      <c r="H545" s="1" t="str">
        <f ca="1">IFERROR(__xludf.DUMMYFUNCTION("""COMPUTED_VALUE"""),"MTLSZ004697A21")</f>
        <v>MTLSZ004697A21</v>
      </c>
      <c r="I545" s="2">
        <f ca="1">IFERROR(__xludf.DUMMYFUNCTION("""COMPUTED_VALUE"""),44483)</f>
        <v>44483</v>
      </c>
      <c r="J545" s="2">
        <f ca="1">IFERROR(__xludf.DUMMYFUNCTION("""COMPUTED_VALUE"""),44847)</f>
        <v>44847</v>
      </c>
    </row>
    <row r="546" spans="1:10" x14ac:dyDescent="0.25">
      <c r="A546" s="1" t="str">
        <f ca="1">IFERROR(__xludf.DUMMYFUNCTION("""COMPUTED_VALUE"""),"Érdi VSE")</f>
        <v>Érdi VSE</v>
      </c>
      <c r="B546" s="1" t="str">
        <f ca="1">IFERROR(__xludf.DUMMYFUNCTION("""COMPUTED_VALUE"""),"Harmos Márton")</f>
        <v>Harmos Márton</v>
      </c>
      <c r="C546" s="1"/>
      <c r="D546" s="1" t="str">
        <f ca="1">IFERROR(__xludf.DUMMYFUNCTION("""COMPUTED_VALUE"""),"Férfi")</f>
        <v>Férfi</v>
      </c>
      <c r="E546" s="1"/>
      <c r="F546" s="1">
        <f ca="1">IFERROR(__xludf.DUMMYFUNCTION("""COMPUTED_VALUE"""),2004)</f>
        <v>2004</v>
      </c>
      <c r="G546" s="1">
        <f ca="1">IFERROR(__xludf.DUMMYFUNCTION("""COMPUTED_VALUE"""),2591)</f>
        <v>2591</v>
      </c>
      <c r="H546" s="1" t="str">
        <f ca="1">IFERROR(__xludf.DUMMYFUNCTION("""COMPUTED_VALUE"""),"MTLSZ002591A21")</f>
        <v>MTLSZ002591A21</v>
      </c>
      <c r="I546" s="2">
        <f ca="1">IFERROR(__xludf.DUMMYFUNCTION("""COMPUTED_VALUE"""),44483)</f>
        <v>44483</v>
      </c>
      <c r="J546" s="2">
        <f ca="1">IFERROR(__xludf.DUMMYFUNCTION("""COMPUTED_VALUE"""),44847)</f>
        <v>44847</v>
      </c>
    </row>
    <row r="547" spans="1:10" x14ac:dyDescent="0.25">
      <c r="A547" s="1" t="str">
        <f ca="1">IFERROR(__xludf.DUMMYFUNCTION("""COMPUTED_VALUE"""),"Érdi VSE")</f>
        <v>Érdi VSE</v>
      </c>
      <c r="B547" s="1" t="str">
        <f ca="1">IFERROR(__xludf.DUMMYFUNCTION("""COMPUTED_VALUE"""),"Kőrösi Ágnes")</f>
        <v>Kőrösi Ágnes</v>
      </c>
      <c r="C547" s="1"/>
      <c r="D547" s="1" t="str">
        <f ca="1">IFERROR(__xludf.DUMMYFUNCTION("""COMPUTED_VALUE"""),"Nő")</f>
        <v>Nő</v>
      </c>
      <c r="E547" s="1"/>
      <c r="F547" s="1">
        <f ca="1">IFERROR(__xludf.DUMMYFUNCTION("""COMPUTED_VALUE"""),1995)</f>
        <v>1995</v>
      </c>
      <c r="G547" s="1">
        <f ca="1">IFERROR(__xludf.DUMMYFUNCTION("""COMPUTED_VALUE"""),1466)</f>
        <v>1466</v>
      </c>
      <c r="H547" s="1" t="str">
        <f ca="1">IFERROR(__xludf.DUMMYFUNCTION("""COMPUTED_VALUE"""),"MTLSZ001466A21")</f>
        <v>MTLSZ001466A21</v>
      </c>
      <c r="I547" s="2">
        <f ca="1">IFERROR(__xludf.DUMMYFUNCTION("""COMPUTED_VALUE"""),44483)</f>
        <v>44483</v>
      </c>
      <c r="J547" s="2">
        <f ca="1">IFERROR(__xludf.DUMMYFUNCTION("""COMPUTED_VALUE"""),44847)</f>
        <v>44847</v>
      </c>
    </row>
    <row r="548" spans="1:10" x14ac:dyDescent="0.25">
      <c r="A548" s="1" t="str">
        <f ca="1">IFERROR(__xludf.DUMMYFUNCTION("""COMPUTED_VALUE"""),"Érdi VSE")</f>
        <v>Érdi VSE</v>
      </c>
      <c r="B548" s="1" t="str">
        <f ca="1">IFERROR(__xludf.DUMMYFUNCTION("""COMPUTED_VALUE"""),"Orbán Gábor")</f>
        <v>Orbán Gábor</v>
      </c>
      <c r="C548" s="1"/>
      <c r="D548" s="1" t="str">
        <f ca="1">IFERROR(__xludf.DUMMYFUNCTION("""COMPUTED_VALUE"""),"Férfi")</f>
        <v>Férfi</v>
      </c>
      <c r="E548" s="1"/>
      <c r="F548" s="1">
        <f ca="1">IFERROR(__xludf.DUMMYFUNCTION("""COMPUTED_VALUE"""),1987)</f>
        <v>1987</v>
      </c>
      <c r="G548" s="1">
        <f ca="1">IFERROR(__xludf.DUMMYFUNCTION("""COMPUTED_VALUE"""),719)</f>
        <v>719</v>
      </c>
      <c r="H548" s="1" t="str">
        <f ca="1">IFERROR(__xludf.DUMMYFUNCTION("""COMPUTED_VALUE"""),"MTLSZ000719A21")</f>
        <v>MTLSZ000719A21</v>
      </c>
      <c r="I548" s="2">
        <f ca="1">IFERROR(__xludf.DUMMYFUNCTION("""COMPUTED_VALUE"""),44483)</f>
        <v>44483</v>
      </c>
      <c r="J548" s="2">
        <f ca="1">IFERROR(__xludf.DUMMYFUNCTION("""COMPUTED_VALUE"""),44847)</f>
        <v>44847</v>
      </c>
    </row>
    <row r="549" spans="1:10" x14ac:dyDescent="0.25">
      <c r="A549" s="1" t="str">
        <f ca="1">IFERROR(__xludf.DUMMYFUNCTION("""COMPUTED_VALUE"""),"Érdi VSE")</f>
        <v>Érdi VSE</v>
      </c>
      <c r="B549" s="1" t="str">
        <f ca="1">IFERROR(__xludf.DUMMYFUNCTION("""COMPUTED_VALUE"""),"Schvirján Zsófia")</f>
        <v>Schvirján Zsófia</v>
      </c>
      <c r="C549" s="1"/>
      <c r="D549" s="1" t="str">
        <f ca="1">IFERROR(__xludf.DUMMYFUNCTION("""COMPUTED_VALUE"""),"Nő")</f>
        <v>Nő</v>
      </c>
      <c r="E549" s="1"/>
      <c r="F549" s="1">
        <f ca="1">IFERROR(__xludf.DUMMYFUNCTION("""COMPUTED_VALUE"""),2006)</f>
        <v>2006</v>
      </c>
      <c r="G549" s="1">
        <f ca="1">IFERROR(__xludf.DUMMYFUNCTION("""COMPUTED_VALUE"""),2750)</f>
        <v>2750</v>
      </c>
      <c r="H549" s="1" t="str">
        <f ca="1">IFERROR(__xludf.DUMMYFUNCTION("""COMPUTED_VALUE"""),"MTLSZ002750A21")</f>
        <v>MTLSZ002750A21</v>
      </c>
      <c r="I549" s="2">
        <f ca="1">IFERROR(__xludf.DUMMYFUNCTION("""COMPUTED_VALUE"""),44483)</f>
        <v>44483</v>
      </c>
      <c r="J549" s="2">
        <f ca="1">IFERROR(__xludf.DUMMYFUNCTION("""COMPUTED_VALUE"""),44847)</f>
        <v>44847</v>
      </c>
    </row>
    <row r="550" spans="1:10" x14ac:dyDescent="0.25">
      <c r="A550" s="1" t="str">
        <f ca="1">IFERROR(__xludf.DUMMYFUNCTION("""COMPUTED_VALUE"""),"Érdi VSE")</f>
        <v>Érdi VSE</v>
      </c>
      <c r="B550" s="1" t="str">
        <f ca="1">IFERROR(__xludf.DUMMYFUNCTION("""COMPUTED_VALUE"""),"Zsarnai Marcell")</f>
        <v>Zsarnai Marcell</v>
      </c>
      <c r="C550" s="1"/>
      <c r="D550" s="1" t="str">
        <f ca="1">IFERROR(__xludf.DUMMYFUNCTION("""COMPUTED_VALUE"""),"Férfi")</f>
        <v>Férfi</v>
      </c>
      <c r="E550" s="1"/>
      <c r="F550" s="1">
        <f ca="1">IFERROR(__xludf.DUMMYFUNCTION("""COMPUTED_VALUE"""),2006)</f>
        <v>2006</v>
      </c>
      <c r="G550" s="1">
        <f ca="1">IFERROR(__xludf.DUMMYFUNCTION("""COMPUTED_VALUE"""),2801)</f>
        <v>2801</v>
      </c>
      <c r="H550" s="1" t="str">
        <f ca="1">IFERROR(__xludf.DUMMYFUNCTION("""COMPUTED_VALUE"""),"MTLSZ002801A21")</f>
        <v>MTLSZ002801A21</v>
      </c>
      <c r="I550" s="2">
        <f ca="1">IFERROR(__xludf.DUMMYFUNCTION("""COMPUTED_VALUE"""),44483)</f>
        <v>44483</v>
      </c>
      <c r="J550" s="2">
        <f ca="1">IFERROR(__xludf.DUMMYFUNCTION("""COMPUTED_VALUE"""),44847)</f>
        <v>44847</v>
      </c>
    </row>
    <row r="551" spans="1:10" x14ac:dyDescent="0.25">
      <c r="A551" s="1" t="str">
        <f ca="1">IFERROR(__xludf.DUMMYFUNCTION("""COMPUTED_VALUE"""),"Talentum TSE")</f>
        <v>Talentum TSE</v>
      </c>
      <c r="B551" s="1" t="str">
        <f ca="1">IFERROR(__xludf.DUMMYFUNCTION("""COMPUTED_VALUE"""),"Budai-Balogh Ervin")</f>
        <v>Budai-Balogh Ervin</v>
      </c>
      <c r="C551" s="1"/>
      <c r="D551" s="1" t="str">
        <f ca="1">IFERROR(__xludf.DUMMYFUNCTION("""COMPUTED_VALUE"""),"Férfi")</f>
        <v>Férfi</v>
      </c>
      <c r="E551" s="1"/>
      <c r="F551" s="1">
        <f ca="1">IFERROR(__xludf.DUMMYFUNCTION("""COMPUTED_VALUE"""),2005)</f>
        <v>2005</v>
      </c>
      <c r="G551" s="1">
        <f ca="1">IFERROR(__xludf.DUMMYFUNCTION("""COMPUTED_VALUE"""),4694)</f>
        <v>4694</v>
      </c>
      <c r="H551" s="1" t="str">
        <f ca="1">IFERROR(__xludf.DUMMYFUNCTION("""COMPUTED_VALUE"""),"MTLSZ004694A21")</f>
        <v>MTLSZ004694A21</v>
      </c>
      <c r="I551" s="2">
        <f ca="1">IFERROR(__xludf.DUMMYFUNCTION("""COMPUTED_VALUE"""),44483)</f>
        <v>44483</v>
      </c>
      <c r="J551" s="2">
        <f ca="1">IFERROR(__xludf.DUMMYFUNCTION("""COMPUTED_VALUE"""),44847)</f>
        <v>44847</v>
      </c>
    </row>
    <row r="552" spans="1:10" x14ac:dyDescent="0.25">
      <c r="A552" s="1" t="str">
        <f ca="1">IFERROR(__xludf.DUMMYFUNCTION("""COMPUTED_VALUE"""),"Talentum TSE")</f>
        <v>Talentum TSE</v>
      </c>
      <c r="B552" s="1" t="str">
        <f ca="1">IFERROR(__xludf.DUMMYFUNCTION("""COMPUTED_VALUE"""),"Lengyel Barna")</f>
        <v>Lengyel Barna</v>
      </c>
      <c r="C552" s="1"/>
      <c r="D552" s="1" t="str">
        <f ca="1">IFERROR(__xludf.DUMMYFUNCTION("""COMPUTED_VALUE"""),"Férfi")</f>
        <v>Férfi</v>
      </c>
      <c r="E552" s="1"/>
      <c r="F552" s="1">
        <f ca="1">IFERROR(__xludf.DUMMYFUNCTION("""COMPUTED_VALUE"""),2006)</f>
        <v>2006</v>
      </c>
      <c r="G552" s="1">
        <f ca="1">IFERROR(__xludf.DUMMYFUNCTION("""COMPUTED_VALUE"""),4695)</f>
        <v>4695</v>
      </c>
      <c r="H552" s="1" t="str">
        <f ca="1">IFERROR(__xludf.DUMMYFUNCTION("""COMPUTED_VALUE"""),"MTLSZ004695A21")</f>
        <v>MTLSZ004695A21</v>
      </c>
      <c r="I552" s="2">
        <f ca="1">IFERROR(__xludf.DUMMYFUNCTION("""COMPUTED_VALUE"""),44483)</f>
        <v>44483</v>
      </c>
      <c r="J552" s="2">
        <f ca="1">IFERROR(__xludf.DUMMYFUNCTION("""COMPUTED_VALUE"""),44847)</f>
        <v>44847</v>
      </c>
    </row>
    <row r="553" spans="1:10" x14ac:dyDescent="0.25">
      <c r="A553" s="1" t="str">
        <f ca="1">IFERROR(__xludf.DUMMYFUNCTION("""COMPUTED_VALUE"""),"Újpest TSE")</f>
        <v>Újpest TSE</v>
      </c>
      <c r="B553" s="1" t="str">
        <f ca="1">IFERROR(__xludf.DUMMYFUNCTION("""COMPUTED_VALUE"""),"Gueli Ábel Luigi")</f>
        <v>Gueli Ábel Luigi</v>
      </c>
      <c r="C553" s="1"/>
      <c r="D553" s="1" t="str">
        <f ca="1">IFERROR(__xludf.DUMMYFUNCTION("""COMPUTED_VALUE"""),"Férfi")</f>
        <v>Férfi</v>
      </c>
      <c r="E553" s="1"/>
      <c r="F553" s="1">
        <f ca="1">IFERROR(__xludf.DUMMYFUNCTION("""COMPUTED_VALUE"""),2001)</f>
        <v>2001</v>
      </c>
      <c r="G553" s="1">
        <f ca="1">IFERROR(__xludf.DUMMYFUNCTION("""COMPUTED_VALUE"""),3616)</f>
        <v>3616</v>
      </c>
      <c r="H553" s="1" t="str">
        <f ca="1">IFERROR(__xludf.DUMMYFUNCTION("""COMPUTED_VALUE"""),"MTLSZ003616A21")</f>
        <v>MTLSZ003616A21</v>
      </c>
      <c r="I553" s="2">
        <f ca="1">IFERROR(__xludf.DUMMYFUNCTION("""COMPUTED_VALUE"""),44483)</f>
        <v>44483</v>
      </c>
      <c r="J553" s="2">
        <f ca="1">IFERROR(__xludf.DUMMYFUNCTION("""COMPUTED_VALUE"""),44847)</f>
        <v>44847</v>
      </c>
    </row>
    <row r="554" spans="1:10" x14ac:dyDescent="0.25">
      <c r="A554" s="1" t="str">
        <f ca="1">IFERROR(__xludf.DUMMYFUNCTION("""COMPUTED_VALUE"""),"VSD")</f>
        <v>VSD</v>
      </c>
      <c r="B554" s="1" t="str">
        <f ca="1">IFERROR(__xludf.DUMMYFUNCTION("""COMPUTED_VALUE"""),"Ágai Zénó")</f>
        <v>Ágai Zénó</v>
      </c>
      <c r="C554" s="1"/>
      <c r="D554" s="1" t="str">
        <f ca="1">IFERROR(__xludf.DUMMYFUNCTION("""COMPUTED_VALUE"""),"Férfi")</f>
        <v>Férfi</v>
      </c>
      <c r="E554" s="1"/>
      <c r="F554" s="1">
        <f ca="1">IFERROR(__xludf.DUMMYFUNCTION("""COMPUTED_VALUE"""),2009)</f>
        <v>2009</v>
      </c>
      <c r="G554" s="1">
        <f ca="1">IFERROR(__xludf.DUMMYFUNCTION("""COMPUTED_VALUE"""),3006)</f>
        <v>3006</v>
      </c>
      <c r="H554" s="1" t="str">
        <f ca="1">IFERROR(__xludf.DUMMYFUNCTION("""COMPUTED_VALUE"""),"MTLSZ003006A21")</f>
        <v>MTLSZ003006A21</v>
      </c>
      <c r="I554" s="2">
        <f ca="1">IFERROR(__xludf.DUMMYFUNCTION("""COMPUTED_VALUE"""),44483)</f>
        <v>44483</v>
      </c>
      <c r="J554" s="2">
        <f ca="1">IFERROR(__xludf.DUMMYFUNCTION("""COMPUTED_VALUE"""),44847)</f>
        <v>44847</v>
      </c>
    </row>
    <row r="555" spans="1:10" x14ac:dyDescent="0.25">
      <c r="A555" s="1" t="str">
        <f ca="1">IFERROR(__xludf.DUMMYFUNCTION("""COMPUTED_VALUE"""),"VSD")</f>
        <v>VSD</v>
      </c>
      <c r="B555" s="1" t="str">
        <f ca="1">IFERROR(__xludf.DUMMYFUNCTION("""COMPUTED_VALUE"""),"Ágai Zsombor")</f>
        <v>Ágai Zsombor</v>
      </c>
      <c r="C555" s="1"/>
      <c r="D555" s="1" t="str">
        <f ca="1">IFERROR(__xludf.DUMMYFUNCTION("""COMPUTED_VALUE"""),"Férfi")</f>
        <v>Férfi</v>
      </c>
      <c r="E555" s="1"/>
      <c r="F555" s="1">
        <f ca="1">IFERROR(__xludf.DUMMYFUNCTION("""COMPUTED_VALUE"""),2004)</f>
        <v>2004</v>
      </c>
      <c r="G555" s="1">
        <f ca="1">IFERROR(__xludf.DUMMYFUNCTION("""COMPUTED_VALUE"""),2888)</f>
        <v>2888</v>
      </c>
      <c r="H555" s="1" t="str">
        <f ca="1">IFERROR(__xludf.DUMMYFUNCTION("""COMPUTED_VALUE"""),"MTLSZ002888A21")</f>
        <v>MTLSZ002888A21</v>
      </c>
      <c r="I555" s="2">
        <f ca="1">IFERROR(__xludf.DUMMYFUNCTION("""COMPUTED_VALUE"""),44483)</f>
        <v>44483</v>
      </c>
      <c r="J555" s="2">
        <f ca="1">IFERROR(__xludf.DUMMYFUNCTION("""COMPUTED_VALUE"""),44847)</f>
        <v>44847</v>
      </c>
    </row>
    <row r="556" spans="1:10" x14ac:dyDescent="0.25">
      <c r="A556" s="1" t="str">
        <f ca="1">IFERROR(__xludf.DUMMYFUNCTION("""COMPUTED_VALUE"""),"VSD")</f>
        <v>VSD</v>
      </c>
      <c r="B556" s="1" t="str">
        <f ca="1">IFERROR(__xludf.DUMMYFUNCTION("""COMPUTED_VALUE"""),"Kis-Kasza Miklós")</f>
        <v>Kis-Kasza Miklós</v>
      </c>
      <c r="C556" s="1"/>
      <c r="D556" s="1" t="str">
        <f ca="1">IFERROR(__xludf.DUMMYFUNCTION("""COMPUTED_VALUE"""),"Férfi")</f>
        <v>Férfi</v>
      </c>
      <c r="E556" s="1"/>
      <c r="F556" s="1">
        <f ca="1">IFERROR(__xludf.DUMMYFUNCTION("""COMPUTED_VALUE"""),2004)</f>
        <v>2004</v>
      </c>
      <c r="G556" s="1">
        <f ca="1">IFERROR(__xludf.DUMMYFUNCTION("""COMPUTED_VALUE"""),2340)</f>
        <v>2340</v>
      </c>
      <c r="H556" s="1" t="str">
        <f ca="1">IFERROR(__xludf.DUMMYFUNCTION("""COMPUTED_VALUE"""),"MTLSZ002340A21")</f>
        <v>MTLSZ002340A21</v>
      </c>
      <c r="I556" s="2">
        <f ca="1">IFERROR(__xludf.DUMMYFUNCTION("""COMPUTED_VALUE"""),44483)</f>
        <v>44483</v>
      </c>
      <c r="J556" s="2">
        <f ca="1">IFERROR(__xludf.DUMMYFUNCTION("""COMPUTED_VALUE"""),44847)</f>
        <v>44847</v>
      </c>
    </row>
    <row r="557" spans="1:10" x14ac:dyDescent="0.25">
      <c r="A557" s="1" t="str">
        <f ca="1">IFERROR(__xludf.DUMMYFUNCTION("""COMPUTED_VALUE"""),"Multi Alarm SE")</f>
        <v>Multi Alarm SE</v>
      </c>
      <c r="B557" s="1" t="str">
        <f ca="1">IFERROR(__xludf.DUMMYFUNCTION("""COMPUTED_VALUE"""),"Hart Petra")</f>
        <v>Hart Petra</v>
      </c>
      <c r="C557" s="1"/>
      <c r="D557" s="1" t="str">
        <f ca="1">IFERROR(__xludf.DUMMYFUNCTION("""COMPUTED_VALUE"""),"Nő")</f>
        <v>Nő</v>
      </c>
      <c r="E557" s="1"/>
      <c r="F557" s="1">
        <f ca="1">IFERROR(__xludf.DUMMYFUNCTION("""COMPUTED_VALUE"""),2006)</f>
        <v>2006</v>
      </c>
      <c r="G557" s="1">
        <f ca="1">IFERROR(__xludf.DUMMYFUNCTION("""COMPUTED_VALUE"""),2579)</f>
        <v>2579</v>
      </c>
      <c r="H557" s="1" t="str">
        <f ca="1">IFERROR(__xludf.DUMMYFUNCTION("""COMPUTED_VALUE"""),"MTLSZ002579A21")</f>
        <v>MTLSZ002579A21</v>
      </c>
      <c r="I557" s="2">
        <f ca="1">IFERROR(__xludf.DUMMYFUNCTION("""COMPUTED_VALUE"""),44482)</f>
        <v>44482</v>
      </c>
      <c r="J557" s="2">
        <f ca="1">IFERROR(__xludf.DUMMYFUNCTION("""COMPUTED_VALUE"""),44846)</f>
        <v>44846</v>
      </c>
    </row>
    <row r="558" spans="1:10" x14ac:dyDescent="0.25">
      <c r="A558" s="1" t="str">
        <f ca="1">IFERROR(__xludf.DUMMYFUNCTION("""COMPUTED_VALUE"""),"Tisza TSE")</f>
        <v>Tisza TSE</v>
      </c>
      <c r="B558" s="1" t="str">
        <f ca="1">IFERROR(__xludf.DUMMYFUNCTION("""COMPUTED_VALUE"""),"Botka Valéria")</f>
        <v>Botka Valéria</v>
      </c>
      <c r="C558" s="1"/>
      <c r="D558" s="1" t="str">
        <f ca="1">IFERROR(__xludf.DUMMYFUNCTION("""COMPUTED_VALUE"""),"Nő")</f>
        <v>Nő</v>
      </c>
      <c r="E558" s="1"/>
      <c r="F558" s="1">
        <f ca="1">IFERROR(__xludf.DUMMYFUNCTION("""COMPUTED_VALUE"""),2008)</f>
        <v>2008</v>
      </c>
      <c r="G558" s="1">
        <f ca="1">IFERROR(__xludf.DUMMYFUNCTION("""COMPUTED_VALUE"""),3951)</f>
        <v>3951</v>
      </c>
      <c r="H558" s="1" t="str">
        <f ca="1">IFERROR(__xludf.DUMMYFUNCTION("""COMPUTED_VALUE"""),"MTLSZ003951A21")</f>
        <v>MTLSZ003951A21</v>
      </c>
      <c r="I558" s="2">
        <f ca="1">IFERROR(__xludf.DUMMYFUNCTION("""COMPUTED_VALUE"""),44482)</f>
        <v>44482</v>
      </c>
      <c r="J558" s="2">
        <f ca="1">IFERROR(__xludf.DUMMYFUNCTION("""COMPUTED_VALUE"""),44846)</f>
        <v>44846</v>
      </c>
    </row>
    <row r="559" spans="1:10" x14ac:dyDescent="0.25">
      <c r="A559" s="1" t="str">
        <f ca="1">IFERROR(__xludf.DUMMYFUNCTION("""COMPUTED_VALUE"""),"Tisza TSE")</f>
        <v>Tisza TSE</v>
      </c>
      <c r="B559" s="1" t="str">
        <f ca="1">IFERROR(__xludf.DUMMYFUNCTION("""COMPUTED_VALUE"""),"Chadaide Zénó")</f>
        <v>Chadaide Zénó</v>
      </c>
      <c r="C559" s="1"/>
      <c r="D559" s="1" t="str">
        <f ca="1">IFERROR(__xludf.DUMMYFUNCTION("""COMPUTED_VALUE"""),"Férfi")</f>
        <v>Férfi</v>
      </c>
      <c r="E559" s="1"/>
      <c r="F559" s="1">
        <f ca="1">IFERROR(__xludf.DUMMYFUNCTION("""COMPUTED_VALUE"""),2009)</f>
        <v>2009</v>
      </c>
      <c r="G559" s="1">
        <f ca="1">IFERROR(__xludf.DUMMYFUNCTION("""COMPUTED_VALUE"""),3568)</f>
        <v>3568</v>
      </c>
      <c r="H559" s="1" t="str">
        <f ca="1">IFERROR(__xludf.DUMMYFUNCTION("""COMPUTED_VALUE"""),"MTLSZ003568A21")</f>
        <v>MTLSZ003568A21</v>
      </c>
      <c r="I559" s="2">
        <f ca="1">IFERROR(__xludf.DUMMYFUNCTION("""COMPUTED_VALUE"""),44482)</f>
        <v>44482</v>
      </c>
      <c r="J559" s="2">
        <f ca="1">IFERROR(__xludf.DUMMYFUNCTION("""COMPUTED_VALUE"""),44846)</f>
        <v>44846</v>
      </c>
    </row>
    <row r="560" spans="1:10" x14ac:dyDescent="0.25">
      <c r="A560" s="1" t="str">
        <f ca="1">IFERROR(__xludf.DUMMYFUNCTION("""COMPUTED_VALUE"""),"Tisza TSE")</f>
        <v>Tisza TSE</v>
      </c>
      <c r="B560" s="1" t="str">
        <f ca="1">IFERROR(__xludf.DUMMYFUNCTION("""COMPUTED_VALUE"""),"Csiszár Kornél")</f>
        <v>Csiszár Kornél</v>
      </c>
      <c r="C560" s="1"/>
      <c r="D560" s="1" t="str">
        <f ca="1">IFERROR(__xludf.DUMMYFUNCTION("""COMPUTED_VALUE"""),"Férfi")</f>
        <v>Férfi</v>
      </c>
      <c r="E560" s="1"/>
      <c r="F560" s="1">
        <f ca="1">IFERROR(__xludf.DUMMYFUNCTION("""COMPUTED_VALUE"""),2010)</f>
        <v>2010</v>
      </c>
      <c r="G560" s="1">
        <f ca="1">IFERROR(__xludf.DUMMYFUNCTION("""COMPUTED_VALUE"""),3403)</f>
        <v>3403</v>
      </c>
      <c r="H560" s="1" t="str">
        <f ca="1">IFERROR(__xludf.DUMMYFUNCTION("""COMPUTED_VALUE"""),"MTLSZ003403A21")</f>
        <v>MTLSZ003403A21</v>
      </c>
      <c r="I560" s="2">
        <f ca="1">IFERROR(__xludf.DUMMYFUNCTION("""COMPUTED_VALUE"""),44482)</f>
        <v>44482</v>
      </c>
      <c r="J560" s="2">
        <f ca="1">IFERROR(__xludf.DUMMYFUNCTION("""COMPUTED_VALUE"""),44846)</f>
        <v>44846</v>
      </c>
    </row>
    <row r="561" spans="1:10" x14ac:dyDescent="0.25">
      <c r="A561" s="1" t="str">
        <f ca="1">IFERROR(__xludf.DUMMYFUNCTION("""COMPUTED_VALUE"""),"Tisza TSE")</f>
        <v>Tisza TSE</v>
      </c>
      <c r="B561" s="1" t="str">
        <f ca="1">IFERROR(__xludf.DUMMYFUNCTION("""COMPUTED_VALUE"""),"Kádár-Németh Kincső")</f>
        <v>Kádár-Németh Kincső</v>
      </c>
      <c r="C561" s="1"/>
      <c r="D561" s="1" t="str">
        <f ca="1">IFERROR(__xludf.DUMMYFUNCTION("""COMPUTED_VALUE"""),"Nő")</f>
        <v>Nő</v>
      </c>
      <c r="E561" s="1"/>
      <c r="F561" s="1">
        <f ca="1">IFERROR(__xludf.DUMMYFUNCTION("""COMPUTED_VALUE"""),2011)</f>
        <v>2011</v>
      </c>
      <c r="G561" s="1">
        <f ca="1">IFERROR(__xludf.DUMMYFUNCTION("""COMPUTED_VALUE"""),3583)</f>
        <v>3583</v>
      </c>
      <c r="H561" s="1" t="str">
        <f ca="1">IFERROR(__xludf.DUMMYFUNCTION("""COMPUTED_VALUE"""),"MTLSZ003583A21")</f>
        <v>MTLSZ003583A21</v>
      </c>
      <c r="I561" s="2">
        <f ca="1">IFERROR(__xludf.DUMMYFUNCTION("""COMPUTED_VALUE"""),44482)</f>
        <v>44482</v>
      </c>
      <c r="J561" s="2">
        <f ca="1">IFERROR(__xludf.DUMMYFUNCTION("""COMPUTED_VALUE"""),44846)</f>
        <v>44846</v>
      </c>
    </row>
    <row r="562" spans="1:10" x14ac:dyDescent="0.25">
      <c r="A562" s="1" t="str">
        <f ca="1">IFERROR(__xludf.DUMMYFUNCTION("""COMPUTED_VALUE"""),"Tisza TSE")</f>
        <v>Tisza TSE</v>
      </c>
      <c r="B562" s="1" t="str">
        <f ca="1">IFERROR(__xludf.DUMMYFUNCTION("""COMPUTED_VALUE"""),"Könczöl Ádám")</f>
        <v>Könczöl Ádám</v>
      </c>
      <c r="C562" s="1"/>
      <c r="D562" s="1" t="str">
        <f ca="1">IFERROR(__xludf.DUMMYFUNCTION("""COMPUTED_VALUE"""),"Férfi")</f>
        <v>Férfi</v>
      </c>
      <c r="E562" s="1"/>
      <c r="F562" s="1">
        <f ca="1">IFERROR(__xludf.DUMMYFUNCTION("""COMPUTED_VALUE"""),2004)</f>
        <v>2004</v>
      </c>
      <c r="G562" s="1">
        <f ca="1">IFERROR(__xludf.DUMMYFUNCTION("""COMPUTED_VALUE"""),2568)</f>
        <v>2568</v>
      </c>
      <c r="H562" s="1" t="str">
        <f ca="1">IFERROR(__xludf.DUMMYFUNCTION("""COMPUTED_VALUE"""),"MTLSZ002568A21")</f>
        <v>MTLSZ002568A21</v>
      </c>
      <c r="I562" s="2">
        <f ca="1">IFERROR(__xludf.DUMMYFUNCTION("""COMPUTED_VALUE"""),44482)</f>
        <v>44482</v>
      </c>
      <c r="J562" s="2">
        <f ca="1">IFERROR(__xludf.DUMMYFUNCTION("""COMPUTED_VALUE"""),44846)</f>
        <v>44846</v>
      </c>
    </row>
    <row r="563" spans="1:10" x14ac:dyDescent="0.25">
      <c r="A563" s="1" t="str">
        <f ca="1">IFERROR(__xludf.DUMMYFUNCTION("""COMPUTED_VALUE"""),"Tisza TSE")</f>
        <v>Tisza TSE</v>
      </c>
      <c r="B563" s="1" t="str">
        <f ca="1">IFERROR(__xludf.DUMMYFUNCTION("""COMPUTED_VALUE"""),"Tóth Dóra Klára")</f>
        <v>Tóth Dóra Klára</v>
      </c>
      <c r="C563" s="1"/>
      <c r="D563" s="1" t="str">
        <f ca="1">IFERROR(__xludf.DUMMYFUNCTION("""COMPUTED_VALUE"""),"Nő")</f>
        <v>Nő</v>
      </c>
      <c r="E563" s="1"/>
      <c r="F563" s="1">
        <f ca="1">IFERROR(__xludf.DUMMYFUNCTION("""COMPUTED_VALUE"""),2006)</f>
        <v>2006</v>
      </c>
      <c r="G563" s="1">
        <f ca="1">IFERROR(__xludf.DUMMYFUNCTION("""COMPUTED_VALUE"""),2717)</f>
        <v>2717</v>
      </c>
      <c r="H563" s="1" t="str">
        <f ca="1">IFERROR(__xludf.DUMMYFUNCTION("""COMPUTED_VALUE"""),"MTLSZ002717A21")</f>
        <v>MTLSZ002717A21</v>
      </c>
      <c r="I563" s="2">
        <f ca="1">IFERROR(__xludf.DUMMYFUNCTION("""COMPUTED_VALUE"""),44482)</f>
        <v>44482</v>
      </c>
      <c r="J563" s="2">
        <f ca="1">IFERROR(__xludf.DUMMYFUNCTION("""COMPUTED_VALUE"""),44846)</f>
        <v>44846</v>
      </c>
    </row>
    <row r="564" spans="1:10" x14ac:dyDescent="0.25">
      <c r="A564" s="1" t="str">
        <f ca="1">IFERROR(__xludf.DUMMYFUNCTION("""COMPUTED_VALUE"""),"Tisza TSE")</f>
        <v>Tisza TSE</v>
      </c>
      <c r="B564" s="1" t="str">
        <f ca="1">IFERROR(__xludf.DUMMYFUNCTION("""COMPUTED_VALUE"""),"Tóth Gábor Zoltán")</f>
        <v>Tóth Gábor Zoltán</v>
      </c>
      <c r="C564" s="1"/>
      <c r="D564" s="1" t="str">
        <f ca="1">IFERROR(__xludf.DUMMYFUNCTION("""COMPUTED_VALUE"""),"Férfi")</f>
        <v>Férfi</v>
      </c>
      <c r="E564" s="1"/>
      <c r="F564" s="1">
        <f ca="1">IFERROR(__xludf.DUMMYFUNCTION("""COMPUTED_VALUE"""),2010)</f>
        <v>2010</v>
      </c>
      <c r="G564" s="1">
        <f ca="1">IFERROR(__xludf.DUMMYFUNCTION("""COMPUTED_VALUE"""),2916)</f>
        <v>2916</v>
      </c>
      <c r="H564" s="1" t="str">
        <f ca="1">IFERROR(__xludf.DUMMYFUNCTION("""COMPUTED_VALUE"""),"MTLSZ002916A21")</f>
        <v>MTLSZ002916A21</v>
      </c>
      <c r="I564" s="2">
        <f ca="1">IFERROR(__xludf.DUMMYFUNCTION("""COMPUTED_VALUE"""),44482)</f>
        <v>44482</v>
      </c>
      <c r="J564" s="2">
        <f ca="1">IFERROR(__xludf.DUMMYFUNCTION("""COMPUTED_VALUE"""),44846)</f>
        <v>44846</v>
      </c>
    </row>
    <row r="565" spans="1:10" x14ac:dyDescent="0.25">
      <c r="A565" s="1" t="str">
        <f ca="1">IFERROR(__xludf.DUMMYFUNCTION("""COMPUTED_VALUE"""),"Újpest TSE")</f>
        <v>Újpest TSE</v>
      </c>
      <c r="B565" s="1" t="str">
        <f ca="1">IFERROR(__xludf.DUMMYFUNCTION("""COMPUTED_VALUE"""),"Csobod Marcell")</f>
        <v>Csobod Marcell</v>
      </c>
      <c r="C565" s="1"/>
      <c r="D565" s="1" t="str">
        <f ca="1">IFERROR(__xludf.DUMMYFUNCTION("""COMPUTED_VALUE"""),"Férfi")</f>
        <v>Férfi</v>
      </c>
      <c r="E565" s="1"/>
      <c r="F565" s="1">
        <f ca="1">IFERROR(__xludf.DUMMYFUNCTION("""COMPUTED_VALUE"""),2001)</f>
        <v>2001</v>
      </c>
      <c r="G565" s="1">
        <f ca="1">IFERROR(__xludf.DUMMYFUNCTION("""COMPUTED_VALUE"""),2738)</f>
        <v>2738</v>
      </c>
      <c r="H565" s="1" t="str">
        <f ca="1">IFERROR(__xludf.DUMMYFUNCTION("""COMPUTED_VALUE"""),"MTLSZ002738A21")</f>
        <v>MTLSZ002738A21</v>
      </c>
      <c r="I565" s="2">
        <f ca="1">IFERROR(__xludf.DUMMYFUNCTION("""COMPUTED_VALUE"""),44482)</f>
        <v>44482</v>
      </c>
      <c r="J565" s="2">
        <f ca="1">IFERROR(__xludf.DUMMYFUNCTION("""COMPUTED_VALUE"""),44846)</f>
        <v>44846</v>
      </c>
    </row>
    <row r="566" spans="1:10" x14ac:dyDescent="0.25">
      <c r="A566" s="1" t="str">
        <f ca="1">IFERROR(__xludf.DUMMYFUNCTION("""COMPUTED_VALUE"""),"Újpest TSE")</f>
        <v>Újpest TSE</v>
      </c>
      <c r="B566" s="1" t="str">
        <f ca="1">IFERROR(__xludf.DUMMYFUNCTION("""COMPUTED_VALUE"""),"Farkas Laura")</f>
        <v>Farkas Laura</v>
      </c>
      <c r="C566" s="1"/>
      <c r="D566" s="1" t="str">
        <f ca="1">IFERROR(__xludf.DUMMYFUNCTION("""COMPUTED_VALUE"""),"Nő")</f>
        <v>Nő</v>
      </c>
      <c r="E566" s="1"/>
      <c r="F566" s="1">
        <f ca="1">IFERROR(__xludf.DUMMYFUNCTION("""COMPUTED_VALUE"""),2001)</f>
        <v>2001</v>
      </c>
      <c r="G566" s="1">
        <f ca="1">IFERROR(__xludf.DUMMYFUNCTION("""COMPUTED_VALUE"""),2732)</f>
        <v>2732</v>
      </c>
      <c r="H566" s="1" t="str">
        <f ca="1">IFERROR(__xludf.DUMMYFUNCTION("""COMPUTED_VALUE"""),"MTLSZ002732A21")</f>
        <v>MTLSZ002732A21</v>
      </c>
      <c r="I566" s="2">
        <f ca="1">IFERROR(__xludf.DUMMYFUNCTION("""COMPUTED_VALUE"""),44482)</f>
        <v>44482</v>
      </c>
      <c r="J566" s="2">
        <f ca="1">IFERROR(__xludf.DUMMYFUNCTION("""COMPUTED_VALUE"""),44846)</f>
        <v>44846</v>
      </c>
    </row>
    <row r="567" spans="1:10" x14ac:dyDescent="0.25">
      <c r="A567" s="1" t="str">
        <f ca="1">IFERROR(__xludf.DUMMYFUNCTION("""COMPUTED_VALUE"""),"Újpest TSE")</f>
        <v>Újpest TSE</v>
      </c>
      <c r="B567" s="1" t="str">
        <f ca="1">IFERROR(__xludf.DUMMYFUNCTION("""COMPUTED_VALUE"""),"Szele Zoltán")</f>
        <v>Szele Zoltán</v>
      </c>
      <c r="C567" s="1"/>
      <c r="D567" s="1" t="str">
        <f ca="1">IFERROR(__xludf.DUMMYFUNCTION("""COMPUTED_VALUE"""),"Férfi")</f>
        <v>Férfi</v>
      </c>
      <c r="E567" s="1"/>
      <c r="F567" s="1">
        <f ca="1">IFERROR(__xludf.DUMMYFUNCTION("""COMPUTED_VALUE"""),1998)</f>
        <v>1998</v>
      </c>
      <c r="G567" s="1">
        <f ca="1">IFERROR(__xludf.DUMMYFUNCTION("""COMPUTED_VALUE"""),2580)</f>
        <v>2580</v>
      </c>
      <c r="H567" s="1" t="str">
        <f ca="1">IFERROR(__xludf.DUMMYFUNCTION("""COMPUTED_VALUE"""),"MTLSZ002580A21")</f>
        <v>MTLSZ002580A21</v>
      </c>
      <c r="I567" s="2">
        <f ca="1">IFERROR(__xludf.DUMMYFUNCTION("""COMPUTED_VALUE"""),44482)</f>
        <v>44482</v>
      </c>
      <c r="J567" s="2">
        <f ca="1">IFERROR(__xludf.DUMMYFUNCTION("""COMPUTED_VALUE"""),44846)</f>
        <v>44846</v>
      </c>
    </row>
    <row r="568" spans="1:10" x14ac:dyDescent="0.25">
      <c r="A568" s="1" t="str">
        <f ca="1">IFERROR(__xludf.DUMMYFUNCTION("""COMPUTED_VALUE"""),"FBSE")</f>
        <v>FBSE</v>
      </c>
      <c r="B568" s="1" t="str">
        <f ca="1">IFERROR(__xludf.DUMMYFUNCTION("""COMPUTED_VALUE"""),"Pető Balázs")</f>
        <v>Pető Balázs</v>
      </c>
      <c r="C568" s="1"/>
      <c r="D568" s="1" t="str">
        <f ca="1">IFERROR(__xludf.DUMMYFUNCTION("""COMPUTED_VALUE"""),"Férfi")</f>
        <v>Férfi</v>
      </c>
      <c r="E568" s="1"/>
      <c r="F568" s="1">
        <f ca="1">IFERROR(__xludf.DUMMYFUNCTION("""COMPUTED_VALUE"""),2009)</f>
        <v>2009</v>
      </c>
      <c r="G568" s="1">
        <f ca="1">IFERROR(__xludf.DUMMYFUNCTION("""COMPUTED_VALUE"""),2997)</f>
        <v>2997</v>
      </c>
      <c r="H568" s="1" t="str">
        <f ca="1">IFERROR(__xludf.DUMMYFUNCTION("""COMPUTED_VALUE"""),"MTLSZ002997A21")</f>
        <v>MTLSZ002997A21</v>
      </c>
      <c r="I568" s="2">
        <f ca="1">IFERROR(__xludf.DUMMYFUNCTION("""COMPUTED_VALUE"""),44477)</f>
        <v>44477</v>
      </c>
      <c r="J568" s="2">
        <f ca="1">IFERROR(__xludf.DUMMYFUNCTION("""COMPUTED_VALUE"""),44841)</f>
        <v>44841</v>
      </c>
    </row>
    <row r="569" spans="1:10" x14ac:dyDescent="0.25">
      <c r="A569" s="1" t="str">
        <f ca="1">IFERROR(__xludf.DUMMYFUNCTION("""COMPUTED_VALUE"""),"Tollas Gólyák SE")</f>
        <v>Tollas Gólyák SE</v>
      </c>
      <c r="B569" s="1" t="str">
        <f ca="1">IFERROR(__xludf.DUMMYFUNCTION("""COMPUTED_VALUE"""),"Horváth-Gyurcsó Márton")</f>
        <v>Horváth-Gyurcsó Márton</v>
      </c>
      <c r="C569" s="1"/>
      <c r="D569" s="1" t="str">
        <f ca="1">IFERROR(__xludf.DUMMYFUNCTION("""COMPUTED_VALUE"""),"Férfi")</f>
        <v>Férfi</v>
      </c>
      <c r="E569" s="1"/>
      <c r="F569" s="1">
        <f ca="1">IFERROR(__xludf.DUMMYFUNCTION("""COMPUTED_VALUE"""),2007)</f>
        <v>2007</v>
      </c>
      <c r="G569" s="1">
        <f ca="1">IFERROR(__xludf.DUMMYFUNCTION("""COMPUTED_VALUE"""),4573)</f>
        <v>4573</v>
      </c>
      <c r="H569" s="1" t="str">
        <f ca="1">IFERROR(__xludf.DUMMYFUNCTION("""COMPUTED_VALUE"""),"MTLSZ004573A21")</f>
        <v>MTLSZ004573A21</v>
      </c>
      <c r="I569" s="2">
        <f ca="1">IFERROR(__xludf.DUMMYFUNCTION("""COMPUTED_VALUE"""),44477)</f>
        <v>44477</v>
      </c>
      <c r="J569" s="2">
        <f ca="1">IFERROR(__xludf.DUMMYFUNCTION("""COMPUTED_VALUE"""),44841)</f>
        <v>44841</v>
      </c>
    </row>
    <row r="570" spans="1:10" x14ac:dyDescent="0.25">
      <c r="A570" s="1" t="str">
        <f ca="1">IFERROR(__xludf.DUMMYFUNCTION("""COMPUTED_VALUE"""),"Hajdú TSE")</f>
        <v>Hajdú TSE</v>
      </c>
      <c r="B570" s="1" t="str">
        <f ca="1">IFERROR(__xludf.DUMMYFUNCTION("""COMPUTED_VALUE"""),"Harangus Paul")</f>
        <v>Harangus Paul</v>
      </c>
      <c r="C570" s="1"/>
      <c r="D570" s="1" t="str">
        <f ca="1">IFERROR(__xludf.DUMMYFUNCTION("""COMPUTED_VALUE"""),"Férfi")</f>
        <v>Férfi</v>
      </c>
      <c r="E570" s="1"/>
      <c r="F570" s="1">
        <f ca="1">IFERROR(__xludf.DUMMYFUNCTION("""COMPUTED_VALUE"""),2002)</f>
        <v>2002</v>
      </c>
      <c r="G570" s="1">
        <f ca="1">IFERROR(__xludf.DUMMYFUNCTION("""COMPUTED_VALUE"""),3557)</f>
        <v>3557</v>
      </c>
      <c r="H570" s="1" t="str">
        <f ca="1">IFERROR(__xludf.DUMMYFUNCTION("""COMPUTED_VALUE"""),"MTLSZ003557A21")</f>
        <v>MTLSZ003557A21</v>
      </c>
      <c r="I570" s="2">
        <f ca="1">IFERROR(__xludf.DUMMYFUNCTION("""COMPUTED_VALUE"""),44476)</f>
        <v>44476</v>
      </c>
      <c r="J570" s="2">
        <f ca="1">IFERROR(__xludf.DUMMYFUNCTION("""COMPUTED_VALUE"""),44840)</f>
        <v>44840</v>
      </c>
    </row>
    <row r="571" spans="1:10" x14ac:dyDescent="0.25">
      <c r="A571" s="1" t="str">
        <f ca="1">IFERROR(__xludf.DUMMYFUNCTION("""COMPUTED_VALUE"""),"Hajdú TSE")</f>
        <v>Hajdú TSE</v>
      </c>
      <c r="B571" s="1" t="str">
        <f ca="1">IFERROR(__xludf.DUMMYFUNCTION("""COMPUTED_VALUE"""),"Molnár Lívia")</f>
        <v>Molnár Lívia</v>
      </c>
      <c r="C571" s="1"/>
      <c r="D571" s="1" t="str">
        <f ca="1">IFERROR(__xludf.DUMMYFUNCTION("""COMPUTED_VALUE"""),"Nő")</f>
        <v>Nő</v>
      </c>
      <c r="E571" s="1"/>
      <c r="F571" s="1">
        <f ca="1">IFERROR(__xludf.DUMMYFUNCTION("""COMPUTED_VALUE"""),2004)</f>
        <v>2004</v>
      </c>
      <c r="G571" s="1">
        <f ca="1">IFERROR(__xludf.DUMMYFUNCTION("""COMPUTED_VALUE"""),2412)</f>
        <v>2412</v>
      </c>
      <c r="H571" s="1" t="str">
        <f ca="1">IFERROR(__xludf.DUMMYFUNCTION("""COMPUTED_VALUE"""),"MTLSZ002412A21")</f>
        <v>MTLSZ002412A21</v>
      </c>
      <c r="I571" s="2">
        <f ca="1">IFERROR(__xludf.DUMMYFUNCTION("""COMPUTED_VALUE"""),44476)</f>
        <v>44476</v>
      </c>
      <c r="J571" s="2">
        <f ca="1">IFERROR(__xludf.DUMMYFUNCTION("""COMPUTED_VALUE"""),44840)</f>
        <v>44840</v>
      </c>
    </row>
    <row r="572" spans="1:10" x14ac:dyDescent="0.25">
      <c r="A572" s="1" t="str">
        <f ca="1">IFERROR(__xludf.DUMMYFUNCTION("""COMPUTED_VALUE"""),"Hajdú TSE")</f>
        <v>Hajdú TSE</v>
      </c>
      <c r="B572" s="1" t="str">
        <f ca="1">IFERROR(__xludf.DUMMYFUNCTION("""COMPUTED_VALUE"""),"Nagy Bence")</f>
        <v>Nagy Bence</v>
      </c>
      <c r="C572" s="1"/>
      <c r="D572" s="1" t="str">
        <f ca="1">IFERROR(__xludf.DUMMYFUNCTION("""COMPUTED_VALUE"""),"Férfi")</f>
        <v>Férfi</v>
      </c>
      <c r="E572" s="1"/>
      <c r="F572" s="1">
        <f ca="1">IFERROR(__xludf.DUMMYFUNCTION("""COMPUTED_VALUE"""),1994)</f>
        <v>1994</v>
      </c>
      <c r="G572" s="1">
        <f ca="1">IFERROR(__xludf.DUMMYFUNCTION("""COMPUTED_VALUE"""),1426)</f>
        <v>1426</v>
      </c>
      <c r="H572" s="1" t="str">
        <f ca="1">IFERROR(__xludf.DUMMYFUNCTION("""COMPUTED_VALUE"""),"MTLSZ001426A21")</f>
        <v>MTLSZ001426A21</v>
      </c>
      <c r="I572" s="2">
        <f ca="1">IFERROR(__xludf.DUMMYFUNCTION("""COMPUTED_VALUE"""),44476)</f>
        <v>44476</v>
      </c>
      <c r="J572" s="2">
        <f ca="1">IFERROR(__xludf.DUMMYFUNCTION("""COMPUTED_VALUE"""),44840)</f>
        <v>44840</v>
      </c>
    </row>
    <row r="573" spans="1:10" x14ac:dyDescent="0.25">
      <c r="A573" s="1" t="str">
        <f ca="1">IFERROR(__xludf.DUMMYFUNCTION("""COMPUTED_VALUE"""),"Hajdú TSE")</f>
        <v>Hajdú TSE</v>
      </c>
      <c r="B573" s="1" t="str">
        <f ca="1">IFERROR(__xludf.DUMMYFUNCTION("""COMPUTED_VALUE"""),"Popescu Daniel")</f>
        <v>Popescu Daniel</v>
      </c>
      <c r="C573" s="1"/>
      <c r="D573" s="1" t="str">
        <f ca="1">IFERROR(__xludf.DUMMYFUNCTION("""COMPUTED_VALUE"""),"Férfi")</f>
        <v>Férfi</v>
      </c>
      <c r="E573" s="1"/>
      <c r="F573" s="1">
        <f ca="1">IFERROR(__xludf.DUMMYFUNCTION("""COMPUTED_VALUE"""),2000)</f>
        <v>2000</v>
      </c>
      <c r="G573" s="1">
        <f ca="1">IFERROR(__xludf.DUMMYFUNCTION("""COMPUTED_VALUE"""),3446)</f>
        <v>3446</v>
      </c>
      <c r="H573" s="1" t="str">
        <f ca="1">IFERROR(__xludf.DUMMYFUNCTION("""COMPUTED_VALUE"""),"MTLSZ003446A21")</f>
        <v>MTLSZ003446A21</v>
      </c>
      <c r="I573" s="2">
        <f ca="1">IFERROR(__xludf.DUMMYFUNCTION("""COMPUTED_VALUE"""),44476)</f>
        <v>44476</v>
      </c>
      <c r="J573" s="2">
        <f ca="1">IFERROR(__xludf.DUMMYFUNCTION("""COMPUTED_VALUE"""),44840)</f>
        <v>44840</v>
      </c>
    </row>
    <row r="574" spans="1:10" x14ac:dyDescent="0.25">
      <c r="A574" s="1" t="str">
        <f ca="1">IFERROR(__xludf.DUMMYFUNCTION("""COMPUTED_VALUE"""),"Hajdú TSE")</f>
        <v>Hajdú TSE</v>
      </c>
      <c r="B574" s="1" t="str">
        <f ca="1">IFERROR(__xludf.DUMMYFUNCTION("""COMPUTED_VALUE"""),"Siska Emese")</f>
        <v>Siska Emese</v>
      </c>
      <c r="C574" s="1"/>
      <c r="D574" s="1" t="str">
        <f ca="1">IFERROR(__xludf.DUMMYFUNCTION("""COMPUTED_VALUE"""),"Nő")</f>
        <v>Nő</v>
      </c>
      <c r="E574" s="1"/>
      <c r="F574" s="1">
        <f ca="1">IFERROR(__xludf.DUMMYFUNCTION("""COMPUTED_VALUE"""),2003)</f>
        <v>2003</v>
      </c>
      <c r="G574" s="1">
        <f ca="1">IFERROR(__xludf.DUMMYFUNCTION("""COMPUTED_VALUE"""),2689)</f>
        <v>2689</v>
      </c>
      <c r="H574" s="1" t="str">
        <f ca="1">IFERROR(__xludf.DUMMYFUNCTION("""COMPUTED_VALUE"""),"MTLSZ002689A21")</f>
        <v>MTLSZ002689A21</v>
      </c>
      <c r="I574" s="2">
        <f ca="1">IFERROR(__xludf.DUMMYFUNCTION("""COMPUTED_VALUE"""),44476)</f>
        <v>44476</v>
      </c>
      <c r="J574" s="2">
        <f ca="1">IFERROR(__xludf.DUMMYFUNCTION("""COMPUTED_VALUE"""),44840)</f>
        <v>44840</v>
      </c>
    </row>
    <row r="575" spans="1:10" x14ac:dyDescent="0.25">
      <c r="A575" s="1" t="str">
        <f ca="1">IFERROR(__xludf.DUMMYFUNCTION("""COMPUTED_VALUE"""),"Hajdú TSE")</f>
        <v>Hajdú TSE</v>
      </c>
      <c r="B575" s="1" t="str">
        <f ca="1">IFERROR(__xludf.DUMMYFUNCTION("""COMPUTED_VALUE"""),"Tompos Lóránd")</f>
        <v>Tompos Lóránd</v>
      </c>
      <c r="C575" s="1"/>
      <c r="D575" s="1" t="str">
        <f ca="1">IFERROR(__xludf.DUMMYFUNCTION("""COMPUTED_VALUE"""),"Férfi")</f>
        <v>Férfi</v>
      </c>
      <c r="E575" s="1"/>
      <c r="F575" s="1">
        <f ca="1">IFERROR(__xludf.DUMMYFUNCTION("""COMPUTED_VALUE"""),1973)</f>
        <v>1973</v>
      </c>
      <c r="G575" s="1">
        <f ca="1">IFERROR(__xludf.DUMMYFUNCTION("""COMPUTED_VALUE"""),3287)</f>
        <v>3287</v>
      </c>
      <c r="H575" s="1" t="str">
        <f ca="1">IFERROR(__xludf.DUMMYFUNCTION("""COMPUTED_VALUE"""),"MTLSZ003287A21")</f>
        <v>MTLSZ003287A21</v>
      </c>
      <c r="I575" s="2">
        <f ca="1">IFERROR(__xludf.DUMMYFUNCTION("""COMPUTED_VALUE"""),44476)</f>
        <v>44476</v>
      </c>
      <c r="J575" s="2">
        <f ca="1">IFERROR(__xludf.DUMMYFUNCTION("""COMPUTED_VALUE"""),44840)</f>
        <v>44840</v>
      </c>
    </row>
    <row r="576" spans="1:10" x14ac:dyDescent="0.25">
      <c r="A576" s="1" t="str">
        <f ca="1">IFERROR(__xludf.DUMMYFUNCTION("""COMPUTED_VALUE"""),"Hajdú TSE")</f>
        <v>Hajdú TSE</v>
      </c>
      <c r="B576" s="1" t="str">
        <f ca="1">IFERROR(__xludf.DUMMYFUNCTION("""COMPUTED_VALUE"""),"Tóth Dániel")</f>
        <v>Tóth Dániel</v>
      </c>
      <c r="C576" s="1"/>
      <c r="D576" s="1" t="str">
        <f ca="1">IFERROR(__xludf.DUMMYFUNCTION("""COMPUTED_VALUE"""),"Férfi")</f>
        <v>Férfi</v>
      </c>
      <c r="E576" s="1"/>
      <c r="F576" s="1">
        <f ca="1">IFERROR(__xludf.DUMMYFUNCTION("""COMPUTED_VALUE"""),1995)</f>
        <v>1995</v>
      </c>
      <c r="G576" s="1">
        <f ca="1">IFERROR(__xludf.DUMMYFUNCTION("""COMPUTED_VALUE"""),1910)</f>
        <v>1910</v>
      </c>
      <c r="H576" s="1" t="str">
        <f ca="1">IFERROR(__xludf.DUMMYFUNCTION("""COMPUTED_VALUE"""),"MTLSZ001910A21")</f>
        <v>MTLSZ001910A21</v>
      </c>
      <c r="I576" s="2">
        <f ca="1">IFERROR(__xludf.DUMMYFUNCTION("""COMPUTED_VALUE"""),44476)</f>
        <v>44476</v>
      </c>
      <c r="J576" s="2">
        <f ca="1">IFERROR(__xludf.DUMMYFUNCTION("""COMPUTED_VALUE"""),44840)</f>
        <v>44840</v>
      </c>
    </row>
    <row r="577" spans="1:10" x14ac:dyDescent="0.25">
      <c r="A577" s="1" t="str">
        <f ca="1">IFERROR(__xludf.DUMMYFUNCTION("""COMPUTED_VALUE"""),"Talentum TSE")</f>
        <v>Talentum TSE</v>
      </c>
      <c r="B577" s="1" t="str">
        <f ca="1">IFERROR(__xludf.DUMMYFUNCTION("""COMPUTED_VALUE"""),"Dobos Nikolett")</f>
        <v>Dobos Nikolett</v>
      </c>
      <c r="C577" s="1"/>
      <c r="D577" s="1" t="str">
        <f ca="1">IFERROR(__xludf.DUMMYFUNCTION("""COMPUTED_VALUE"""),"Nő")</f>
        <v>Nő</v>
      </c>
      <c r="E577" s="1"/>
      <c r="F577" s="1">
        <f ca="1">IFERROR(__xludf.DUMMYFUNCTION("""COMPUTED_VALUE"""),2005)</f>
        <v>2005</v>
      </c>
      <c r="G577" s="1">
        <f ca="1">IFERROR(__xludf.DUMMYFUNCTION("""COMPUTED_VALUE"""),4665)</f>
        <v>4665</v>
      </c>
      <c r="H577" s="1" t="str">
        <f ca="1">IFERROR(__xludf.DUMMYFUNCTION("""COMPUTED_VALUE"""),"MTLSZ004665A21")</f>
        <v>MTLSZ004665A21</v>
      </c>
      <c r="I577" s="2">
        <f ca="1">IFERROR(__xludf.DUMMYFUNCTION("""COMPUTED_VALUE"""),44475)</f>
        <v>44475</v>
      </c>
      <c r="J577" s="2">
        <f ca="1">IFERROR(__xludf.DUMMYFUNCTION("""COMPUTED_VALUE"""),44839)</f>
        <v>44839</v>
      </c>
    </row>
    <row r="578" spans="1:10" x14ac:dyDescent="0.25">
      <c r="A578" s="1" t="str">
        <f ca="1">IFERROR(__xludf.DUMMYFUNCTION("""COMPUTED_VALUE"""),"Talentum TSE")</f>
        <v>Talentum TSE</v>
      </c>
      <c r="B578" s="1" t="str">
        <f ca="1">IFERROR(__xludf.DUMMYFUNCTION("""COMPUTED_VALUE"""),"Gunawan Dhimar")</f>
        <v>Gunawan Dhimar</v>
      </c>
      <c r="C578" s="1"/>
      <c r="D578" s="1" t="str">
        <f ca="1">IFERROR(__xludf.DUMMYFUNCTION("""COMPUTED_VALUE"""),"Férfi")</f>
        <v>Férfi</v>
      </c>
      <c r="E578" s="1"/>
      <c r="F578" s="1">
        <f ca="1">IFERROR(__xludf.DUMMYFUNCTION("""COMPUTED_VALUE"""),2004)</f>
        <v>2004</v>
      </c>
      <c r="G578" s="1">
        <f ca="1">IFERROR(__xludf.DUMMYFUNCTION("""COMPUTED_VALUE"""),4667)</f>
        <v>4667</v>
      </c>
      <c r="H578" s="1" t="str">
        <f ca="1">IFERROR(__xludf.DUMMYFUNCTION("""COMPUTED_VALUE"""),"MTLSZ004667A21")</f>
        <v>MTLSZ004667A21</v>
      </c>
      <c r="I578" s="2">
        <f ca="1">IFERROR(__xludf.DUMMYFUNCTION("""COMPUTED_VALUE"""),44475)</f>
        <v>44475</v>
      </c>
      <c r="J578" s="2">
        <f ca="1">IFERROR(__xludf.DUMMYFUNCTION("""COMPUTED_VALUE"""),44839)</f>
        <v>44839</v>
      </c>
    </row>
    <row r="579" spans="1:10" x14ac:dyDescent="0.25">
      <c r="A579" s="1" t="str">
        <f ca="1">IFERROR(__xludf.DUMMYFUNCTION("""COMPUTED_VALUE"""),"Talentum TSE")</f>
        <v>Talentum TSE</v>
      </c>
      <c r="B579" s="1" t="str">
        <f ca="1">IFERROR(__xludf.DUMMYFUNCTION("""COMPUTED_VALUE"""),"Hoffner Álmos Adrián")</f>
        <v>Hoffner Álmos Adrián</v>
      </c>
      <c r="C579" s="1"/>
      <c r="D579" s="1" t="str">
        <f ca="1">IFERROR(__xludf.DUMMYFUNCTION("""COMPUTED_VALUE"""),"Férfi")</f>
        <v>Férfi</v>
      </c>
      <c r="E579" s="1"/>
      <c r="F579" s="1">
        <f ca="1">IFERROR(__xludf.DUMMYFUNCTION("""COMPUTED_VALUE"""),2007)</f>
        <v>2007</v>
      </c>
      <c r="G579" s="1">
        <f ca="1">IFERROR(__xludf.DUMMYFUNCTION("""COMPUTED_VALUE"""),3331)</f>
        <v>3331</v>
      </c>
      <c r="H579" s="1" t="str">
        <f ca="1">IFERROR(__xludf.DUMMYFUNCTION("""COMPUTED_VALUE"""),"MTLSZ003331A21")</f>
        <v>MTLSZ003331A21</v>
      </c>
      <c r="I579" s="2">
        <f ca="1">IFERROR(__xludf.DUMMYFUNCTION("""COMPUTED_VALUE"""),44475)</f>
        <v>44475</v>
      </c>
      <c r="J579" s="2">
        <f ca="1">IFERROR(__xludf.DUMMYFUNCTION("""COMPUTED_VALUE"""),44839)</f>
        <v>44839</v>
      </c>
    </row>
    <row r="580" spans="1:10" x14ac:dyDescent="0.25">
      <c r="A580" s="1" t="str">
        <f ca="1">IFERROR(__xludf.DUMMYFUNCTION("""COMPUTED_VALUE"""),"Talentum TSE")</f>
        <v>Talentum TSE</v>
      </c>
      <c r="B580" s="1" t="str">
        <f ca="1">IFERROR(__xludf.DUMMYFUNCTION("""COMPUTED_VALUE"""),"Szarvas Jácint")</f>
        <v>Szarvas Jácint</v>
      </c>
      <c r="C580" s="1"/>
      <c r="D580" s="1" t="str">
        <f ca="1">IFERROR(__xludf.DUMMYFUNCTION("""COMPUTED_VALUE"""),"Nő")</f>
        <v>Nő</v>
      </c>
      <c r="E580" s="1"/>
      <c r="F580" s="1">
        <f ca="1">IFERROR(__xludf.DUMMYFUNCTION("""COMPUTED_VALUE"""),2004)</f>
        <v>2004</v>
      </c>
      <c r="G580" s="1">
        <f ca="1">IFERROR(__xludf.DUMMYFUNCTION("""COMPUTED_VALUE"""),4666)</f>
        <v>4666</v>
      </c>
      <c r="H580" s="1" t="str">
        <f ca="1">IFERROR(__xludf.DUMMYFUNCTION("""COMPUTED_VALUE"""),"MTLSZ004666A21")</f>
        <v>MTLSZ004666A21</v>
      </c>
      <c r="I580" s="2">
        <f ca="1">IFERROR(__xludf.DUMMYFUNCTION("""COMPUTED_VALUE"""),44475)</f>
        <v>44475</v>
      </c>
      <c r="J580" s="2">
        <f ca="1">IFERROR(__xludf.DUMMYFUNCTION("""COMPUTED_VALUE"""),44839)</f>
        <v>44839</v>
      </c>
    </row>
    <row r="581" spans="1:10" x14ac:dyDescent="0.25">
      <c r="A581" s="1" t="str">
        <f ca="1">IFERROR(__xludf.DUMMYFUNCTION("""COMPUTED_VALUE"""),"T(r)ollas SE")</f>
        <v>T(r)ollas SE</v>
      </c>
      <c r="B581" s="1" t="str">
        <f ca="1">IFERROR(__xludf.DUMMYFUNCTION("""COMPUTED_VALUE"""),"Boros Ildikó Fruzsina")</f>
        <v>Boros Ildikó Fruzsina</v>
      </c>
      <c r="C581" s="1"/>
      <c r="D581" s="1" t="str">
        <f ca="1">IFERROR(__xludf.DUMMYFUNCTION("""COMPUTED_VALUE"""),"Nő")</f>
        <v>Nő</v>
      </c>
      <c r="E581" s="1"/>
      <c r="F581" s="1">
        <f ca="1">IFERROR(__xludf.DUMMYFUNCTION("""COMPUTED_VALUE"""),1990)</f>
        <v>1990</v>
      </c>
      <c r="G581" s="1">
        <f ca="1">IFERROR(__xludf.DUMMYFUNCTION("""COMPUTED_VALUE"""),3543)</f>
        <v>3543</v>
      </c>
      <c r="H581" s="1" t="str">
        <f ca="1">IFERROR(__xludf.DUMMYFUNCTION("""COMPUTED_VALUE"""),"MTLSZ003543A21")</f>
        <v>MTLSZ003543A21</v>
      </c>
      <c r="I581" s="2">
        <f ca="1">IFERROR(__xludf.DUMMYFUNCTION("""COMPUTED_VALUE"""),44472)</f>
        <v>44472</v>
      </c>
      <c r="J581" s="2">
        <f ca="1">IFERROR(__xludf.DUMMYFUNCTION("""COMPUTED_VALUE"""),44836)</f>
        <v>44836</v>
      </c>
    </row>
    <row r="582" spans="1:10" x14ac:dyDescent="0.25">
      <c r="A582" s="1" t="str">
        <f ca="1">IFERROR(__xludf.DUMMYFUNCTION("""COMPUTED_VALUE"""),"T(r)ollas SE")</f>
        <v>T(r)ollas SE</v>
      </c>
      <c r="B582" s="1" t="str">
        <f ca="1">IFERROR(__xludf.DUMMYFUNCTION("""COMPUTED_VALUE"""),"Deshpande Bharath")</f>
        <v>Deshpande Bharath</v>
      </c>
      <c r="C582" s="1"/>
      <c r="D582" s="1" t="str">
        <f ca="1">IFERROR(__xludf.DUMMYFUNCTION("""COMPUTED_VALUE"""),"Férfi")</f>
        <v>Férfi</v>
      </c>
      <c r="E582" s="1"/>
      <c r="F582" s="1">
        <f ca="1">IFERROR(__xludf.DUMMYFUNCTION("""COMPUTED_VALUE"""),1986)</f>
        <v>1986</v>
      </c>
      <c r="G582" s="1">
        <f ca="1">IFERROR(__xludf.DUMMYFUNCTION("""COMPUTED_VALUE"""),4693)</f>
        <v>4693</v>
      </c>
      <c r="H582" s="1" t="str">
        <f ca="1">IFERROR(__xludf.DUMMYFUNCTION("""COMPUTED_VALUE"""),"MTLSZ004693A21")</f>
        <v>MTLSZ004693A21</v>
      </c>
      <c r="I582" s="2">
        <f ca="1">IFERROR(__xludf.DUMMYFUNCTION("""COMPUTED_VALUE"""),44472)</f>
        <v>44472</v>
      </c>
      <c r="J582" s="2">
        <f ca="1">IFERROR(__xludf.DUMMYFUNCTION("""COMPUTED_VALUE"""),44836)</f>
        <v>44836</v>
      </c>
    </row>
    <row r="583" spans="1:10" x14ac:dyDescent="0.25">
      <c r="A583" s="1" t="str">
        <f ca="1">IFERROR(__xludf.DUMMYFUNCTION("""COMPUTED_VALUE"""),"CET SE")</f>
        <v>CET SE</v>
      </c>
      <c r="B583" s="1" t="str">
        <f ca="1">IFERROR(__xludf.DUMMYFUNCTION("""COMPUTED_VALUE"""),"Ágotai Ede")</f>
        <v>Ágotai Ede</v>
      </c>
      <c r="C583" s="1"/>
      <c r="D583" s="1" t="str">
        <f ca="1">IFERROR(__xludf.DUMMYFUNCTION("""COMPUTED_VALUE"""),"Férfi")</f>
        <v>Férfi</v>
      </c>
      <c r="E583" s="1"/>
      <c r="F583" s="1">
        <f ca="1">IFERROR(__xludf.DUMMYFUNCTION("""COMPUTED_VALUE"""),2007)</f>
        <v>2007</v>
      </c>
      <c r="G583" s="1">
        <f ca="1">IFERROR(__xludf.DUMMYFUNCTION("""COMPUTED_VALUE"""),3639)</f>
        <v>3639</v>
      </c>
      <c r="H583" s="1" t="str">
        <f ca="1">IFERROR(__xludf.DUMMYFUNCTION("""COMPUTED_VALUE"""),"MTLSZ003639A21")</f>
        <v>MTLSZ003639A21</v>
      </c>
      <c r="I583" s="2">
        <f ca="1">IFERROR(__xludf.DUMMYFUNCTION("""COMPUTED_VALUE"""),44471)</f>
        <v>44471</v>
      </c>
      <c r="J583" s="2">
        <f ca="1">IFERROR(__xludf.DUMMYFUNCTION("""COMPUTED_VALUE"""),44835)</f>
        <v>44835</v>
      </c>
    </row>
    <row r="584" spans="1:10" x14ac:dyDescent="0.25">
      <c r="A584" s="1" t="str">
        <f ca="1">IFERROR(__xludf.DUMMYFUNCTION("""COMPUTED_VALUE"""),"CET SE")</f>
        <v>CET SE</v>
      </c>
      <c r="B584" s="1" t="str">
        <f ca="1">IFERROR(__xludf.DUMMYFUNCTION("""COMPUTED_VALUE"""),"Andrékó Tamara")</f>
        <v>Andrékó Tamara</v>
      </c>
      <c r="C584" s="1"/>
      <c r="D584" s="1" t="str">
        <f ca="1">IFERROR(__xludf.DUMMYFUNCTION("""COMPUTED_VALUE"""),"Nő")</f>
        <v>Nő</v>
      </c>
      <c r="E584" s="1"/>
      <c r="F584" s="1">
        <f ca="1">IFERROR(__xludf.DUMMYFUNCTION("""COMPUTED_VALUE"""),2011)</f>
        <v>2011</v>
      </c>
      <c r="G584" s="1">
        <f ca="1">IFERROR(__xludf.DUMMYFUNCTION("""COMPUTED_VALUE"""),4690)</f>
        <v>4690</v>
      </c>
      <c r="H584" s="1" t="str">
        <f ca="1">IFERROR(__xludf.DUMMYFUNCTION("""COMPUTED_VALUE"""),"MTLSZ004690A21")</f>
        <v>MTLSZ004690A21</v>
      </c>
      <c r="I584" s="2">
        <f ca="1">IFERROR(__xludf.DUMMYFUNCTION("""COMPUTED_VALUE"""),44471)</f>
        <v>44471</v>
      </c>
      <c r="J584" s="2">
        <f ca="1">IFERROR(__xludf.DUMMYFUNCTION("""COMPUTED_VALUE"""),44835)</f>
        <v>44835</v>
      </c>
    </row>
    <row r="585" spans="1:10" x14ac:dyDescent="0.25">
      <c r="A585" s="1" t="str">
        <f ca="1">IFERROR(__xludf.DUMMYFUNCTION("""COMPUTED_VALUE"""),"CET SE")</f>
        <v>CET SE</v>
      </c>
      <c r="B585" s="1" t="str">
        <f ca="1">IFERROR(__xludf.DUMMYFUNCTION("""COMPUTED_VALUE"""),"Andrékóné Eszes Anikó")</f>
        <v>Andrékóné Eszes Anikó</v>
      </c>
      <c r="C585" s="1"/>
      <c r="D585" s="1" t="str">
        <f ca="1">IFERROR(__xludf.DUMMYFUNCTION("""COMPUTED_VALUE"""),"Nő")</f>
        <v>Nő</v>
      </c>
      <c r="E585" s="1"/>
      <c r="F585" s="1">
        <f ca="1">IFERROR(__xludf.DUMMYFUNCTION("""COMPUTED_VALUE"""),1982)</f>
        <v>1982</v>
      </c>
      <c r="G585" s="1">
        <f ca="1">IFERROR(__xludf.DUMMYFUNCTION("""COMPUTED_VALUE"""),4689)</f>
        <v>4689</v>
      </c>
      <c r="H585" s="1" t="str">
        <f ca="1">IFERROR(__xludf.DUMMYFUNCTION("""COMPUTED_VALUE"""),"MTLSZ004689A21")</f>
        <v>MTLSZ004689A21</v>
      </c>
      <c r="I585" s="2">
        <f ca="1">IFERROR(__xludf.DUMMYFUNCTION("""COMPUTED_VALUE"""),44471)</f>
        <v>44471</v>
      </c>
      <c r="J585" s="2">
        <f ca="1">IFERROR(__xludf.DUMMYFUNCTION("""COMPUTED_VALUE"""),44835)</f>
        <v>44835</v>
      </c>
    </row>
    <row r="586" spans="1:10" x14ac:dyDescent="0.25">
      <c r="A586" s="1" t="str">
        <f ca="1">IFERROR(__xludf.DUMMYFUNCTION("""COMPUTED_VALUE"""),"CET SE")</f>
        <v>CET SE</v>
      </c>
      <c r="B586" s="1" t="str">
        <f ca="1">IFERROR(__xludf.DUMMYFUNCTION("""COMPUTED_VALUE"""),"Balassa Áron")</f>
        <v>Balassa Áron</v>
      </c>
      <c r="C586" s="1"/>
      <c r="D586" s="1" t="str">
        <f ca="1">IFERROR(__xludf.DUMMYFUNCTION("""COMPUTED_VALUE"""),"Férfi")</f>
        <v>Férfi</v>
      </c>
      <c r="E586" s="1"/>
      <c r="F586" s="1">
        <f ca="1">IFERROR(__xludf.DUMMYFUNCTION("""COMPUTED_VALUE"""),2009)</f>
        <v>2009</v>
      </c>
      <c r="G586" s="1">
        <f ca="1">IFERROR(__xludf.DUMMYFUNCTION("""COMPUTED_VALUE"""),4676)</f>
        <v>4676</v>
      </c>
      <c r="H586" s="1" t="str">
        <f ca="1">IFERROR(__xludf.DUMMYFUNCTION("""COMPUTED_VALUE"""),"MTLSZ004676A21")</f>
        <v>MTLSZ004676A21</v>
      </c>
      <c r="I586" s="2">
        <f ca="1">IFERROR(__xludf.DUMMYFUNCTION("""COMPUTED_VALUE"""),44471)</f>
        <v>44471</v>
      </c>
      <c r="J586" s="2">
        <f ca="1">IFERROR(__xludf.DUMMYFUNCTION("""COMPUTED_VALUE"""),44835)</f>
        <v>44835</v>
      </c>
    </row>
    <row r="587" spans="1:10" x14ac:dyDescent="0.25">
      <c r="A587" s="1" t="str">
        <f ca="1">IFERROR(__xludf.DUMMYFUNCTION("""COMPUTED_VALUE"""),"CET SE")</f>
        <v>CET SE</v>
      </c>
      <c r="B587" s="1" t="str">
        <f ca="1">IFERROR(__xludf.DUMMYFUNCTION("""COMPUTED_VALUE"""),"Balog Pál")</f>
        <v>Balog Pál</v>
      </c>
      <c r="C587" s="1"/>
      <c r="D587" s="1" t="str">
        <f ca="1">IFERROR(__xludf.DUMMYFUNCTION("""COMPUTED_VALUE"""),"Férfi")</f>
        <v>Férfi</v>
      </c>
      <c r="E587" s="1"/>
      <c r="F587" s="1">
        <f ca="1">IFERROR(__xludf.DUMMYFUNCTION("""COMPUTED_VALUE"""),2014)</f>
        <v>2014</v>
      </c>
      <c r="G587" s="1">
        <f ca="1">IFERROR(__xludf.DUMMYFUNCTION("""COMPUTED_VALUE"""),4687)</f>
        <v>4687</v>
      </c>
      <c r="H587" s="1" t="str">
        <f ca="1">IFERROR(__xludf.DUMMYFUNCTION("""COMPUTED_VALUE"""),"MTLSZ004687A21")</f>
        <v>MTLSZ004687A21</v>
      </c>
      <c r="I587" s="2">
        <f ca="1">IFERROR(__xludf.DUMMYFUNCTION("""COMPUTED_VALUE"""),44471)</f>
        <v>44471</v>
      </c>
      <c r="J587" s="2">
        <f ca="1">IFERROR(__xludf.DUMMYFUNCTION("""COMPUTED_VALUE"""),44835)</f>
        <v>44835</v>
      </c>
    </row>
    <row r="588" spans="1:10" x14ac:dyDescent="0.25">
      <c r="A588" s="1" t="str">
        <f ca="1">IFERROR(__xludf.DUMMYFUNCTION("""COMPUTED_VALUE"""),"CET SE")</f>
        <v>CET SE</v>
      </c>
      <c r="B588" s="1" t="str">
        <f ca="1">IFERROR(__xludf.DUMMYFUNCTION("""COMPUTED_VALUE"""),"Dinyák Boldizsár Csaba")</f>
        <v>Dinyák Boldizsár Csaba</v>
      </c>
      <c r="C588" s="1"/>
      <c r="D588" s="1" t="str">
        <f ca="1">IFERROR(__xludf.DUMMYFUNCTION("""COMPUTED_VALUE"""),"Férfi")</f>
        <v>Férfi</v>
      </c>
      <c r="E588" s="1"/>
      <c r="F588" s="1">
        <f ca="1">IFERROR(__xludf.DUMMYFUNCTION("""COMPUTED_VALUE"""),2008)</f>
        <v>2008</v>
      </c>
      <c r="G588" s="1">
        <f ca="1">IFERROR(__xludf.DUMMYFUNCTION("""COMPUTED_VALUE"""),4683)</f>
        <v>4683</v>
      </c>
      <c r="H588" s="1" t="str">
        <f ca="1">IFERROR(__xludf.DUMMYFUNCTION("""COMPUTED_VALUE"""),"MTLSZ004683A21")</f>
        <v>MTLSZ004683A21</v>
      </c>
      <c r="I588" s="2">
        <f ca="1">IFERROR(__xludf.DUMMYFUNCTION("""COMPUTED_VALUE"""),44471)</f>
        <v>44471</v>
      </c>
      <c r="J588" s="2">
        <f ca="1">IFERROR(__xludf.DUMMYFUNCTION("""COMPUTED_VALUE"""),44835)</f>
        <v>44835</v>
      </c>
    </row>
    <row r="589" spans="1:10" x14ac:dyDescent="0.25">
      <c r="A589" s="1" t="str">
        <f ca="1">IFERROR(__xludf.DUMMYFUNCTION("""COMPUTED_VALUE"""),"CET SE")</f>
        <v>CET SE</v>
      </c>
      <c r="B589" s="1" t="str">
        <f ca="1">IFERROR(__xludf.DUMMYFUNCTION("""COMPUTED_VALUE"""),"Dóczi Barnabás")</f>
        <v>Dóczi Barnabás</v>
      </c>
      <c r="C589" s="1"/>
      <c r="D589" s="1" t="str">
        <f ca="1">IFERROR(__xludf.DUMMYFUNCTION("""COMPUTED_VALUE"""),"Férfi")</f>
        <v>Férfi</v>
      </c>
      <c r="E589" s="1"/>
      <c r="F589" s="1">
        <f ca="1">IFERROR(__xludf.DUMMYFUNCTION("""COMPUTED_VALUE"""),2010)</f>
        <v>2010</v>
      </c>
      <c r="G589" s="1">
        <f ca="1">IFERROR(__xludf.DUMMYFUNCTION("""COMPUTED_VALUE"""),4669)</f>
        <v>4669</v>
      </c>
      <c r="H589" s="1" t="str">
        <f ca="1">IFERROR(__xludf.DUMMYFUNCTION("""COMPUTED_VALUE"""),"MTLSZ004669A21")</f>
        <v>MTLSZ004669A21</v>
      </c>
      <c r="I589" s="2">
        <f ca="1">IFERROR(__xludf.DUMMYFUNCTION("""COMPUTED_VALUE"""),44471)</f>
        <v>44471</v>
      </c>
      <c r="J589" s="2">
        <f ca="1">IFERROR(__xludf.DUMMYFUNCTION("""COMPUTED_VALUE"""),44835)</f>
        <v>44835</v>
      </c>
    </row>
    <row r="590" spans="1:10" x14ac:dyDescent="0.25">
      <c r="A590" s="1" t="str">
        <f ca="1">IFERROR(__xludf.DUMMYFUNCTION("""COMPUTED_VALUE"""),"CET SE")</f>
        <v>CET SE</v>
      </c>
      <c r="B590" s="1" t="str">
        <f ca="1">IFERROR(__xludf.DUMMYFUNCTION("""COMPUTED_VALUE"""),"Dóra Liza")</f>
        <v>Dóra Liza</v>
      </c>
      <c r="C590" s="1"/>
      <c r="D590" s="1" t="str">
        <f ca="1">IFERROR(__xludf.DUMMYFUNCTION("""COMPUTED_VALUE"""),"Nő")</f>
        <v>Nő</v>
      </c>
      <c r="E590" s="1"/>
      <c r="F590" s="1">
        <f ca="1">IFERROR(__xludf.DUMMYFUNCTION("""COMPUTED_VALUE"""),2010)</f>
        <v>2010</v>
      </c>
      <c r="G590" s="1">
        <f ca="1">IFERROR(__xludf.DUMMYFUNCTION("""COMPUTED_VALUE"""),4675)</f>
        <v>4675</v>
      </c>
      <c r="H590" s="1" t="str">
        <f ca="1">IFERROR(__xludf.DUMMYFUNCTION("""COMPUTED_VALUE"""),"MTLSZ004675A21")</f>
        <v>MTLSZ004675A21</v>
      </c>
      <c r="I590" s="2">
        <f ca="1">IFERROR(__xludf.DUMMYFUNCTION("""COMPUTED_VALUE"""),44471)</f>
        <v>44471</v>
      </c>
      <c r="J590" s="2">
        <f ca="1">IFERROR(__xludf.DUMMYFUNCTION("""COMPUTED_VALUE"""),44835)</f>
        <v>44835</v>
      </c>
    </row>
    <row r="591" spans="1:10" x14ac:dyDescent="0.25">
      <c r="A591" s="1" t="str">
        <f ca="1">IFERROR(__xludf.DUMMYFUNCTION("""COMPUTED_VALUE"""),"CET SE")</f>
        <v>CET SE</v>
      </c>
      <c r="B591" s="1" t="str">
        <f ca="1">IFERROR(__xludf.DUMMYFUNCTION("""COMPUTED_VALUE"""),"Fehér Zoltán")</f>
        <v>Fehér Zoltán</v>
      </c>
      <c r="C591" s="1"/>
      <c r="D591" s="1" t="str">
        <f ca="1">IFERROR(__xludf.DUMMYFUNCTION("""COMPUTED_VALUE"""),"Férfi")</f>
        <v>Férfi</v>
      </c>
      <c r="E591" s="1"/>
      <c r="F591" s="1">
        <f ca="1">IFERROR(__xludf.DUMMYFUNCTION("""COMPUTED_VALUE"""),1975)</f>
        <v>1975</v>
      </c>
      <c r="G591" s="1">
        <f ca="1">IFERROR(__xludf.DUMMYFUNCTION("""COMPUTED_VALUE"""),4668)</f>
        <v>4668</v>
      </c>
      <c r="H591" s="1" t="str">
        <f ca="1">IFERROR(__xludf.DUMMYFUNCTION("""COMPUTED_VALUE"""),"MTLSZ004668A21")</f>
        <v>MTLSZ004668A21</v>
      </c>
      <c r="I591" s="2">
        <f ca="1">IFERROR(__xludf.DUMMYFUNCTION("""COMPUTED_VALUE"""),44471)</f>
        <v>44471</v>
      </c>
      <c r="J591" s="2">
        <f ca="1">IFERROR(__xludf.DUMMYFUNCTION("""COMPUTED_VALUE"""),44835)</f>
        <v>44835</v>
      </c>
    </row>
    <row r="592" spans="1:10" x14ac:dyDescent="0.25">
      <c r="A592" s="1" t="str">
        <f ca="1">IFERROR(__xludf.DUMMYFUNCTION("""COMPUTED_VALUE"""),"CET SE")</f>
        <v>CET SE</v>
      </c>
      <c r="B592" s="1" t="str">
        <f ca="1">IFERROR(__xludf.DUMMYFUNCTION("""COMPUTED_VALUE"""),"Gulyás Izabella")</f>
        <v>Gulyás Izabella</v>
      </c>
      <c r="C592" s="1"/>
      <c r="D592" s="1" t="str">
        <f ca="1">IFERROR(__xludf.DUMMYFUNCTION("""COMPUTED_VALUE"""),"Nő")</f>
        <v>Nő</v>
      </c>
      <c r="E592" s="1"/>
      <c r="F592" s="1">
        <f ca="1">IFERROR(__xludf.DUMMYFUNCTION("""COMPUTED_VALUE"""),2014)</f>
        <v>2014</v>
      </c>
      <c r="G592" s="1">
        <f ca="1">IFERROR(__xludf.DUMMYFUNCTION("""COMPUTED_VALUE"""),4674)</f>
        <v>4674</v>
      </c>
      <c r="H592" s="1" t="str">
        <f ca="1">IFERROR(__xludf.DUMMYFUNCTION("""COMPUTED_VALUE"""),"MTLSZ004674A21")</f>
        <v>MTLSZ004674A21</v>
      </c>
      <c r="I592" s="2">
        <f ca="1">IFERROR(__xludf.DUMMYFUNCTION("""COMPUTED_VALUE"""),44471)</f>
        <v>44471</v>
      </c>
      <c r="J592" s="2">
        <f ca="1">IFERROR(__xludf.DUMMYFUNCTION("""COMPUTED_VALUE"""),44835)</f>
        <v>44835</v>
      </c>
    </row>
    <row r="593" spans="1:10" x14ac:dyDescent="0.25">
      <c r="A593" s="1" t="str">
        <f ca="1">IFERROR(__xludf.DUMMYFUNCTION("""COMPUTED_VALUE"""),"CET SE")</f>
        <v>CET SE</v>
      </c>
      <c r="B593" s="1" t="str">
        <f ca="1">IFERROR(__xludf.DUMMYFUNCTION("""COMPUTED_VALUE"""),"Herczeg Imre")</f>
        <v>Herczeg Imre</v>
      </c>
      <c r="C593" s="1"/>
      <c r="D593" s="1" t="str">
        <f ca="1">IFERROR(__xludf.DUMMYFUNCTION("""COMPUTED_VALUE"""),"Férfi")</f>
        <v>Férfi</v>
      </c>
      <c r="E593" s="1"/>
      <c r="F593" s="1">
        <f ca="1">IFERROR(__xludf.DUMMYFUNCTION("""COMPUTED_VALUE"""),1974)</f>
        <v>1974</v>
      </c>
      <c r="G593" s="1">
        <f ca="1">IFERROR(__xludf.DUMMYFUNCTION("""COMPUTED_VALUE"""),4686)</f>
        <v>4686</v>
      </c>
      <c r="H593" s="1" t="str">
        <f ca="1">IFERROR(__xludf.DUMMYFUNCTION("""COMPUTED_VALUE"""),"MTLSZ004686A21")</f>
        <v>MTLSZ004686A21</v>
      </c>
      <c r="I593" s="2">
        <f ca="1">IFERROR(__xludf.DUMMYFUNCTION("""COMPUTED_VALUE"""),44471)</f>
        <v>44471</v>
      </c>
      <c r="J593" s="2">
        <f ca="1">IFERROR(__xludf.DUMMYFUNCTION("""COMPUTED_VALUE"""),44835)</f>
        <v>44835</v>
      </c>
    </row>
    <row r="594" spans="1:10" x14ac:dyDescent="0.25">
      <c r="A594" s="1" t="str">
        <f ca="1">IFERROR(__xludf.DUMMYFUNCTION("""COMPUTED_VALUE"""),"CET SE")</f>
        <v>CET SE</v>
      </c>
      <c r="B594" s="1" t="str">
        <f ca="1">IFERROR(__xludf.DUMMYFUNCTION("""COMPUTED_VALUE"""),"Kiss Lara")</f>
        <v>Kiss Lara</v>
      </c>
      <c r="C594" s="1"/>
      <c r="D594" s="1" t="str">
        <f ca="1">IFERROR(__xludf.DUMMYFUNCTION("""COMPUTED_VALUE"""),"Nő")</f>
        <v>Nő</v>
      </c>
      <c r="E594" s="1"/>
      <c r="F594" s="1">
        <f ca="1">IFERROR(__xludf.DUMMYFUNCTION("""COMPUTED_VALUE"""),2012)</f>
        <v>2012</v>
      </c>
      <c r="G594" s="1">
        <f ca="1">IFERROR(__xludf.DUMMYFUNCTION("""COMPUTED_VALUE"""),4672)</f>
        <v>4672</v>
      </c>
      <c r="H594" s="1" t="str">
        <f ca="1">IFERROR(__xludf.DUMMYFUNCTION("""COMPUTED_VALUE"""),"MTLSZ004672A21")</f>
        <v>MTLSZ004672A21</v>
      </c>
      <c r="I594" s="2">
        <f ca="1">IFERROR(__xludf.DUMMYFUNCTION("""COMPUTED_VALUE"""),44471)</f>
        <v>44471</v>
      </c>
      <c r="J594" s="2">
        <f ca="1">IFERROR(__xludf.DUMMYFUNCTION("""COMPUTED_VALUE"""),44835)</f>
        <v>44835</v>
      </c>
    </row>
    <row r="595" spans="1:10" x14ac:dyDescent="0.25">
      <c r="A595" s="1" t="str">
        <f ca="1">IFERROR(__xludf.DUMMYFUNCTION("""COMPUTED_VALUE"""),"CET SE")</f>
        <v>CET SE</v>
      </c>
      <c r="B595" s="1" t="str">
        <f ca="1">IFERROR(__xludf.DUMMYFUNCTION("""COMPUTED_VALUE"""),"Kis-Varga Noel Ármin")</f>
        <v>Kis-Varga Noel Ármin</v>
      </c>
      <c r="C595" s="1"/>
      <c r="D595" s="1" t="str">
        <f ca="1">IFERROR(__xludf.DUMMYFUNCTION("""COMPUTED_VALUE"""),"Férfi")</f>
        <v>Férfi</v>
      </c>
      <c r="E595" s="1"/>
      <c r="F595" s="1">
        <f ca="1">IFERROR(__xludf.DUMMYFUNCTION("""COMPUTED_VALUE"""),2013)</f>
        <v>2013</v>
      </c>
      <c r="G595" s="1">
        <f ca="1">IFERROR(__xludf.DUMMYFUNCTION("""COMPUTED_VALUE"""),4682)</f>
        <v>4682</v>
      </c>
      <c r="H595" s="1" t="str">
        <f ca="1">IFERROR(__xludf.DUMMYFUNCTION("""COMPUTED_VALUE"""),"MTLSZ004682A21")</f>
        <v>MTLSZ004682A21</v>
      </c>
      <c r="I595" s="2">
        <f ca="1">IFERROR(__xludf.DUMMYFUNCTION("""COMPUTED_VALUE"""),44471)</f>
        <v>44471</v>
      </c>
      <c r="J595" s="2">
        <f ca="1">IFERROR(__xludf.DUMMYFUNCTION("""COMPUTED_VALUE"""),44835)</f>
        <v>44835</v>
      </c>
    </row>
    <row r="596" spans="1:10" x14ac:dyDescent="0.25">
      <c r="A596" s="1" t="str">
        <f ca="1">IFERROR(__xludf.DUMMYFUNCTION("""COMPUTED_VALUE"""),"CET SE")</f>
        <v>CET SE</v>
      </c>
      <c r="B596" s="1" t="str">
        <f ca="1">IFERROR(__xludf.DUMMYFUNCTION("""COMPUTED_VALUE"""),"Kovács György János")</f>
        <v>Kovács György János</v>
      </c>
      <c r="C596" s="1"/>
      <c r="D596" s="1" t="str">
        <f ca="1">IFERROR(__xludf.DUMMYFUNCTION("""COMPUTED_VALUE"""),"Férfi")</f>
        <v>Férfi</v>
      </c>
      <c r="E596" s="1"/>
      <c r="F596" s="1">
        <f ca="1">IFERROR(__xludf.DUMMYFUNCTION("""COMPUTED_VALUE"""),1970)</f>
        <v>1970</v>
      </c>
      <c r="G596" s="1">
        <f ca="1">IFERROR(__xludf.DUMMYFUNCTION("""COMPUTED_VALUE"""),3665)</f>
        <v>3665</v>
      </c>
      <c r="H596" s="1" t="str">
        <f ca="1">IFERROR(__xludf.DUMMYFUNCTION("""COMPUTED_VALUE"""),"MTLSZ003665A21")</f>
        <v>MTLSZ003665A21</v>
      </c>
      <c r="I596" s="2">
        <f ca="1">IFERROR(__xludf.DUMMYFUNCTION("""COMPUTED_VALUE"""),44471)</f>
        <v>44471</v>
      </c>
      <c r="J596" s="2">
        <f ca="1">IFERROR(__xludf.DUMMYFUNCTION("""COMPUTED_VALUE"""),44835)</f>
        <v>44835</v>
      </c>
    </row>
    <row r="597" spans="1:10" x14ac:dyDescent="0.25">
      <c r="A597" s="1" t="str">
        <f ca="1">IFERROR(__xludf.DUMMYFUNCTION("""COMPUTED_VALUE"""),"CET SE")</f>
        <v>CET SE</v>
      </c>
      <c r="B597" s="1" t="str">
        <f ca="1">IFERROR(__xludf.DUMMYFUNCTION("""COMPUTED_VALUE"""),"Kovács Jázmin")</f>
        <v>Kovács Jázmin</v>
      </c>
      <c r="C597" s="1"/>
      <c r="D597" s="1" t="str">
        <f ca="1">IFERROR(__xludf.DUMMYFUNCTION("""COMPUTED_VALUE"""),"Nő")</f>
        <v>Nő</v>
      </c>
      <c r="E597" s="1"/>
      <c r="F597" s="1">
        <f ca="1">IFERROR(__xludf.DUMMYFUNCTION("""COMPUTED_VALUE"""),2011)</f>
        <v>2011</v>
      </c>
      <c r="G597" s="1">
        <f ca="1">IFERROR(__xludf.DUMMYFUNCTION("""COMPUTED_VALUE"""),4670)</f>
        <v>4670</v>
      </c>
      <c r="H597" s="1" t="str">
        <f ca="1">IFERROR(__xludf.DUMMYFUNCTION("""COMPUTED_VALUE"""),"MTLSZ004670A21")</f>
        <v>MTLSZ004670A21</v>
      </c>
      <c r="I597" s="2">
        <f ca="1">IFERROR(__xludf.DUMMYFUNCTION("""COMPUTED_VALUE"""),44471)</f>
        <v>44471</v>
      </c>
      <c r="J597" s="2">
        <f ca="1">IFERROR(__xludf.DUMMYFUNCTION("""COMPUTED_VALUE"""),44835)</f>
        <v>44835</v>
      </c>
    </row>
    <row r="598" spans="1:10" x14ac:dyDescent="0.25">
      <c r="A598" s="1" t="str">
        <f ca="1">IFERROR(__xludf.DUMMYFUNCTION("""COMPUTED_VALUE"""),"CET SE")</f>
        <v>CET SE</v>
      </c>
      <c r="B598" s="1" t="str">
        <f ca="1">IFERROR(__xludf.DUMMYFUNCTION("""COMPUTED_VALUE"""),"Kovács Kristóf")</f>
        <v>Kovács Kristóf</v>
      </c>
      <c r="C598" s="1"/>
      <c r="D598" s="1" t="str">
        <f ca="1">IFERROR(__xludf.DUMMYFUNCTION("""COMPUTED_VALUE"""),"Férfi")</f>
        <v>Férfi</v>
      </c>
      <c r="E598" s="1"/>
      <c r="F598" s="1">
        <f ca="1">IFERROR(__xludf.DUMMYFUNCTION("""COMPUTED_VALUE"""),2003)</f>
        <v>2003</v>
      </c>
      <c r="G598" s="1">
        <f ca="1">IFERROR(__xludf.DUMMYFUNCTION("""COMPUTED_VALUE"""),3467)</f>
        <v>3467</v>
      </c>
      <c r="H598" s="1" t="str">
        <f ca="1">IFERROR(__xludf.DUMMYFUNCTION("""COMPUTED_VALUE"""),"MTLSZ003467A21")</f>
        <v>MTLSZ003467A21</v>
      </c>
      <c r="I598" s="2">
        <f ca="1">IFERROR(__xludf.DUMMYFUNCTION("""COMPUTED_VALUE"""),44471)</f>
        <v>44471</v>
      </c>
      <c r="J598" s="2">
        <f ca="1">IFERROR(__xludf.DUMMYFUNCTION("""COMPUTED_VALUE"""),44835)</f>
        <v>44835</v>
      </c>
    </row>
    <row r="599" spans="1:10" x14ac:dyDescent="0.25">
      <c r="A599" s="1" t="str">
        <f ca="1">IFERROR(__xludf.DUMMYFUNCTION("""COMPUTED_VALUE"""),"CET SE")</f>
        <v>CET SE</v>
      </c>
      <c r="B599" s="1" t="str">
        <f ca="1">IFERROR(__xludf.DUMMYFUNCTION("""COMPUTED_VALUE"""),"Kőházi Gábor")</f>
        <v>Kőházi Gábor</v>
      </c>
      <c r="C599" s="1"/>
      <c r="D599" s="1" t="str">
        <f ca="1">IFERROR(__xludf.DUMMYFUNCTION("""COMPUTED_VALUE"""),"Férfi")</f>
        <v>Férfi</v>
      </c>
      <c r="E599" s="1"/>
      <c r="F599" s="1">
        <f ca="1">IFERROR(__xludf.DUMMYFUNCTION("""COMPUTED_VALUE"""),2012)</f>
        <v>2012</v>
      </c>
      <c r="G599" s="1">
        <f ca="1">IFERROR(__xludf.DUMMYFUNCTION("""COMPUTED_VALUE"""),4684)</f>
        <v>4684</v>
      </c>
      <c r="H599" s="1" t="str">
        <f ca="1">IFERROR(__xludf.DUMMYFUNCTION("""COMPUTED_VALUE"""),"MTLSZ004684A21")</f>
        <v>MTLSZ004684A21</v>
      </c>
      <c r="I599" s="2">
        <f ca="1">IFERROR(__xludf.DUMMYFUNCTION("""COMPUTED_VALUE"""),44471)</f>
        <v>44471</v>
      </c>
      <c r="J599" s="2">
        <f ca="1">IFERROR(__xludf.DUMMYFUNCTION("""COMPUTED_VALUE"""),44835)</f>
        <v>44835</v>
      </c>
    </row>
    <row r="600" spans="1:10" x14ac:dyDescent="0.25">
      <c r="A600" s="1" t="str">
        <f ca="1">IFERROR(__xludf.DUMMYFUNCTION("""COMPUTED_VALUE"""),"CET SE")</f>
        <v>CET SE</v>
      </c>
      <c r="B600" s="1" t="str">
        <f ca="1">IFERROR(__xludf.DUMMYFUNCTION("""COMPUTED_VALUE"""),"Mári Benedek")</f>
        <v>Mári Benedek</v>
      </c>
      <c r="C600" s="1"/>
      <c r="D600" s="1" t="str">
        <f ca="1">IFERROR(__xludf.DUMMYFUNCTION("""COMPUTED_VALUE"""),"Férfi")</f>
        <v>Férfi</v>
      </c>
      <c r="E600" s="1"/>
      <c r="F600" s="1">
        <f ca="1">IFERROR(__xludf.DUMMYFUNCTION("""COMPUTED_VALUE"""),2010)</f>
        <v>2010</v>
      </c>
      <c r="G600" s="1">
        <f ca="1">IFERROR(__xludf.DUMMYFUNCTION("""COMPUTED_VALUE"""),4685)</f>
        <v>4685</v>
      </c>
      <c r="H600" s="1" t="str">
        <f ca="1">IFERROR(__xludf.DUMMYFUNCTION("""COMPUTED_VALUE"""),"MTLSZ004685A21")</f>
        <v>MTLSZ004685A21</v>
      </c>
      <c r="I600" s="2">
        <f ca="1">IFERROR(__xludf.DUMMYFUNCTION("""COMPUTED_VALUE"""),44471)</f>
        <v>44471</v>
      </c>
      <c r="J600" s="2">
        <f ca="1">IFERROR(__xludf.DUMMYFUNCTION("""COMPUTED_VALUE"""),44835)</f>
        <v>44835</v>
      </c>
    </row>
    <row r="601" spans="1:10" x14ac:dyDescent="0.25">
      <c r="A601" s="1" t="str">
        <f ca="1">IFERROR(__xludf.DUMMYFUNCTION("""COMPUTED_VALUE"""),"CET SE")</f>
        <v>CET SE</v>
      </c>
      <c r="B601" s="1" t="str">
        <f ca="1">IFERROR(__xludf.DUMMYFUNCTION("""COMPUTED_VALUE"""),"Orosz Gábor")</f>
        <v>Orosz Gábor</v>
      </c>
      <c r="C601" s="1"/>
      <c r="D601" s="1" t="str">
        <f ca="1">IFERROR(__xludf.DUMMYFUNCTION("""COMPUTED_VALUE"""),"Férfi")</f>
        <v>Férfi</v>
      </c>
      <c r="E601" s="1"/>
      <c r="F601" s="1">
        <f ca="1">IFERROR(__xludf.DUMMYFUNCTION("""COMPUTED_VALUE"""),1979)</f>
        <v>1979</v>
      </c>
      <c r="G601" s="1">
        <f ca="1">IFERROR(__xludf.DUMMYFUNCTION("""COMPUTED_VALUE"""),722)</f>
        <v>722</v>
      </c>
      <c r="H601" s="1" t="str">
        <f ca="1">IFERROR(__xludf.DUMMYFUNCTION("""COMPUTED_VALUE"""),"MTLSZ000722A21")</f>
        <v>MTLSZ000722A21</v>
      </c>
      <c r="I601" s="2">
        <f ca="1">IFERROR(__xludf.DUMMYFUNCTION("""COMPUTED_VALUE"""),44471)</f>
        <v>44471</v>
      </c>
      <c r="J601" s="2">
        <f ca="1">IFERROR(__xludf.DUMMYFUNCTION("""COMPUTED_VALUE"""),44835)</f>
        <v>44835</v>
      </c>
    </row>
    <row r="602" spans="1:10" x14ac:dyDescent="0.25">
      <c r="A602" s="1" t="str">
        <f ca="1">IFERROR(__xludf.DUMMYFUNCTION("""COMPUTED_VALUE"""),"CET SE")</f>
        <v>CET SE</v>
      </c>
      <c r="B602" s="1" t="str">
        <f ca="1">IFERROR(__xludf.DUMMYFUNCTION("""COMPUTED_VALUE"""),"Pék Botond")</f>
        <v>Pék Botond</v>
      </c>
      <c r="C602" s="1"/>
      <c r="D602" s="1" t="str">
        <f ca="1">IFERROR(__xludf.DUMMYFUNCTION("""COMPUTED_VALUE"""),"Férfi")</f>
        <v>Férfi</v>
      </c>
      <c r="E602" s="1"/>
      <c r="F602" s="1">
        <f ca="1">IFERROR(__xludf.DUMMYFUNCTION("""COMPUTED_VALUE"""),2011)</f>
        <v>2011</v>
      </c>
      <c r="G602" s="1">
        <f ca="1">IFERROR(__xludf.DUMMYFUNCTION("""COMPUTED_VALUE"""),4688)</f>
        <v>4688</v>
      </c>
      <c r="H602" s="1" t="str">
        <f ca="1">IFERROR(__xludf.DUMMYFUNCTION("""COMPUTED_VALUE"""),"MTLSZ004688A21")</f>
        <v>MTLSZ004688A21</v>
      </c>
      <c r="I602" s="2">
        <f ca="1">IFERROR(__xludf.DUMMYFUNCTION("""COMPUTED_VALUE"""),44471)</f>
        <v>44471</v>
      </c>
      <c r="J602" s="2">
        <f ca="1">IFERROR(__xludf.DUMMYFUNCTION("""COMPUTED_VALUE"""),44835)</f>
        <v>44835</v>
      </c>
    </row>
    <row r="603" spans="1:10" x14ac:dyDescent="0.25">
      <c r="A603" s="1" t="str">
        <f ca="1">IFERROR(__xludf.DUMMYFUNCTION("""COMPUTED_VALUE"""),"CET SE")</f>
        <v>CET SE</v>
      </c>
      <c r="B603" s="1" t="str">
        <f ca="1">IFERROR(__xludf.DUMMYFUNCTION("""COMPUTED_VALUE"""),"Rekedt-Nagy Inez")</f>
        <v>Rekedt-Nagy Inez</v>
      </c>
      <c r="C603" s="1"/>
      <c r="D603" s="1" t="str">
        <f ca="1">IFERROR(__xludf.DUMMYFUNCTION("""COMPUTED_VALUE"""),"Nő")</f>
        <v>Nő</v>
      </c>
      <c r="E603" s="1"/>
      <c r="F603" s="1">
        <f ca="1">IFERROR(__xludf.DUMMYFUNCTION("""COMPUTED_VALUE"""),2008)</f>
        <v>2008</v>
      </c>
      <c r="G603" s="1">
        <f ca="1">IFERROR(__xludf.DUMMYFUNCTION("""COMPUTED_VALUE"""),4679)</f>
        <v>4679</v>
      </c>
      <c r="H603" s="1" t="str">
        <f ca="1">IFERROR(__xludf.DUMMYFUNCTION("""COMPUTED_VALUE"""),"MTLSZ004679A21")</f>
        <v>MTLSZ004679A21</v>
      </c>
      <c r="I603" s="2">
        <f ca="1">IFERROR(__xludf.DUMMYFUNCTION("""COMPUTED_VALUE"""),44471)</f>
        <v>44471</v>
      </c>
      <c r="J603" s="2">
        <f ca="1">IFERROR(__xludf.DUMMYFUNCTION("""COMPUTED_VALUE"""),44835)</f>
        <v>44835</v>
      </c>
    </row>
    <row r="604" spans="1:10" x14ac:dyDescent="0.25">
      <c r="A604" s="1" t="str">
        <f ca="1">IFERROR(__xludf.DUMMYFUNCTION("""COMPUTED_VALUE"""),"CET SE")</f>
        <v>CET SE</v>
      </c>
      <c r="B604" s="1" t="str">
        <f ca="1">IFERROR(__xludf.DUMMYFUNCTION("""COMPUTED_VALUE"""),"Sárik-Farkas Hedvig")</f>
        <v>Sárik-Farkas Hedvig</v>
      </c>
      <c r="C604" s="1"/>
      <c r="D604" s="1" t="str">
        <f ca="1">IFERROR(__xludf.DUMMYFUNCTION("""COMPUTED_VALUE"""),"Nő")</f>
        <v>Nő</v>
      </c>
      <c r="E604" s="1"/>
      <c r="F604" s="1">
        <f ca="1">IFERROR(__xludf.DUMMYFUNCTION("""COMPUTED_VALUE"""),2011)</f>
        <v>2011</v>
      </c>
      <c r="G604" s="1">
        <f ca="1">IFERROR(__xludf.DUMMYFUNCTION("""COMPUTED_VALUE"""),4671)</f>
        <v>4671</v>
      </c>
      <c r="H604" s="1" t="str">
        <f ca="1">IFERROR(__xludf.DUMMYFUNCTION("""COMPUTED_VALUE"""),"MTLSZ004671A21")</f>
        <v>MTLSZ004671A21</v>
      </c>
      <c r="I604" s="2">
        <f ca="1">IFERROR(__xludf.DUMMYFUNCTION("""COMPUTED_VALUE"""),44471)</f>
        <v>44471</v>
      </c>
      <c r="J604" s="2">
        <f ca="1">IFERROR(__xludf.DUMMYFUNCTION("""COMPUTED_VALUE"""),44835)</f>
        <v>44835</v>
      </c>
    </row>
    <row r="605" spans="1:10" x14ac:dyDescent="0.25">
      <c r="A605" s="1" t="str">
        <f ca="1">IFERROR(__xludf.DUMMYFUNCTION("""COMPUTED_VALUE"""),"CET SE")</f>
        <v>CET SE</v>
      </c>
      <c r="B605" s="1" t="str">
        <f ca="1">IFERROR(__xludf.DUMMYFUNCTION("""COMPUTED_VALUE"""),"Schönléber Sztella")</f>
        <v>Schönléber Sztella</v>
      </c>
      <c r="C605" s="1"/>
      <c r="D605" s="1" t="str">
        <f ca="1">IFERROR(__xludf.DUMMYFUNCTION("""COMPUTED_VALUE"""),"Nő")</f>
        <v>Nő</v>
      </c>
      <c r="E605" s="1"/>
      <c r="F605" s="1">
        <f ca="1">IFERROR(__xludf.DUMMYFUNCTION("""COMPUTED_VALUE"""),1992)</f>
        <v>1992</v>
      </c>
      <c r="G605" s="1">
        <f ca="1">IFERROR(__xludf.DUMMYFUNCTION("""COMPUTED_VALUE"""),3891)</f>
        <v>3891</v>
      </c>
      <c r="H605" s="1" t="str">
        <f ca="1">IFERROR(__xludf.DUMMYFUNCTION("""COMPUTED_VALUE"""),"MTLSZ003891A21")</f>
        <v>MTLSZ003891A21</v>
      </c>
      <c r="I605" s="2">
        <f ca="1">IFERROR(__xludf.DUMMYFUNCTION("""COMPUTED_VALUE"""),44471)</f>
        <v>44471</v>
      </c>
      <c r="J605" s="2">
        <f ca="1">IFERROR(__xludf.DUMMYFUNCTION("""COMPUTED_VALUE"""),44835)</f>
        <v>44835</v>
      </c>
    </row>
    <row r="606" spans="1:10" x14ac:dyDescent="0.25">
      <c r="A606" s="1" t="str">
        <f ca="1">IFERROR(__xludf.DUMMYFUNCTION("""COMPUTED_VALUE"""),"CET SE")</f>
        <v>CET SE</v>
      </c>
      <c r="B606" s="1" t="str">
        <f ca="1">IFERROR(__xludf.DUMMYFUNCTION("""COMPUTED_VALUE"""),"Simó Bence")</f>
        <v>Simó Bence</v>
      </c>
      <c r="C606" s="1"/>
      <c r="D606" s="1" t="str">
        <f ca="1">IFERROR(__xludf.DUMMYFUNCTION("""COMPUTED_VALUE"""),"Férfi")</f>
        <v>Férfi</v>
      </c>
      <c r="E606" s="1"/>
      <c r="F606" s="1">
        <f ca="1">IFERROR(__xludf.DUMMYFUNCTION("""COMPUTED_VALUE"""),2010)</f>
        <v>2010</v>
      </c>
      <c r="G606" s="1">
        <f ca="1">IFERROR(__xludf.DUMMYFUNCTION("""COMPUTED_VALUE"""),4678)</f>
        <v>4678</v>
      </c>
      <c r="H606" s="1" t="str">
        <f ca="1">IFERROR(__xludf.DUMMYFUNCTION("""COMPUTED_VALUE"""),"MTLSZ004678A21")</f>
        <v>MTLSZ004678A21</v>
      </c>
      <c r="I606" s="2">
        <f ca="1">IFERROR(__xludf.DUMMYFUNCTION("""COMPUTED_VALUE"""),44471)</f>
        <v>44471</v>
      </c>
      <c r="J606" s="2">
        <f ca="1">IFERROR(__xludf.DUMMYFUNCTION("""COMPUTED_VALUE"""),44835)</f>
        <v>44835</v>
      </c>
    </row>
    <row r="607" spans="1:10" x14ac:dyDescent="0.25">
      <c r="A607" s="1" t="str">
        <f ca="1">IFERROR(__xludf.DUMMYFUNCTION("""COMPUTED_VALUE"""),"CET SE")</f>
        <v>CET SE</v>
      </c>
      <c r="B607" s="1" t="str">
        <f ca="1">IFERROR(__xludf.DUMMYFUNCTION("""COMPUTED_VALUE"""),"Stefkovics Hanna")</f>
        <v>Stefkovics Hanna</v>
      </c>
      <c r="C607" s="1"/>
      <c r="D607" s="1" t="str">
        <f ca="1">IFERROR(__xludf.DUMMYFUNCTION("""COMPUTED_VALUE"""),"Nő")</f>
        <v>Nő</v>
      </c>
      <c r="E607" s="1"/>
      <c r="F607" s="1">
        <f ca="1">IFERROR(__xludf.DUMMYFUNCTION("""COMPUTED_VALUE"""),2011)</f>
        <v>2011</v>
      </c>
      <c r="G607" s="1">
        <f ca="1">IFERROR(__xludf.DUMMYFUNCTION("""COMPUTED_VALUE"""),3634)</f>
        <v>3634</v>
      </c>
      <c r="H607" s="1" t="str">
        <f ca="1">IFERROR(__xludf.DUMMYFUNCTION("""COMPUTED_VALUE"""),"MTLSZ003634A21")</f>
        <v>MTLSZ003634A21</v>
      </c>
      <c r="I607" s="2">
        <f ca="1">IFERROR(__xludf.DUMMYFUNCTION("""COMPUTED_VALUE"""),44471)</f>
        <v>44471</v>
      </c>
      <c r="J607" s="2">
        <f ca="1">IFERROR(__xludf.DUMMYFUNCTION("""COMPUTED_VALUE"""),44835)</f>
        <v>44835</v>
      </c>
    </row>
    <row r="608" spans="1:10" x14ac:dyDescent="0.25">
      <c r="A608" s="1" t="str">
        <f ca="1">IFERROR(__xludf.DUMMYFUNCTION("""COMPUTED_VALUE"""),"CET SE")</f>
        <v>CET SE</v>
      </c>
      <c r="B608" s="1" t="str">
        <f ca="1">IFERROR(__xludf.DUMMYFUNCTION("""COMPUTED_VALUE"""),"Szemők Olivér")</f>
        <v>Szemők Olivér</v>
      </c>
      <c r="C608" s="1"/>
      <c r="D608" s="1" t="str">
        <f ca="1">IFERROR(__xludf.DUMMYFUNCTION("""COMPUTED_VALUE"""),"Férfi")</f>
        <v>Férfi</v>
      </c>
      <c r="E608" s="1"/>
      <c r="F608" s="1">
        <f ca="1">IFERROR(__xludf.DUMMYFUNCTION("""COMPUTED_VALUE"""),2011)</f>
        <v>2011</v>
      </c>
      <c r="G608" s="1">
        <f ca="1">IFERROR(__xludf.DUMMYFUNCTION("""COMPUTED_VALUE"""),4680)</f>
        <v>4680</v>
      </c>
      <c r="H608" s="1" t="str">
        <f ca="1">IFERROR(__xludf.DUMMYFUNCTION("""COMPUTED_VALUE"""),"MTLSZ004680A21")</f>
        <v>MTLSZ004680A21</v>
      </c>
      <c r="I608" s="2">
        <f ca="1">IFERROR(__xludf.DUMMYFUNCTION("""COMPUTED_VALUE"""),44471)</f>
        <v>44471</v>
      </c>
      <c r="J608" s="2">
        <f ca="1">IFERROR(__xludf.DUMMYFUNCTION("""COMPUTED_VALUE"""),44835)</f>
        <v>44835</v>
      </c>
    </row>
    <row r="609" spans="1:10" x14ac:dyDescent="0.25">
      <c r="A609" s="1" t="str">
        <f ca="1">IFERROR(__xludf.DUMMYFUNCTION("""COMPUTED_VALUE"""),"CET SE")</f>
        <v>CET SE</v>
      </c>
      <c r="B609" s="1" t="str">
        <f ca="1">IFERROR(__xludf.DUMMYFUNCTION("""COMPUTED_VALUE"""),"Szuda Olivér")</f>
        <v>Szuda Olivér</v>
      </c>
      <c r="C609" s="1"/>
      <c r="D609" s="1" t="str">
        <f ca="1">IFERROR(__xludf.DUMMYFUNCTION("""COMPUTED_VALUE"""),"Férfi")</f>
        <v>Férfi</v>
      </c>
      <c r="E609" s="1"/>
      <c r="F609" s="1">
        <f ca="1">IFERROR(__xludf.DUMMYFUNCTION("""COMPUTED_VALUE"""),2011)</f>
        <v>2011</v>
      </c>
      <c r="G609" s="1">
        <f ca="1">IFERROR(__xludf.DUMMYFUNCTION("""COMPUTED_VALUE"""),4681)</f>
        <v>4681</v>
      </c>
      <c r="H609" s="1" t="str">
        <f ca="1">IFERROR(__xludf.DUMMYFUNCTION("""COMPUTED_VALUE"""),"MTLSZ004681A21")</f>
        <v>MTLSZ004681A21</v>
      </c>
      <c r="I609" s="2">
        <f ca="1">IFERROR(__xludf.DUMMYFUNCTION("""COMPUTED_VALUE"""),44471)</f>
        <v>44471</v>
      </c>
      <c r="J609" s="2">
        <f ca="1">IFERROR(__xludf.DUMMYFUNCTION("""COMPUTED_VALUE"""),44835)</f>
        <v>44835</v>
      </c>
    </row>
    <row r="610" spans="1:10" x14ac:dyDescent="0.25">
      <c r="A610" s="1" t="str">
        <f ca="1">IFERROR(__xludf.DUMMYFUNCTION("""COMPUTED_VALUE"""),"CET SE")</f>
        <v>CET SE</v>
      </c>
      <c r="B610" s="1" t="str">
        <f ca="1">IFERROR(__xludf.DUMMYFUNCTION("""COMPUTED_VALUE"""),"Tóth Tihamér dr.")</f>
        <v>Tóth Tihamér dr.</v>
      </c>
      <c r="C610" s="1"/>
      <c r="D610" s="1" t="str">
        <f ca="1">IFERROR(__xludf.DUMMYFUNCTION("""COMPUTED_VALUE"""),"Férfi")</f>
        <v>Férfi</v>
      </c>
      <c r="E610" s="1"/>
      <c r="F610" s="1">
        <f ca="1">IFERROR(__xludf.DUMMYFUNCTION("""COMPUTED_VALUE"""),1971)</f>
        <v>1971</v>
      </c>
      <c r="G610" s="1">
        <f ca="1">IFERROR(__xludf.DUMMYFUNCTION("""COMPUTED_VALUE"""),3535)</f>
        <v>3535</v>
      </c>
      <c r="H610" s="1" t="str">
        <f ca="1">IFERROR(__xludf.DUMMYFUNCTION("""COMPUTED_VALUE"""),"MTLSZ003535A21")</f>
        <v>MTLSZ003535A21</v>
      </c>
      <c r="I610" s="2">
        <f ca="1">IFERROR(__xludf.DUMMYFUNCTION("""COMPUTED_VALUE"""),44471)</f>
        <v>44471</v>
      </c>
      <c r="J610" s="2">
        <f ca="1">IFERROR(__xludf.DUMMYFUNCTION("""COMPUTED_VALUE"""),44835)</f>
        <v>44835</v>
      </c>
    </row>
    <row r="611" spans="1:10" x14ac:dyDescent="0.25">
      <c r="A611" s="1" t="str">
        <f ca="1">IFERROR(__xludf.DUMMYFUNCTION("""COMPUTED_VALUE"""),"CET SE")</f>
        <v>CET SE</v>
      </c>
      <c r="B611" s="1" t="str">
        <f ca="1">IFERROR(__xludf.DUMMYFUNCTION("""COMPUTED_VALUE"""),"Tóthné dr. Kuthy Kornélia Dr.")</f>
        <v>Tóthné dr. Kuthy Kornélia Dr.</v>
      </c>
      <c r="C611" s="1"/>
      <c r="D611" s="1" t="str">
        <f ca="1">IFERROR(__xludf.DUMMYFUNCTION("""COMPUTED_VALUE"""),"Nő")</f>
        <v>Nő</v>
      </c>
      <c r="E611" s="1"/>
      <c r="F611" s="1">
        <f ca="1">IFERROR(__xludf.DUMMYFUNCTION("""COMPUTED_VALUE"""),1972)</f>
        <v>1972</v>
      </c>
      <c r="G611" s="1">
        <f ca="1">IFERROR(__xludf.DUMMYFUNCTION("""COMPUTED_VALUE"""),3644)</f>
        <v>3644</v>
      </c>
      <c r="H611" s="1" t="str">
        <f ca="1">IFERROR(__xludf.DUMMYFUNCTION("""COMPUTED_VALUE"""),"MTLSZ003644A21")</f>
        <v>MTLSZ003644A21</v>
      </c>
      <c r="I611" s="2">
        <f ca="1">IFERROR(__xludf.DUMMYFUNCTION("""COMPUTED_VALUE"""),44471)</f>
        <v>44471</v>
      </c>
      <c r="J611" s="2">
        <f ca="1">IFERROR(__xludf.DUMMYFUNCTION("""COMPUTED_VALUE"""),44835)</f>
        <v>44835</v>
      </c>
    </row>
    <row r="612" spans="1:10" x14ac:dyDescent="0.25">
      <c r="A612" s="1" t="str">
        <f ca="1">IFERROR(__xludf.DUMMYFUNCTION("""COMPUTED_VALUE"""),"CET SE")</f>
        <v>CET SE</v>
      </c>
      <c r="B612" s="1" t="str">
        <f ca="1">IFERROR(__xludf.DUMMYFUNCTION("""COMPUTED_VALUE"""),"Vicha Lotti")</f>
        <v>Vicha Lotti</v>
      </c>
      <c r="C612" s="1"/>
      <c r="D612" s="1" t="str">
        <f ca="1">IFERROR(__xludf.DUMMYFUNCTION("""COMPUTED_VALUE"""),"Nő")</f>
        <v>Nő</v>
      </c>
      <c r="E612" s="1"/>
      <c r="F612" s="1">
        <f ca="1">IFERROR(__xludf.DUMMYFUNCTION("""COMPUTED_VALUE"""),2011)</f>
        <v>2011</v>
      </c>
      <c r="G612" s="1">
        <f ca="1">IFERROR(__xludf.DUMMYFUNCTION("""COMPUTED_VALUE"""),4677)</f>
        <v>4677</v>
      </c>
      <c r="H612" s="1" t="str">
        <f ca="1">IFERROR(__xludf.DUMMYFUNCTION("""COMPUTED_VALUE"""),"MTLSZ004677A21")</f>
        <v>MTLSZ004677A21</v>
      </c>
      <c r="I612" s="2">
        <f ca="1">IFERROR(__xludf.DUMMYFUNCTION("""COMPUTED_VALUE"""),44471)</f>
        <v>44471</v>
      </c>
      <c r="J612" s="2">
        <f ca="1">IFERROR(__xludf.DUMMYFUNCTION("""COMPUTED_VALUE"""),44835)</f>
        <v>44835</v>
      </c>
    </row>
    <row r="613" spans="1:10" x14ac:dyDescent="0.25">
      <c r="A613" s="1" t="str">
        <f ca="1">IFERROR(__xludf.DUMMYFUNCTION("""COMPUTED_VALUE"""),"CET SE")</f>
        <v>CET SE</v>
      </c>
      <c r="B613" s="1" t="str">
        <f ca="1">IFERROR(__xludf.DUMMYFUNCTION("""COMPUTED_VALUE"""),"Zeffer Panna")</f>
        <v>Zeffer Panna</v>
      </c>
      <c r="C613" s="1"/>
      <c r="D613" s="1" t="str">
        <f ca="1">IFERROR(__xludf.DUMMYFUNCTION("""COMPUTED_VALUE"""),"Nő")</f>
        <v>Nő</v>
      </c>
      <c r="E613" s="1"/>
      <c r="F613" s="1">
        <f ca="1">IFERROR(__xludf.DUMMYFUNCTION("""COMPUTED_VALUE"""),2012)</f>
        <v>2012</v>
      </c>
      <c r="G613" s="1">
        <f ca="1">IFERROR(__xludf.DUMMYFUNCTION("""COMPUTED_VALUE"""),4673)</f>
        <v>4673</v>
      </c>
      <c r="H613" s="1" t="str">
        <f ca="1">IFERROR(__xludf.DUMMYFUNCTION("""COMPUTED_VALUE"""),"MTLSZ004673A21")</f>
        <v>MTLSZ004673A21</v>
      </c>
      <c r="I613" s="2">
        <f ca="1">IFERROR(__xludf.DUMMYFUNCTION("""COMPUTED_VALUE"""),44471)</f>
        <v>44471</v>
      </c>
      <c r="J613" s="2">
        <f ca="1">IFERROR(__xludf.DUMMYFUNCTION("""COMPUTED_VALUE"""),44835)</f>
        <v>44835</v>
      </c>
    </row>
    <row r="614" spans="1:10" x14ac:dyDescent="0.25">
      <c r="A614" s="1" t="str">
        <f ca="1">IFERROR(__xludf.DUMMYFUNCTION("""COMPUTED_VALUE"""),"BEAC")</f>
        <v>BEAC</v>
      </c>
      <c r="B614" s="1" t="str">
        <f ca="1">IFERROR(__xludf.DUMMYFUNCTION("""COMPUTED_VALUE"""),"Nádaskay Fruzsina Dr.")</f>
        <v>Nádaskay Fruzsina Dr.</v>
      </c>
      <c r="C614" s="1"/>
      <c r="D614" s="1" t="str">
        <f ca="1">IFERROR(__xludf.DUMMYFUNCTION("""COMPUTED_VALUE"""),"Nő")</f>
        <v>Nő</v>
      </c>
      <c r="E614" s="1"/>
      <c r="F614" s="1">
        <f ca="1">IFERROR(__xludf.DUMMYFUNCTION("""COMPUTED_VALUE"""),1984)</f>
        <v>1984</v>
      </c>
      <c r="G614" s="1">
        <f ca="1">IFERROR(__xludf.DUMMYFUNCTION("""COMPUTED_VALUE"""),4664)</f>
        <v>4664</v>
      </c>
      <c r="H614" s="1" t="str">
        <f ca="1">IFERROR(__xludf.DUMMYFUNCTION("""COMPUTED_VALUE"""),"MTLSZ004664A21")</f>
        <v>MTLSZ004664A21</v>
      </c>
      <c r="I614" s="2">
        <f ca="1">IFERROR(__xludf.DUMMYFUNCTION("""COMPUTED_VALUE"""),44470)</f>
        <v>44470</v>
      </c>
      <c r="J614" s="2">
        <f ca="1">IFERROR(__xludf.DUMMYFUNCTION("""COMPUTED_VALUE"""),44834)</f>
        <v>44834</v>
      </c>
    </row>
    <row r="615" spans="1:10" x14ac:dyDescent="0.25">
      <c r="A615" s="1" t="str">
        <f ca="1">IFERROR(__xludf.DUMMYFUNCTION("""COMPUTED_VALUE"""),"Ludovika SE")</f>
        <v>Ludovika SE</v>
      </c>
      <c r="B615" s="1" t="str">
        <f ca="1">IFERROR(__xludf.DUMMYFUNCTION("""COMPUTED_VALUE"""),"Szűcs Hella")</f>
        <v>Szűcs Hella</v>
      </c>
      <c r="C615" s="1"/>
      <c r="D615" s="1" t="str">
        <f ca="1">IFERROR(__xludf.DUMMYFUNCTION("""COMPUTED_VALUE"""),"Nő")</f>
        <v>Nő</v>
      </c>
      <c r="E615" s="1"/>
      <c r="F615" s="1">
        <f ca="1">IFERROR(__xludf.DUMMYFUNCTION("""COMPUTED_VALUE"""),2000)</f>
        <v>2000</v>
      </c>
      <c r="G615" s="1">
        <f ca="1">IFERROR(__xludf.DUMMYFUNCTION("""COMPUTED_VALUE"""),2111)</f>
        <v>2111</v>
      </c>
      <c r="H615" s="1" t="str">
        <f ca="1">IFERROR(__xludf.DUMMYFUNCTION("""COMPUTED_VALUE"""),"MTLSZ002111A21")</f>
        <v>MTLSZ002111A21</v>
      </c>
      <c r="I615" s="2">
        <f ca="1">IFERROR(__xludf.DUMMYFUNCTION("""COMPUTED_VALUE"""),44470)</f>
        <v>44470</v>
      </c>
      <c r="J615" s="2">
        <f ca="1">IFERROR(__xludf.DUMMYFUNCTION("""COMPUTED_VALUE"""),44834)</f>
        <v>44834</v>
      </c>
    </row>
    <row r="616" spans="1:10" x14ac:dyDescent="0.25">
      <c r="A616" s="1" t="str">
        <f ca="1">IFERROR(__xludf.DUMMYFUNCTION("""COMPUTED_VALUE"""),"Ludovika SE")</f>
        <v>Ludovika SE</v>
      </c>
      <c r="B616" s="1" t="str">
        <f ca="1">IFERROR(__xludf.DUMMYFUNCTION("""COMPUTED_VALUE"""),"Varga Máté")</f>
        <v>Varga Máté</v>
      </c>
      <c r="C616" s="1"/>
      <c r="D616" s="1" t="str">
        <f ca="1">IFERROR(__xludf.DUMMYFUNCTION("""COMPUTED_VALUE"""),"Férfi")</f>
        <v>Férfi</v>
      </c>
      <c r="E616" s="1"/>
      <c r="F616" s="1">
        <f ca="1">IFERROR(__xludf.DUMMYFUNCTION("""COMPUTED_VALUE"""),1993)</f>
        <v>1993</v>
      </c>
      <c r="G616" s="1">
        <f ca="1">IFERROR(__xludf.DUMMYFUNCTION("""COMPUTED_VALUE"""),2097)</f>
        <v>2097</v>
      </c>
      <c r="H616" s="1" t="str">
        <f ca="1">IFERROR(__xludf.DUMMYFUNCTION("""COMPUTED_VALUE"""),"MTLSZ002097A21")</f>
        <v>MTLSZ002097A21</v>
      </c>
      <c r="I616" s="2">
        <f ca="1">IFERROR(__xludf.DUMMYFUNCTION("""COMPUTED_VALUE"""),44470)</f>
        <v>44470</v>
      </c>
      <c r="J616" s="2">
        <f ca="1">IFERROR(__xludf.DUMMYFUNCTION("""COMPUTED_VALUE"""),44834)</f>
        <v>44834</v>
      </c>
    </row>
    <row r="617" spans="1:10" x14ac:dyDescent="0.25">
      <c r="A617" s="1" t="str">
        <f ca="1">IFERROR(__xludf.DUMMYFUNCTION("""COMPUTED_VALUE"""),"Pillangó TK")</f>
        <v>Pillangó TK</v>
      </c>
      <c r="B617" s="1" t="str">
        <f ca="1">IFERROR(__xludf.DUMMYFUNCTION("""COMPUTED_VALUE"""),"Németh Zsolt")</f>
        <v>Németh Zsolt</v>
      </c>
      <c r="C617" s="1"/>
      <c r="D617" s="1" t="str">
        <f ca="1">IFERROR(__xludf.DUMMYFUNCTION("""COMPUTED_VALUE"""),"Férfi")</f>
        <v>Férfi</v>
      </c>
      <c r="E617" s="1"/>
      <c r="F617" s="1">
        <f ca="1">IFERROR(__xludf.DUMMYFUNCTION("""COMPUTED_VALUE"""),1966)</f>
        <v>1966</v>
      </c>
      <c r="G617" s="1">
        <f ca="1">IFERROR(__xludf.DUMMYFUNCTION("""COMPUTED_VALUE"""),2935)</f>
        <v>2935</v>
      </c>
      <c r="H617" s="1" t="str">
        <f ca="1">IFERROR(__xludf.DUMMYFUNCTION("""COMPUTED_VALUE"""),"MTLSZ002935A21")</f>
        <v>MTLSZ002935A21</v>
      </c>
      <c r="I617" s="2">
        <f ca="1">IFERROR(__xludf.DUMMYFUNCTION("""COMPUTED_VALUE"""),44470)</f>
        <v>44470</v>
      </c>
      <c r="J617" s="2">
        <f ca="1">IFERROR(__xludf.DUMMYFUNCTION("""COMPUTED_VALUE"""),44834)</f>
        <v>44834</v>
      </c>
    </row>
    <row r="618" spans="1:10" x14ac:dyDescent="0.25">
      <c r="A618" s="1" t="str">
        <f ca="1">IFERROR(__xludf.DUMMYFUNCTION("""COMPUTED_VALUE"""),"Pillangó TK")</f>
        <v>Pillangó TK</v>
      </c>
      <c r="B618" s="1" t="str">
        <f ca="1">IFERROR(__xludf.DUMMYFUNCTION("""COMPUTED_VALUE"""),"Oláh János Gábor")</f>
        <v>Oláh János Gábor</v>
      </c>
      <c r="C618" s="1"/>
      <c r="D618" s="1" t="str">
        <f ca="1">IFERROR(__xludf.DUMMYFUNCTION("""COMPUTED_VALUE"""),"Férfi")</f>
        <v>Férfi</v>
      </c>
      <c r="E618" s="1"/>
      <c r="F618" s="1">
        <f ca="1">IFERROR(__xludf.DUMMYFUNCTION("""COMPUTED_VALUE"""),1970)</f>
        <v>1970</v>
      </c>
      <c r="G618" s="1">
        <f ca="1">IFERROR(__xludf.DUMMYFUNCTION("""COMPUTED_VALUE"""),2936)</f>
        <v>2936</v>
      </c>
      <c r="H618" s="1" t="str">
        <f ca="1">IFERROR(__xludf.DUMMYFUNCTION("""COMPUTED_VALUE"""),"MTLSZ002936A21")</f>
        <v>MTLSZ002936A21</v>
      </c>
      <c r="I618" s="2">
        <f ca="1">IFERROR(__xludf.DUMMYFUNCTION("""COMPUTED_VALUE"""),44470)</f>
        <v>44470</v>
      </c>
      <c r="J618" s="2">
        <f ca="1">IFERROR(__xludf.DUMMYFUNCTION("""COMPUTED_VALUE"""),44834)</f>
        <v>44834</v>
      </c>
    </row>
    <row r="619" spans="1:10" x14ac:dyDescent="0.25">
      <c r="A619" s="1" t="str">
        <f ca="1">IFERROR(__xludf.DUMMYFUNCTION("""COMPUTED_VALUE"""),"Pillangó TK")</f>
        <v>Pillangó TK</v>
      </c>
      <c r="B619" s="1" t="str">
        <f ca="1">IFERROR(__xludf.DUMMYFUNCTION("""COMPUTED_VALUE"""),"Oswald Mária")</f>
        <v>Oswald Mária</v>
      </c>
      <c r="C619" s="1"/>
      <c r="D619" s="1" t="str">
        <f ca="1">IFERROR(__xludf.DUMMYFUNCTION("""COMPUTED_VALUE"""),"Nő")</f>
        <v>Nő</v>
      </c>
      <c r="E619" s="1"/>
      <c r="F619" s="1">
        <f ca="1">IFERROR(__xludf.DUMMYFUNCTION("""COMPUTED_VALUE"""),1983)</f>
        <v>1983</v>
      </c>
      <c r="G619" s="1">
        <f ca="1">IFERROR(__xludf.DUMMYFUNCTION("""COMPUTED_VALUE"""),3333)</f>
        <v>3333</v>
      </c>
      <c r="H619" s="1" t="str">
        <f ca="1">IFERROR(__xludf.DUMMYFUNCTION("""COMPUTED_VALUE"""),"MTLSZ003333A21")</f>
        <v>MTLSZ003333A21</v>
      </c>
      <c r="I619" s="2">
        <f ca="1">IFERROR(__xludf.DUMMYFUNCTION("""COMPUTED_VALUE"""),44470)</f>
        <v>44470</v>
      </c>
      <c r="J619" s="2">
        <f ca="1">IFERROR(__xludf.DUMMYFUNCTION("""COMPUTED_VALUE"""),44834)</f>
        <v>44834</v>
      </c>
    </row>
    <row r="620" spans="1:10" x14ac:dyDescent="0.25">
      <c r="A620" s="1" t="str">
        <f ca="1">IFERROR(__xludf.DUMMYFUNCTION("""COMPUTED_VALUE"""),"Pillangó TK")</f>
        <v>Pillangó TK</v>
      </c>
      <c r="B620" s="1" t="str">
        <f ca="1">IFERROR(__xludf.DUMMYFUNCTION("""COMPUTED_VALUE"""),"Tóth Tamás")</f>
        <v>Tóth Tamás</v>
      </c>
      <c r="C620" s="1"/>
      <c r="D620" s="1" t="str">
        <f ca="1">IFERROR(__xludf.DUMMYFUNCTION("""COMPUTED_VALUE"""),"Férfi")</f>
        <v>Férfi</v>
      </c>
      <c r="E620" s="1"/>
      <c r="F620" s="1">
        <f ca="1">IFERROR(__xludf.DUMMYFUNCTION("""COMPUTED_VALUE"""),1976)</f>
        <v>1976</v>
      </c>
      <c r="G620" s="1">
        <f ca="1">IFERROR(__xludf.DUMMYFUNCTION("""COMPUTED_VALUE"""),2938)</f>
        <v>2938</v>
      </c>
      <c r="H620" s="1" t="str">
        <f ca="1">IFERROR(__xludf.DUMMYFUNCTION("""COMPUTED_VALUE"""),"MTLSZ002938A21")</f>
        <v>MTLSZ002938A21</v>
      </c>
      <c r="I620" s="2">
        <f ca="1">IFERROR(__xludf.DUMMYFUNCTION("""COMPUTED_VALUE"""),44470)</f>
        <v>44470</v>
      </c>
      <c r="J620" s="2">
        <f ca="1">IFERROR(__xludf.DUMMYFUNCTION("""COMPUTED_VALUE"""),44834)</f>
        <v>44834</v>
      </c>
    </row>
    <row r="621" spans="1:10" x14ac:dyDescent="0.25">
      <c r="A621" s="1" t="str">
        <f ca="1">IFERROR(__xludf.DUMMYFUNCTION("""COMPUTED_VALUE"""),"Pillangó TK")</f>
        <v>Pillangó TK</v>
      </c>
      <c r="B621" s="1" t="str">
        <f ca="1">IFERROR(__xludf.DUMMYFUNCTION("""COMPUTED_VALUE"""),"Vaskó János Dr.")</f>
        <v>Vaskó János Dr.</v>
      </c>
      <c r="C621" s="1"/>
      <c r="D621" s="1" t="str">
        <f ca="1">IFERROR(__xludf.DUMMYFUNCTION("""COMPUTED_VALUE"""),"Férfi")</f>
        <v>Férfi</v>
      </c>
      <c r="E621" s="1"/>
      <c r="F621" s="1">
        <f ca="1">IFERROR(__xludf.DUMMYFUNCTION("""COMPUTED_VALUE"""),1970)</f>
        <v>1970</v>
      </c>
      <c r="G621" s="1">
        <f ca="1">IFERROR(__xludf.DUMMYFUNCTION("""COMPUTED_VALUE"""),2939)</f>
        <v>2939</v>
      </c>
      <c r="H621" s="1" t="str">
        <f ca="1">IFERROR(__xludf.DUMMYFUNCTION("""COMPUTED_VALUE"""),"MTLSZ002939A21")</f>
        <v>MTLSZ002939A21</v>
      </c>
      <c r="I621" s="2">
        <f ca="1">IFERROR(__xludf.DUMMYFUNCTION("""COMPUTED_VALUE"""),44470)</f>
        <v>44470</v>
      </c>
      <c r="J621" s="2">
        <f ca="1">IFERROR(__xludf.DUMMYFUNCTION("""COMPUTED_VALUE"""),44834)</f>
        <v>44834</v>
      </c>
    </row>
    <row r="622" spans="1:10" x14ac:dyDescent="0.25">
      <c r="A622" s="1" t="str">
        <f ca="1">IFERROR(__xludf.DUMMYFUNCTION("""COMPUTED_VALUE"""),"BEAC")</f>
        <v>BEAC</v>
      </c>
      <c r="B622" s="1" t="str">
        <f ca="1">IFERROR(__xludf.DUMMYFUNCTION("""COMPUTED_VALUE"""),"Galgóczi Gergő")</f>
        <v>Galgóczi Gergő</v>
      </c>
      <c r="C622" s="1"/>
      <c r="D622" s="1" t="str">
        <f ca="1">IFERROR(__xludf.DUMMYFUNCTION("""COMPUTED_VALUE"""),"Férfi")</f>
        <v>Férfi</v>
      </c>
      <c r="E622" s="1"/>
      <c r="F622" s="1">
        <f ca="1">IFERROR(__xludf.DUMMYFUNCTION("""COMPUTED_VALUE"""),1988)</f>
        <v>1988</v>
      </c>
      <c r="G622" s="1">
        <f ca="1">IFERROR(__xludf.DUMMYFUNCTION("""COMPUTED_VALUE"""),3232)</f>
        <v>3232</v>
      </c>
      <c r="H622" s="1" t="str">
        <f ca="1">IFERROR(__xludf.DUMMYFUNCTION("""COMPUTED_VALUE"""),"MTLSZ003232A21")</f>
        <v>MTLSZ003232A21</v>
      </c>
      <c r="I622" s="2">
        <f ca="1">IFERROR(__xludf.DUMMYFUNCTION("""COMPUTED_VALUE"""),44467)</f>
        <v>44467</v>
      </c>
      <c r="J622" s="2">
        <f ca="1">IFERROR(__xludf.DUMMYFUNCTION("""COMPUTED_VALUE"""),44831)</f>
        <v>44831</v>
      </c>
    </row>
    <row r="623" spans="1:10" x14ac:dyDescent="0.25">
      <c r="A623" s="1" t="str">
        <f ca="1">IFERROR(__xludf.DUMMYFUNCTION("""COMPUTED_VALUE"""),"BEAC")</f>
        <v>BEAC</v>
      </c>
      <c r="B623" s="1" t="str">
        <f ca="1">IFERROR(__xludf.DUMMYFUNCTION("""COMPUTED_VALUE"""),"Seress Júlia")</f>
        <v>Seress Júlia</v>
      </c>
      <c r="C623" s="1"/>
      <c r="D623" s="1" t="str">
        <f ca="1">IFERROR(__xludf.DUMMYFUNCTION("""COMPUTED_VALUE"""),"Nő")</f>
        <v>Nő</v>
      </c>
      <c r="E623" s="1"/>
      <c r="F623" s="1">
        <f ca="1">IFERROR(__xludf.DUMMYFUNCTION("""COMPUTED_VALUE"""),1990)</f>
        <v>1990</v>
      </c>
      <c r="G623" s="1">
        <f ca="1">IFERROR(__xludf.DUMMYFUNCTION("""COMPUTED_VALUE"""),1763)</f>
        <v>1763</v>
      </c>
      <c r="H623" s="1" t="str">
        <f ca="1">IFERROR(__xludf.DUMMYFUNCTION("""COMPUTED_VALUE"""),"MTLSZ001763A21")</f>
        <v>MTLSZ001763A21</v>
      </c>
      <c r="I623" s="2">
        <f ca="1">IFERROR(__xludf.DUMMYFUNCTION("""COMPUTED_VALUE"""),44467)</f>
        <v>44467</v>
      </c>
      <c r="J623" s="2">
        <f ca="1">IFERROR(__xludf.DUMMYFUNCTION("""COMPUTED_VALUE"""),44831)</f>
        <v>44831</v>
      </c>
    </row>
    <row r="624" spans="1:10" x14ac:dyDescent="0.25">
      <c r="A624" s="1" t="str">
        <f ca="1">IFERROR(__xludf.DUMMYFUNCTION("""COMPUTED_VALUE"""),"Győri TSE")</f>
        <v>Győri TSE</v>
      </c>
      <c r="B624" s="1" t="str">
        <f ca="1">IFERROR(__xludf.DUMMYFUNCTION("""COMPUTED_VALUE"""),"Tóth Róza Viola")</f>
        <v>Tóth Róza Viola</v>
      </c>
      <c r="C624" s="1"/>
      <c r="D624" s="1" t="str">
        <f ca="1">IFERROR(__xludf.DUMMYFUNCTION("""COMPUTED_VALUE"""),"Nő")</f>
        <v>Nő</v>
      </c>
      <c r="E624" s="1"/>
      <c r="F624" s="1">
        <f ca="1">IFERROR(__xludf.DUMMYFUNCTION("""COMPUTED_VALUE"""),2005)</f>
        <v>2005</v>
      </c>
      <c r="G624" s="1">
        <f ca="1">IFERROR(__xludf.DUMMYFUNCTION("""COMPUTED_VALUE"""),3216)</f>
        <v>3216</v>
      </c>
      <c r="H624" s="1" t="str">
        <f ca="1">IFERROR(__xludf.DUMMYFUNCTION("""COMPUTED_VALUE"""),"MTLSZ003216A21")</f>
        <v>MTLSZ003216A21</v>
      </c>
      <c r="I624" s="2">
        <f ca="1">IFERROR(__xludf.DUMMYFUNCTION("""COMPUTED_VALUE"""),44467)</f>
        <v>44467</v>
      </c>
      <c r="J624" s="2">
        <f ca="1">IFERROR(__xludf.DUMMYFUNCTION("""COMPUTED_VALUE"""),44831)</f>
        <v>44831</v>
      </c>
    </row>
    <row r="625" spans="1:10" x14ac:dyDescent="0.25">
      <c r="A625" s="1" t="str">
        <f ca="1">IFERROR(__xludf.DUMMYFUNCTION("""COMPUTED_VALUE"""),"Talentum TSE")</f>
        <v>Talentum TSE</v>
      </c>
      <c r="B625" s="1" t="str">
        <f ca="1">IFERROR(__xludf.DUMMYFUNCTION("""COMPUTED_VALUE"""),"Varga István")</f>
        <v>Varga István</v>
      </c>
      <c r="C625" s="1"/>
      <c r="D625" s="1" t="str">
        <f ca="1">IFERROR(__xludf.DUMMYFUNCTION("""COMPUTED_VALUE"""),"Férfi")</f>
        <v>Férfi</v>
      </c>
      <c r="E625" s="1"/>
      <c r="F625" s="1">
        <f ca="1">IFERROR(__xludf.DUMMYFUNCTION("""COMPUTED_VALUE"""),1996)</f>
        <v>1996</v>
      </c>
      <c r="G625" s="1">
        <f ca="1">IFERROR(__xludf.DUMMYFUNCTION("""COMPUTED_VALUE"""),1888)</f>
        <v>1888</v>
      </c>
      <c r="H625" s="1" t="str">
        <f ca="1">IFERROR(__xludf.DUMMYFUNCTION("""COMPUTED_VALUE"""),"MTLSZ001888A21")</f>
        <v>MTLSZ001888A21</v>
      </c>
      <c r="I625" s="2">
        <f ca="1">IFERROR(__xludf.DUMMYFUNCTION("""COMPUTED_VALUE"""),44467)</f>
        <v>44467</v>
      </c>
      <c r="J625" s="2">
        <f ca="1">IFERROR(__xludf.DUMMYFUNCTION("""COMPUTED_VALUE"""),44831)</f>
        <v>44831</v>
      </c>
    </row>
    <row r="626" spans="1:10" x14ac:dyDescent="0.25">
      <c r="A626" s="1" t="str">
        <f ca="1">IFERROR(__xludf.DUMMYFUNCTION("""COMPUTED_VALUE"""),"Tisza TSE")</f>
        <v>Tisza TSE</v>
      </c>
      <c r="B626" s="1" t="str">
        <f ca="1">IFERROR(__xludf.DUMMYFUNCTION("""COMPUTED_VALUE"""),"Mayer Charlotte")</f>
        <v>Mayer Charlotte</v>
      </c>
      <c r="C626" s="1"/>
      <c r="D626" s="1" t="str">
        <f ca="1">IFERROR(__xludf.DUMMYFUNCTION("""COMPUTED_VALUE"""),"Nő")</f>
        <v>Nő</v>
      </c>
      <c r="E626" s="1"/>
      <c r="F626" s="1">
        <f ca="1">IFERROR(__xludf.DUMMYFUNCTION("""COMPUTED_VALUE"""),2008)</f>
        <v>2008</v>
      </c>
      <c r="G626" s="1">
        <f ca="1">IFERROR(__xludf.DUMMYFUNCTION("""COMPUTED_VALUE"""),3766)</f>
        <v>3766</v>
      </c>
      <c r="H626" s="1" t="str">
        <f ca="1">IFERROR(__xludf.DUMMYFUNCTION("""COMPUTED_VALUE"""),"MTLSZ003766A21")</f>
        <v>MTLSZ003766A21</v>
      </c>
      <c r="I626" s="2">
        <f ca="1">IFERROR(__xludf.DUMMYFUNCTION("""COMPUTED_VALUE"""),44467)</f>
        <v>44467</v>
      </c>
      <c r="J626" s="2">
        <f ca="1">IFERROR(__xludf.DUMMYFUNCTION("""COMPUTED_VALUE"""),44831)</f>
        <v>44831</v>
      </c>
    </row>
    <row r="627" spans="1:10" x14ac:dyDescent="0.25">
      <c r="A627" s="1" t="str">
        <f ca="1">IFERROR(__xludf.DUMMYFUNCTION("""COMPUTED_VALUE"""),"Ludovika SE")</f>
        <v>Ludovika SE</v>
      </c>
      <c r="B627" s="1" t="str">
        <f ca="1">IFERROR(__xludf.DUMMYFUNCTION("""COMPUTED_VALUE"""),"Stenly Karthen")</f>
        <v>Stenly Karthen</v>
      </c>
      <c r="C627" s="1"/>
      <c r="D627" s="1" t="str">
        <f ca="1">IFERROR(__xludf.DUMMYFUNCTION("""COMPUTED_VALUE"""),"Férfi")</f>
        <v>Férfi</v>
      </c>
      <c r="E627" s="1"/>
      <c r="F627" s="1">
        <f ca="1">IFERROR(__xludf.DUMMYFUNCTION("""COMPUTED_VALUE"""),1986)</f>
        <v>1986</v>
      </c>
      <c r="G627" s="1">
        <f ca="1">IFERROR(__xludf.DUMMYFUNCTION("""COMPUTED_VALUE"""),4663)</f>
        <v>4663</v>
      </c>
      <c r="H627" s="1" t="str">
        <f ca="1">IFERROR(__xludf.DUMMYFUNCTION("""COMPUTED_VALUE"""),"MTLSZ004663A21")</f>
        <v>MTLSZ004663A21</v>
      </c>
      <c r="I627" s="2">
        <f ca="1">IFERROR(__xludf.DUMMYFUNCTION("""COMPUTED_VALUE"""),44466)</f>
        <v>44466</v>
      </c>
      <c r="J627" s="2">
        <f ca="1">IFERROR(__xludf.DUMMYFUNCTION("""COMPUTED_VALUE"""),44830)</f>
        <v>44830</v>
      </c>
    </row>
    <row r="628" spans="1:10" x14ac:dyDescent="0.25">
      <c r="A628" s="1" t="str">
        <f ca="1">IFERROR(__xludf.DUMMYFUNCTION("""COMPUTED_VALUE"""),"Talentum TSE")</f>
        <v>Talentum TSE</v>
      </c>
      <c r="B628" s="1" t="str">
        <f ca="1">IFERROR(__xludf.DUMMYFUNCTION("""COMPUTED_VALUE"""),"Brinzik Boglárka")</f>
        <v>Brinzik Boglárka</v>
      </c>
      <c r="C628" s="1"/>
      <c r="D628" s="1" t="str">
        <f ca="1">IFERROR(__xludf.DUMMYFUNCTION("""COMPUTED_VALUE"""),"Nő")</f>
        <v>Nő</v>
      </c>
      <c r="E628" s="1"/>
      <c r="F628" s="1">
        <f ca="1">IFERROR(__xludf.DUMMYFUNCTION("""COMPUTED_VALUE"""),2007)</f>
        <v>2007</v>
      </c>
      <c r="G628" s="1">
        <f ca="1">IFERROR(__xludf.DUMMYFUNCTION("""COMPUTED_VALUE"""),3421)</f>
        <v>3421</v>
      </c>
      <c r="H628" s="1" t="str">
        <f ca="1">IFERROR(__xludf.DUMMYFUNCTION("""COMPUTED_VALUE"""),"MTLSZ003421A21")</f>
        <v>MTLSZ003421A21</v>
      </c>
      <c r="I628" s="2">
        <f ca="1">IFERROR(__xludf.DUMMYFUNCTION("""COMPUTED_VALUE"""),44461)</f>
        <v>44461</v>
      </c>
      <c r="J628" s="2">
        <f ca="1">IFERROR(__xludf.DUMMYFUNCTION("""COMPUTED_VALUE"""),44825)</f>
        <v>44825</v>
      </c>
    </row>
    <row r="629" spans="1:10" x14ac:dyDescent="0.25">
      <c r="A629" s="1" t="str">
        <f ca="1">IFERROR(__xludf.DUMMYFUNCTION("""COMPUTED_VALUE"""),"Talentum TSE")</f>
        <v>Talentum TSE</v>
      </c>
      <c r="B629" s="1" t="str">
        <f ca="1">IFERROR(__xludf.DUMMYFUNCTION("""COMPUTED_VALUE"""),"Csányi Levente László")</f>
        <v>Csányi Levente László</v>
      </c>
      <c r="C629" s="1"/>
      <c r="D629" s="1" t="str">
        <f ca="1">IFERROR(__xludf.DUMMYFUNCTION("""COMPUTED_VALUE"""),"Férfi")</f>
        <v>Férfi</v>
      </c>
      <c r="E629" s="1"/>
      <c r="F629" s="1">
        <f ca="1">IFERROR(__xludf.DUMMYFUNCTION("""COMPUTED_VALUE"""),2006)</f>
        <v>2006</v>
      </c>
      <c r="G629" s="1">
        <f ca="1">IFERROR(__xludf.DUMMYFUNCTION("""COMPUTED_VALUE"""),3346)</f>
        <v>3346</v>
      </c>
      <c r="H629" s="1" t="str">
        <f ca="1">IFERROR(__xludf.DUMMYFUNCTION("""COMPUTED_VALUE"""),"MTLSZ003346A21")</f>
        <v>MTLSZ003346A21</v>
      </c>
      <c r="I629" s="2">
        <f ca="1">IFERROR(__xludf.DUMMYFUNCTION("""COMPUTED_VALUE"""),44461)</f>
        <v>44461</v>
      </c>
      <c r="J629" s="2">
        <f ca="1">IFERROR(__xludf.DUMMYFUNCTION("""COMPUTED_VALUE"""),44825)</f>
        <v>44825</v>
      </c>
    </row>
    <row r="630" spans="1:10" x14ac:dyDescent="0.25">
      <c r="A630" s="1" t="str">
        <f ca="1">IFERROR(__xludf.DUMMYFUNCTION("""COMPUTED_VALUE"""),"T(r)ollas SE")</f>
        <v>T(r)ollas SE</v>
      </c>
      <c r="B630" s="1" t="str">
        <f ca="1">IFERROR(__xludf.DUMMYFUNCTION("""COMPUTED_VALUE"""),"Turi Kamilla")</f>
        <v>Turi Kamilla</v>
      </c>
      <c r="C630" s="1"/>
      <c r="D630" s="1" t="str">
        <f ca="1">IFERROR(__xludf.DUMMYFUNCTION("""COMPUTED_VALUE"""),"Nő")</f>
        <v>Nő</v>
      </c>
      <c r="E630" s="1"/>
      <c r="F630" s="1">
        <f ca="1">IFERROR(__xludf.DUMMYFUNCTION("""COMPUTED_VALUE"""),1995)</f>
        <v>1995</v>
      </c>
      <c r="G630" s="1">
        <f ca="1">IFERROR(__xludf.DUMMYFUNCTION("""COMPUTED_VALUE"""),3519)</f>
        <v>3519</v>
      </c>
      <c r="H630" s="1" t="str">
        <f ca="1">IFERROR(__xludf.DUMMYFUNCTION("""COMPUTED_VALUE"""),"MTLSZ003519A21")</f>
        <v>MTLSZ003519A21</v>
      </c>
      <c r="I630" s="2">
        <f ca="1">IFERROR(__xludf.DUMMYFUNCTION("""COMPUTED_VALUE"""),44461)</f>
        <v>44461</v>
      </c>
      <c r="J630" s="2">
        <f ca="1">IFERROR(__xludf.DUMMYFUNCTION("""COMPUTED_VALUE"""),44825)</f>
        <v>44825</v>
      </c>
    </row>
    <row r="631" spans="1:10" x14ac:dyDescent="0.25">
      <c r="A631" s="1" t="str">
        <f ca="1">IFERROR(__xludf.DUMMYFUNCTION("""COMPUTED_VALUE"""),"FBSE")</f>
        <v>FBSE</v>
      </c>
      <c r="B631" s="1" t="str">
        <f ca="1">IFERROR(__xludf.DUMMYFUNCTION("""COMPUTED_VALUE"""),"Kustán Kata")</f>
        <v>Kustán Kata</v>
      </c>
      <c r="C631" s="1"/>
      <c r="D631" s="1" t="str">
        <f ca="1">IFERROR(__xludf.DUMMYFUNCTION("""COMPUTED_VALUE"""),"Nő")</f>
        <v>Nő</v>
      </c>
      <c r="E631" s="1"/>
      <c r="F631" s="1">
        <f ca="1">IFERROR(__xludf.DUMMYFUNCTION("""COMPUTED_VALUE"""),2005)</f>
        <v>2005</v>
      </c>
      <c r="G631" s="1">
        <f ca="1">IFERROR(__xludf.DUMMYFUNCTION("""COMPUTED_VALUE"""),2632)</f>
        <v>2632</v>
      </c>
      <c r="H631" s="1" t="str">
        <f ca="1">IFERROR(__xludf.DUMMYFUNCTION("""COMPUTED_VALUE"""),"MTLSZ002632A21")</f>
        <v>MTLSZ002632A21</v>
      </c>
      <c r="I631" s="2">
        <f ca="1">IFERROR(__xludf.DUMMYFUNCTION("""COMPUTED_VALUE"""),44458)</f>
        <v>44458</v>
      </c>
      <c r="J631" s="2">
        <f ca="1">IFERROR(__xludf.DUMMYFUNCTION("""COMPUTED_VALUE"""),44822)</f>
        <v>44822</v>
      </c>
    </row>
    <row r="632" spans="1:10" x14ac:dyDescent="0.25">
      <c r="A632" s="1" t="str">
        <f ca="1">IFERROR(__xludf.DUMMYFUNCTION("""COMPUTED_VALUE"""),"FBSE")</f>
        <v>FBSE</v>
      </c>
      <c r="B632" s="1" t="str">
        <f ca="1">IFERROR(__xludf.DUMMYFUNCTION("""COMPUTED_VALUE"""),"Kustán Noémi")</f>
        <v>Kustán Noémi</v>
      </c>
      <c r="C632" s="1"/>
      <c r="D632" s="1" t="str">
        <f ca="1">IFERROR(__xludf.DUMMYFUNCTION("""COMPUTED_VALUE"""),"Nő")</f>
        <v>Nő</v>
      </c>
      <c r="E632" s="1"/>
      <c r="F632" s="1">
        <f ca="1">IFERROR(__xludf.DUMMYFUNCTION("""COMPUTED_VALUE"""),2001)</f>
        <v>2001</v>
      </c>
      <c r="G632" s="1">
        <f ca="1">IFERROR(__xludf.DUMMYFUNCTION("""COMPUTED_VALUE"""),2155)</f>
        <v>2155</v>
      </c>
      <c r="H632" s="1" t="str">
        <f ca="1">IFERROR(__xludf.DUMMYFUNCTION("""COMPUTED_VALUE"""),"MTLSZ002155A21")</f>
        <v>MTLSZ002155A21</v>
      </c>
      <c r="I632" s="2">
        <f ca="1">IFERROR(__xludf.DUMMYFUNCTION("""COMPUTED_VALUE"""),44458)</f>
        <v>44458</v>
      </c>
      <c r="J632" s="2">
        <f ca="1">IFERROR(__xludf.DUMMYFUNCTION("""COMPUTED_VALUE"""),44822)</f>
        <v>44822</v>
      </c>
    </row>
    <row r="633" spans="1:10" x14ac:dyDescent="0.25">
      <c r="A633" s="1" t="str">
        <f ca="1">IFERROR(__xludf.DUMMYFUNCTION("""COMPUTED_VALUE"""),"Kék Sólymok SE")</f>
        <v>Kék Sólymok SE</v>
      </c>
      <c r="B633" s="1" t="str">
        <f ca="1">IFERROR(__xludf.DUMMYFUNCTION("""COMPUTED_VALUE"""),"Allegra Flora")</f>
        <v>Allegra Flora</v>
      </c>
      <c r="C633" s="1"/>
      <c r="D633" s="1" t="str">
        <f ca="1">IFERROR(__xludf.DUMMYFUNCTION("""COMPUTED_VALUE"""),"Nő")</f>
        <v>Nő</v>
      </c>
      <c r="E633" s="1"/>
      <c r="F633" s="1">
        <f ca="1">IFERROR(__xludf.DUMMYFUNCTION("""COMPUTED_VALUE"""),1999)</f>
        <v>1999</v>
      </c>
      <c r="G633" s="1">
        <f ca="1">IFERROR(__xludf.DUMMYFUNCTION("""COMPUTED_VALUE"""),4660)</f>
        <v>4660</v>
      </c>
      <c r="H633" s="1" t="str">
        <f ca="1">IFERROR(__xludf.DUMMYFUNCTION("""COMPUTED_VALUE"""),"MTLSZ004660A21")</f>
        <v>MTLSZ004660A21</v>
      </c>
      <c r="I633" s="2">
        <f ca="1">IFERROR(__xludf.DUMMYFUNCTION("""COMPUTED_VALUE"""),44456)</f>
        <v>44456</v>
      </c>
      <c r="J633" s="2">
        <f ca="1">IFERROR(__xludf.DUMMYFUNCTION("""COMPUTED_VALUE"""),44820)</f>
        <v>44820</v>
      </c>
    </row>
    <row r="634" spans="1:10" x14ac:dyDescent="0.25">
      <c r="A634" s="1" t="str">
        <f ca="1">IFERROR(__xludf.DUMMYFUNCTION("""COMPUTED_VALUE"""),"Tisza TSE")</f>
        <v>Tisza TSE</v>
      </c>
      <c r="B634" s="1" t="str">
        <f ca="1">IFERROR(__xludf.DUMMYFUNCTION("""COMPUTED_VALUE"""),"Bába Máté")</f>
        <v>Bába Máté</v>
      </c>
      <c r="C634" s="1"/>
      <c r="D634" s="1" t="str">
        <f ca="1">IFERROR(__xludf.DUMMYFUNCTION("""COMPUTED_VALUE"""),"Férfi")</f>
        <v>Férfi</v>
      </c>
      <c r="E634" s="1"/>
      <c r="F634" s="1">
        <f ca="1">IFERROR(__xludf.DUMMYFUNCTION("""COMPUTED_VALUE"""),2004)</f>
        <v>2004</v>
      </c>
      <c r="G634" s="1">
        <f ca="1">IFERROR(__xludf.DUMMYFUNCTION("""COMPUTED_VALUE"""),3002)</f>
        <v>3002</v>
      </c>
      <c r="H634" s="1" t="str">
        <f ca="1">IFERROR(__xludf.DUMMYFUNCTION("""COMPUTED_VALUE"""),"MTLSZ003002A21")</f>
        <v>MTLSZ003002A21</v>
      </c>
      <c r="I634" s="2">
        <f ca="1">IFERROR(__xludf.DUMMYFUNCTION("""COMPUTED_VALUE"""),44456)</f>
        <v>44456</v>
      </c>
      <c r="J634" s="2">
        <f ca="1">IFERROR(__xludf.DUMMYFUNCTION("""COMPUTED_VALUE"""),44820)</f>
        <v>44820</v>
      </c>
    </row>
    <row r="635" spans="1:10" x14ac:dyDescent="0.25">
      <c r="A635" s="1" t="str">
        <f ca="1">IFERROR(__xludf.DUMMYFUNCTION("""COMPUTED_VALUE"""),"Tisza TSE")</f>
        <v>Tisza TSE</v>
      </c>
      <c r="B635" s="1" t="str">
        <f ca="1">IFERROR(__xludf.DUMMYFUNCTION("""COMPUTED_VALUE"""),"Bátki-Fazekas Ilona")</f>
        <v>Bátki-Fazekas Ilona</v>
      </c>
      <c r="C635" s="1"/>
      <c r="D635" s="1" t="str">
        <f ca="1">IFERROR(__xludf.DUMMYFUNCTION("""COMPUTED_VALUE"""),"Nő")</f>
        <v>Nő</v>
      </c>
      <c r="E635" s="1"/>
      <c r="F635" s="1">
        <f ca="1">IFERROR(__xludf.DUMMYFUNCTION("""COMPUTED_VALUE"""),2001)</f>
        <v>2001</v>
      </c>
      <c r="G635" s="1">
        <f ca="1">IFERROR(__xludf.DUMMYFUNCTION("""COMPUTED_VALUE"""),3768)</f>
        <v>3768</v>
      </c>
      <c r="H635" s="1" t="str">
        <f ca="1">IFERROR(__xludf.DUMMYFUNCTION("""COMPUTED_VALUE"""),"MTLSZ003768A21")</f>
        <v>MTLSZ003768A21</v>
      </c>
      <c r="I635" s="2">
        <f ca="1">IFERROR(__xludf.DUMMYFUNCTION("""COMPUTED_VALUE"""),44456)</f>
        <v>44456</v>
      </c>
      <c r="J635" s="2">
        <f ca="1">IFERROR(__xludf.DUMMYFUNCTION("""COMPUTED_VALUE"""),44820)</f>
        <v>44820</v>
      </c>
    </row>
    <row r="636" spans="1:10" x14ac:dyDescent="0.25">
      <c r="A636" s="1" t="str">
        <f ca="1">IFERROR(__xludf.DUMMYFUNCTION("""COMPUTED_VALUE"""),"Tisza TSE")</f>
        <v>Tisza TSE</v>
      </c>
      <c r="B636" s="1" t="str">
        <f ca="1">IFERROR(__xludf.DUMMYFUNCTION("""COMPUTED_VALUE"""),"Chadaide Igor")</f>
        <v>Chadaide Igor</v>
      </c>
      <c r="C636" s="1"/>
      <c r="D636" s="1" t="str">
        <f ca="1">IFERROR(__xludf.DUMMYFUNCTION("""COMPUTED_VALUE"""),"Férfi")</f>
        <v>Férfi</v>
      </c>
      <c r="E636" s="1"/>
      <c r="F636" s="1">
        <f ca="1">IFERROR(__xludf.DUMMYFUNCTION("""COMPUTED_VALUE"""),2006)</f>
        <v>2006</v>
      </c>
      <c r="G636" s="1">
        <f ca="1">IFERROR(__xludf.DUMMYFUNCTION("""COMPUTED_VALUE"""),3402)</f>
        <v>3402</v>
      </c>
      <c r="H636" s="1" t="str">
        <f ca="1">IFERROR(__xludf.DUMMYFUNCTION("""COMPUTED_VALUE"""),"MTLSZ003402A21")</f>
        <v>MTLSZ003402A21</v>
      </c>
      <c r="I636" s="2">
        <f ca="1">IFERROR(__xludf.DUMMYFUNCTION("""COMPUTED_VALUE"""),44456)</f>
        <v>44456</v>
      </c>
      <c r="J636" s="2">
        <f ca="1">IFERROR(__xludf.DUMMYFUNCTION("""COMPUTED_VALUE"""),44820)</f>
        <v>44820</v>
      </c>
    </row>
    <row r="637" spans="1:10" x14ac:dyDescent="0.25">
      <c r="A637" s="1" t="str">
        <f ca="1">IFERROR(__xludf.DUMMYFUNCTION("""COMPUTED_VALUE"""),"Tisza TSE")</f>
        <v>Tisza TSE</v>
      </c>
      <c r="B637" s="1" t="str">
        <f ca="1">IFERROR(__xludf.DUMMYFUNCTION("""COMPUTED_VALUE"""),"Dudás Nelli")</f>
        <v>Dudás Nelli</v>
      </c>
      <c r="C637" s="1"/>
      <c r="D637" s="1" t="str">
        <f ca="1">IFERROR(__xludf.DUMMYFUNCTION("""COMPUTED_VALUE"""),"Nő")</f>
        <v>Nő</v>
      </c>
      <c r="E637" s="1"/>
      <c r="F637" s="1">
        <f ca="1">IFERROR(__xludf.DUMMYFUNCTION("""COMPUTED_VALUE"""),2005)</f>
        <v>2005</v>
      </c>
      <c r="G637" s="1">
        <f ca="1">IFERROR(__xludf.DUMMYFUNCTION("""COMPUTED_VALUE"""),2823)</f>
        <v>2823</v>
      </c>
      <c r="H637" s="1" t="str">
        <f ca="1">IFERROR(__xludf.DUMMYFUNCTION("""COMPUTED_VALUE"""),"MTLSZ002823A21")</f>
        <v>MTLSZ002823A21</v>
      </c>
      <c r="I637" s="2">
        <f ca="1">IFERROR(__xludf.DUMMYFUNCTION("""COMPUTED_VALUE"""),44456)</f>
        <v>44456</v>
      </c>
      <c r="J637" s="2">
        <f ca="1">IFERROR(__xludf.DUMMYFUNCTION("""COMPUTED_VALUE"""),44820)</f>
        <v>44820</v>
      </c>
    </row>
    <row r="638" spans="1:10" x14ac:dyDescent="0.25">
      <c r="A638" s="1" t="str">
        <f ca="1">IFERROR(__xludf.DUMMYFUNCTION("""COMPUTED_VALUE"""),"Tisza TSE")</f>
        <v>Tisza TSE</v>
      </c>
      <c r="B638" s="1" t="str">
        <f ca="1">IFERROR(__xludf.DUMMYFUNCTION("""COMPUTED_VALUE"""),"Garas Kende")</f>
        <v>Garas Kende</v>
      </c>
      <c r="C638" s="1"/>
      <c r="D638" s="1" t="str">
        <f ca="1">IFERROR(__xludf.DUMMYFUNCTION("""COMPUTED_VALUE"""),"Férfi")</f>
        <v>Férfi</v>
      </c>
      <c r="E638" s="1"/>
      <c r="F638" s="1">
        <f ca="1">IFERROR(__xludf.DUMMYFUNCTION("""COMPUTED_VALUE"""),2006)</f>
        <v>2006</v>
      </c>
      <c r="G638" s="1">
        <f ca="1">IFERROR(__xludf.DUMMYFUNCTION("""COMPUTED_VALUE"""),3196)</f>
        <v>3196</v>
      </c>
      <c r="H638" s="1" t="str">
        <f ca="1">IFERROR(__xludf.DUMMYFUNCTION("""COMPUTED_VALUE"""),"MTLSZ003196A21")</f>
        <v>MTLSZ003196A21</v>
      </c>
      <c r="I638" s="2">
        <f ca="1">IFERROR(__xludf.DUMMYFUNCTION("""COMPUTED_VALUE"""),44456)</f>
        <v>44456</v>
      </c>
      <c r="J638" s="2">
        <f ca="1">IFERROR(__xludf.DUMMYFUNCTION("""COMPUTED_VALUE"""),44820)</f>
        <v>44820</v>
      </c>
    </row>
    <row r="639" spans="1:10" x14ac:dyDescent="0.25">
      <c r="A639" s="1" t="str">
        <f ca="1">IFERROR(__xludf.DUMMYFUNCTION("""COMPUTED_VALUE"""),"Tisza TSE")</f>
        <v>Tisza TSE</v>
      </c>
      <c r="B639" s="1" t="str">
        <f ca="1">IFERROR(__xludf.DUMMYFUNCTION("""COMPUTED_VALUE"""),"Gáspár-Ducza Sára")</f>
        <v>Gáspár-Ducza Sára</v>
      </c>
      <c r="C639" s="1"/>
      <c r="D639" s="1" t="str">
        <f ca="1">IFERROR(__xludf.DUMMYFUNCTION("""COMPUTED_VALUE"""),"Nő")</f>
        <v>Nő</v>
      </c>
      <c r="E639" s="1"/>
      <c r="F639" s="1">
        <f ca="1">IFERROR(__xludf.DUMMYFUNCTION("""COMPUTED_VALUE"""),2004)</f>
        <v>2004</v>
      </c>
      <c r="G639" s="1">
        <f ca="1">IFERROR(__xludf.DUMMYFUNCTION("""COMPUTED_VALUE"""),3991)</f>
        <v>3991</v>
      </c>
      <c r="H639" s="1" t="str">
        <f ca="1">IFERROR(__xludf.DUMMYFUNCTION("""COMPUTED_VALUE"""),"MTLSZ003991A21")</f>
        <v>MTLSZ003991A21</v>
      </c>
      <c r="I639" s="2">
        <f ca="1">IFERROR(__xludf.DUMMYFUNCTION("""COMPUTED_VALUE"""),44456)</f>
        <v>44456</v>
      </c>
      <c r="J639" s="2">
        <f ca="1">IFERROR(__xludf.DUMMYFUNCTION("""COMPUTED_VALUE"""),44820)</f>
        <v>44820</v>
      </c>
    </row>
    <row r="640" spans="1:10" x14ac:dyDescent="0.25">
      <c r="A640" s="1" t="str">
        <f ca="1">IFERROR(__xludf.DUMMYFUNCTION("""COMPUTED_VALUE"""),"Tisza TSE")</f>
        <v>Tisza TSE</v>
      </c>
      <c r="B640" s="1" t="str">
        <f ca="1">IFERROR(__xludf.DUMMYFUNCTION("""COMPUTED_VALUE"""),"Kopilovic Alexander")</f>
        <v>Kopilovic Alexander</v>
      </c>
      <c r="C640" s="1"/>
      <c r="D640" s="1" t="str">
        <f ca="1">IFERROR(__xludf.DUMMYFUNCTION("""COMPUTED_VALUE"""),"Férfi")</f>
        <v>Férfi</v>
      </c>
      <c r="E640" s="1"/>
      <c r="F640" s="1">
        <f ca="1">IFERROR(__xludf.DUMMYFUNCTION("""COMPUTED_VALUE"""),2005)</f>
        <v>2005</v>
      </c>
      <c r="G640" s="1">
        <f ca="1">IFERROR(__xludf.DUMMYFUNCTION("""COMPUTED_VALUE"""),3194)</f>
        <v>3194</v>
      </c>
      <c r="H640" s="1" t="str">
        <f ca="1">IFERROR(__xludf.DUMMYFUNCTION("""COMPUTED_VALUE"""),"MTLSZ003194A21")</f>
        <v>MTLSZ003194A21</v>
      </c>
      <c r="I640" s="2">
        <f ca="1">IFERROR(__xludf.DUMMYFUNCTION("""COMPUTED_VALUE"""),44456)</f>
        <v>44456</v>
      </c>
      <c r="J640" s="2">
        <f ca="1">IFERROR(__xludf.DUMMYFUNCTION("""COMPUTED_VALUE"""),44820)</f>
        <v>44820</v>
      </c>
    </row>
    <row r="641" spans="1:10" x14ac:dyDescent="0.25">
      <c r="A641" s="1" t="str">
        <f ca="1">IFERROR(__xludf.DUMMYFUNCTION("""COMPUTED_VALUE"""),"Tisza TSE")</f>
        <v>Tisza TSE</v>
      </c>
      <c r="B641" s="1" t="str">
        <f ca="1">IFERROR(__xludf.DUMMYFUNCTION("""COMPUTED_VALUE"""),"Kóta Máté")</f>
        <v>Kóta Máté</v>
      </c>
      <c r="C641" s="1"/>
      <c r="D641" s="1" t="str">
        <f ca="1">IFERROR(__xludf.DUMMYFUNCTION("""COMPUTED_VALUE"""),"Férfi")</f>
        <v>Férfi</v>
      </c>
      <c r="E641" s="1"/>
      <c r="F641" s="1">
        <f ca="1">IFERROR(__xludf.DUMMYFUNCTION("""COMPUTED_VALUE"""),2005)</f>
        <v>2005</v>
      </c>
      <c r="G641" s="1">
        <f ca="1">IFERROR(__xludf.DUMMYFUNCTION("""COMPUTED_VALUE"""),2915)</f>
        <v>2915</v>
      </c>
      <c r="H641" s="1" t="str">
        <f ca="1">IFERROR(__xludf.DUMMYFUNCTION("""COMPUTED_VALUE"""),"MTLSZ002915A21")</f>
        <v>MTLSZ002915A21</v>
      </c>
      <c r="I641" s="2">
        <f ca="1">IFERROR(__xludf.DUMMYFUNCTION("""COMPUTED_VALUE"""),44456)</f>
        <v>44456</v>
      </c>
      <c r="J641" s="2">
        <f ca="1">IFERROR(__xludf.DUMMYFUNCTION("""COMPUTED_VALUE"""),44820)</f>
        <v>44820</v>
      </c>
    </row>
    <row r="642" spans="1:10" x14ac:dyDescent="0.25">
      <c r="A642" s="1" t="str">
        <f ca="1">IFERROR(__xludf.DUMMYFUNCTION("""COMPUTED_VALUE"""),"Tisza TSE")</f>
        <v>Tisza TSE</v>
      </c>
      <c r="B642" s="1" t="str">
        <f ca="1">IFERROR(__xludf.DUMMYFUNCTION("""COMPUTED_VALUE"""),"Mayasari Dian Ayu")</f>
        <v>Mayasari Dian Ayu</v>
      </c>
      <c r="C642" s="1"/>
      <c r="D642" s="1" t="str">
        <f ca="1">IFERROR(__xludf.DUMMYFUNCTION("""COMPUTED_VALUE"""),"Nő")</f>
        <v>Nő</v>
      </c>
      <c r="E642" s="1"/>
      <c r="F642" s="1">
        <f ca="1">IFERROR(__xludf.DUMMYFUNCTION("""COMPUTED_VALUE"""),1986)</f>
        <v>1986</v>
      </c>
      <c r="G642" s="1">
        <f ca="1">IFERROR(__xludf.DUMMYFUNCTION("""COMPUTED_VALUE"""),2723)</f>
        <v>2723</v>
      </c>
      <c r="H642" s="1" t="str">
        <f ca="1">IFERROR(__xludf.DUMMYFUNCTION("""COMPUTED_VALUE"""),"MTLSZ002723A21")</f>
        <v>MTLSZ002723A21</v>
      </c>
      <c r="I642" s="2">
        <f ca="1">IFERROR(__xludf.DUMMYFUNCTION("""COMPUTED_VALUE"""),44456)</f>
        <v>44456</v>
      </c>
      <c r="J642" s="2">
        <f ca="1">IFERROR(__xludf.DUMMYFUNCTION("""COMPUTED_VALUE"""),44820)</f>
        <v>44820</v>
      </c>
    </row>
    <row r="643" spans="1:10" x14ac:dyDescent="0.25">
      <c r="A643" s="1" t="str">
        <f ca="1">IFERROR(__xludf.DUMMYFUNCTION("""COMPUTED_VALUE"""),"Tisza TSE")</f>
        <v>Tisza TSE</v>
      </c>
      <c r="B643" s="1" t="str">
        <f ca="1">IFERROR(__xludf.DUMMYFUNCTION("""COMPUTED_VALUE"""),"Pápai Luca")</f>
        <v>Pápai Luca</v>
      </c>
      <c r="C643" s="1"/>
      <c r="D643" s="1" t="str">
        <f ca="1">IFERROR(__xludf.DUMMYFUNCTION("""COMPUTED_VALUE"""),"Nő")</f>
        <v>Nő</v>
      </c>
      <c r="E643" s="1"/>
      <c r="F643" s="1">
        <f ca="1">IFERROR(__xludf.DUMMYFUNCTION("""COMPUTED_VALUE"""),2008)</f>
        <v>2008</v>
      </c>
      <c r="G643" s="1">
        <f ca="1">IFERROR(__xludf.DUMMYFUNCTION("""COMPUTED_VALUE"""),3193)</f>
        <v>3193</v>
      </c>
      <c r="H643" s="1" t="str">
        <f ca="1">IFERROR(__xludf.DUMMYFUNCTION("""COMPUTED_VALUE"""),"MTLSZ003193A21")</f>
        <v>MTLSZ003193A21</v>
      </c>
      <c r="I643" s="2">
        <f ca="1">IFERROR(__xludf.DUMMYFUNCTION("""COMPUTED_VALUE"""),44456)</f>
        <v>44456</v>
      </c>
      <c r="J643" s="2">
        <f ca="1">IFERROR(__xludf.DUMMYFUNCTION("""COMPUTED_VALUE"""),44820)</f>
        <v>44820</v>
      </c>
    </row>
    <row r="644" spans="1:10" x14ac:dyDescent="0.25">
      <c r="A644" s="1" t="str">
        <f ca="1">IFERROR(__xludf.DUMMYFUNCTION("""COMPUTED_VALUE"""),"Tisza TSE")</f>
        <v>Tisza TSE</v>
      </c>
      <c r="B644" s="1" t="str">
        <f ca="1">IFERROR(__xludf.DUMMYFUNCTION("""COMPUTED_VALUE"""),"Perecz Dóra Izabella")</f>
        <v>Perecz Dóra Izabella</v>
      </c>
      <c r="C644" s="1"/>
      <c r="D644" s="1" t="str">
        <f ca="1">IFERROR(__xludf.DUMMYFUNCTION("""COMPUTED_VALUE"""),"Nő")</f>
        <v>Nő</v>
      </c>
      <c r="E644" s="1"/>
      <c r="F644" s="1">
        <f ca="1">IFERROR(__xludf.DUMMYFUNCTION("""COMPUTED_VALUE"""),2007)</f>
        <v>2007</v>
      </c>
      <c r="G644" s="1">
        <f ca="1">IFERROR(__xludf.DUMMYFUNCTION("""COMPUTED_VALUE"""),3545)</f>
        <v>3545</v>
      </c>
      <c r="H644" s="1" t="str">
        <f ca="1">IFERROR(__xludf.DUMMYFUNCTION("""COMPUTED_VALUE"""),"MTLSZ003545A21")</f>
        <v>MTLSZ003545A21</v>
      </c>
      <c r="I644" s="2">
        <f ca="1">IFERROR(__xludf.DUMMYFUNCTION("""COMPUTED_VALUE"""),44456)</f>
        <v>44456</v>
      </c>
      <c r="J644" s="2">
        <f ca="1">IFERROR(__xludf.DUMMYFUNCTION("""COMPUTED_VALUE"""),44820)</f>
        <v>44820</v>
      </c>
    </row>
    <row r="645" spans="1:10" x14ac:dyDescent="0.25">
      <c r="A645" s="1" t="str">
        <f ca="1">IFERROR(__xludf.DUMMYFUNCTION("""COMPUTED_VALUE"""),"Tisza TSE")</f>
        <v>Tisza TSE</v>
      </c>
      <c r="B645" s="1" t="str">
        <f ca="1">IFERROR(__xludf.DUMMYFUNCTION("""COMPUTED_VALUE"""),"Piliszky András")</f>
        <v>Piliszky András</v>
      </c>
      <c r="C645" s="1"/>
      <c r="D645" s="1" t="str">
        <f ca="1">IFERROR(__xludf.DUMMYFUNCTION("""COMPUTED_VALUE"""),"Férfi")</f>
        <v>Férfi</v>
      </c>
      <c r="E645" s="1"/>
      <c r="F645" s="1">
        <f ca="1">IFERROR(__xludf.DUMMYFUNCTION("""COMPUTED_VALUE"""),1992)</f>
        <v>1992</v>
      </c>
      <c r="G645" s="1">
        <f ca="1">IFERROR(__xludf.DUMMYFUNCTION("""COMPUTED_VALUE"""),1619)</f>
        <v>1619</v>
      </c>
      <c r="H645" s="1" t="str">
        <f ca="1">IFERROR(__xludf.DUMMYFUNCTION("""COMPUTED_VALUE"""),"MTLSZ001619A21")</f>
        <v>MTLSZ001619A21</v>
      </c>
      <c r="I645" s="2">
        <f ca="1">IFERROR(__xludf.DUMMYFUNCTION("""COMPUTED_VALUE"""),44456)</f>
        <v>44456</v>
      </c>
      <c r="J645" s="2">
        <f ca="1">IFERROR(__xludf.DUMMYFUNCTION("""COMPUTED_VALUE"""),44820)</f>
        <v>44820</v>
      </c>
    </row>
    <row r="646" spans="1:10" x14ac:dyDescent="0.25">
      <c r="A646" s="1" t="str">
        <f ca="1">IFERROR(__xludf.DUMMYFUNCTION("""COMPUTED_VALUE"""),"Tisza TSE")</f>
        <v>Tisza TSE</v>
      </c>
      <c r="B646" s="1" t="str">
        <f ca="1">IFERROR(__xludf.DUMMYFUNCTION("""COMPUTED_VALUE"""),"Purwanto Didi")</f>
        <v>Purwanto Didi</v>
      </c>
      <c r="C646" s="1"/>
      <c r="D646" s="1" t="str">
        <f ca="1">IFERROR(__xludf.DUMMYFUNCTION("""COMPUTED_VALUE"""),"Férfi")</f>
        <v>Férfi</v>
      </c>
      <c r="E646" s="1"/>
      <c r="F646" s="1">
        <f ca="1">IFERROR(__xludf.DUMMYFUNCTION("""COMPUTED_VALUE"""),1986)</f>
        <v>1986</v>
      </c>
      <c r="G646" s="1">
        <f ca="1">IFERROR(__xludf.DUMMYFUNCTION("""COMPUTED_VALUE"""),2722)</f>
        <v>2722</v>
      </c>
      <c r="H646" s="1" t="str">
        <f ca="1">IFERROR(__xludf.DUMMYFUNCTION("""COMPUTED_VALUE"""),"MTLSZ002722A21")</f>
        <v>MTLSZ002722A21</v>
      </c>
      <c r="I646" s="2">
        <f ca="1">IFERROR(__xludf.DUMMYFUNCTION("""COMPUTED_VALUE"""),44456)</f>
        <v>44456</v>
      </c>
      <c r="J646" s="2">
        <f ca="1">IFERROR(__xludf.DUMMYFUNCTION("""COMPUTED_VALUE"""),44820)</f>
        <v>44820</v>
      </c>
    </row>
    <row r="647" spans="1:10" x14ac:dyDescent="0.25">
      <c r="A647" s="1" t="str">
        <f ca="1">IFERROR(__xludf.DUMMYFUNCTION("""COMPUTED_VALUE"""),"Tisza TSE")</f>
        <v>Tisza TSE</v>
      </c>
      <c r="B647" s="1" t="str">
        <f ca="1">IFERROR(__xludf.DUMMYFUNCTION("""COMPUTED_VALUE"""),"Sebők Barnabás")</f>
        <v>Sebők Barnabás</v>
      </c>
      <c r="C647" s="1"/>
      <c r="D647" s="1" t="str">
        <f ca="1">IFERROR(__xludf.DUMMYFUNCTION("""COMPUTED_VALUE"""),"Férfi")</f>
        <v>Férfi</v>
      </c>
      <c r="E647" s="1"/>
      <c r="F647" s="1">
        <f ca="1">IFERROR(__xludf.DUMMYFUNCTION("""COMPUTED_VALUE"""),2005)</f>
        <v>2005</v>
      </c>
      <c r="G647" s="1">
        <f ca="1">IFERROR(__xludf.DUMMYFUNCTION("""COMPUTED_VALUE"""),2715)</f>
        <v>2715</v>
      </c>
      <c r="H647" s="1" t="str">
        <f ca="1">IFERROR(__xludf.DUMMYFUNCTION("""COMPUTED_VALUE"""),"MTLSZ002715A21")</f>
        <v>MTLSZ002715A21</v>
      </c>
      <c r="I647" s="2">
        <f ca="1">IFERROR(__xludf.DUMMYFUNCTION("""COMPUTED_VALUE"""),44456)</f>
        <v>44456</v>
      </c>
      <c r="J647" s="2">
        <f ca="1">IFERROR(__xludf.DUMMYFUNCTION("""COMPUTED_VALUE"""),44820)</f>
        <v>44820</v>
      </c>
    </row>
    <row r="648" spans="1:10" x14ac:dyDescent="0.25">
      <c r="A648" s="1" t="str">
        <f ca="1">IFERROR(__xludf.DUMMYFUNCTION("""COMPUTED_VALUE"""),"Újpest TSE")</f>
        <v>Újpest TSE</v>
      </c>
      <c r="B648" s="1" t="str">
        <f ca="1">IFERROR(__xludf.DUMMYFUNCTION("""COMPUTED_VALUE"""),"Fazekas Bence")</f>
        <v>Fazekas Bence</v>
      </c>
      <c r="C648" s="1"/>
      <c r="D648" s="1" t="str">
        <f ca="1">IFERROR(__xludf.DUMMYFUNCTION("""COMPUTED_VALUE"""),"Férfi")</f>
        <v>Férfi</v>
      </c>
      <c r="E648" s="1"/>
      <c r="F648" s="1">
        <f ca="1">IFERROR(__xludf.DUMMYFUNCTION("""COMPUTED_VALUE"""),2002)</f>
        <v>2002</v>
      </c>
      <c r="G648" s="1">
        <f ca="1">IFERROR(__xludf.DUMMYFUNCTION("""COMPUTED_VALUE"""),2734)</f>
        <v>2734</v>
      </c>
      <c r="H648" s="1" t="str">
        <f ca="1">IFERROR(__xludf.DUMMYFUNCTION("""COMPUTED_VALUE"""),"MTLSZ002734A21")</f>
        <v>MTLSZ002734A21</v>
      </c>
      <c r="I648" s="2">
        <f ca="1">IFERROR(__xludf.DUMMYFUNCTION("""COMPUTED_VALUE"""),44456)</f>
        <v>44456</v>
      </c>
      <c r="J648" s="2">
        <f ca="1">IFERROR(__xludf.DUMMYFUNCTION("""COMPUTED_VALUE"""),44820)</f>
        <v>44820</v>
      </c>
    </row>
    <row r="649" spans="1:10" x14ac:dyDescent="0.25">
      <c r="A649" s="1" t="str">
        <f ca="1">IFERROR(__xludf.DUMMYFUNCTION("""COMPUTED_VALUE"""),"Zsámbéki SE")</f>
        <v>Zsámbéki SE</v>
      </c>
      <c r="B649" s="1" t="str">
        <f ca="1">IFERROR(__xludf.DUMMYFUNCTION("""COMPUTED_VALUE"""),"Csák Laura Ivett")</f>
        <v>Csák Laura Ivett</v>
      </c>
      <c r="C649" s="1"/>
      <c r="D649" s="1" t="str">
        <f ca="1">IFERROR(__xludf.DUMMYFUNCTION("""COMPUTED_VALUE"""),"Nő")</f>
        <v>Nő</v>
      </c>
      <c r="E649" s="1"/>
      <c r="F649" s="1">
        <f ca="1">IFERROR(__xludf.DUMMYFUNCTION("""COMPUTED_VALUE"""),2009)</f>
        <v>2009</v>
      </c>
      <c r="G649" s="1">
        <f ca="1">IFERROR(__xludf.DUMMYFUNCTION("""COMPUTED_VALUE"""),4545)</f>
        <v>4545</v>
      </c>
      <c r="H649" s="1" t="str">
        <f ca="1">IFERROR(__xludf.DUMMYFUNCTION("""COMPUTED_VALUE"""),"MTLSZ004545A21")</f>
        <v>MTLSZ004545A21</v>
      </c>
      <c r="I649" s="2">
        <f ca="1">IFERROR(__xludf.DUMMYFUNCTION("""COMPUTED_VALUE"""),44456)</f>
        <v>44456</v>
      </c>
      <c r="J649" s="2">
        <f ca="1">IFERROR(__xludf.DUMMYFUNCTION("""COMPUTED_VALUE"""),44820)</f>
        <v>44820</v>
      </c>
    </row>
    <row r="650" spans="1:10" x14ac:dyDescent="0.25">
      <c r="A650" s="1" t="str">
        <f ca="1">IFERROR(__xludf.DUMMYFUNCTION("""COMPUTED_VALUE"""),"Zsámbéki SE")</f>
        <v>Zsámbéki SE</v>
      </c>
      <c r="B650" s="1" t="str">
        <f ca="1">IFERROR(__xludf.DUMMYFUNCTION("""COMPUTED_VALUE"""),"Hudák Lili")</f>
        <v>Hudák Lili</v>
      </c>
      <c r="C650" s="1"/>
      <c r="D650" s="1" t="str">
        <f ca="1">IFERROR(__xludf.DUMMYFUNCTION("""COMPUTED_VALUE"""),"Nő")</f>
        <v>Nő</v>
      </c>
      <c r="E650" s="1"/>
      <c r="F650" s="1">
        <f ca="1">IFERROR(__xludf.DUMMYFUNCTION("""COMPUTED_VALUE"""),2008)</f>
        <v>2008</v>
      </c>
      <c r="G650" s="1">
        <f ca="1">IFERROR(__xludf.DUMMYFUNCTION("""COMPUTED_VALUE"""),4540)</f>
        <v>4540</v>
      </c>
      <c r="H650" s="1" t="str">
        <f ca="1">IFERROR(__xludf.DUMMYFUNCTION("""COMPUTED_VALUE"""),"MTLSZ004540A21")</f>
        <v>MTLSZ004540A21</v>
      </c>
      <c r="I650" s="2">
        <f ca="1">IFERROR(__xludf.DUMMYFUNCTION("""COMPUTED_VALUE"""),44456)</f>
        <v>44456</v>
      </c>
      <c r="J650" s="2">
        <f ca="1">IFERROR(__xludf.DUMMYFUNCTION("""COMPUTED_VALUE"""),44820)</f>
        <v>44820</v>
      </c>
    </row>
    <row r="651" spans="1:10" x14ac:dyDescent="0.25">
      <c r="A651" s="1" t="str">
        <f ca="1">IFERROR(__xludf.DUMMYFUNCTION("""COMPUTED_VALUE"""),"Zsámbéki SE")</f>
        <v>Zsámbéki SE</v>
      </c>
      <c r="B651" s="1" t="str">
        <f ca="1">IFERROR(__xludf.DUMMYFUNCTION("""COMPUTED_VALUE"""),"Kihári Anna")</f>
        <v>Kihári Anna</v>
      </c>
      <c r="C651" s="1"/>
      <c r="D651" s="1" t="str">
        <f ca="1">IFERROR(__xludf.DUMMYFUNCTION("""COMPUTED_VALUE"""),"Nő")</f>
        <v>Nő</v>
      </c>
      <c r="E651" s="1"/>
      <c r="F651" s="1">
        <f ca="1">IFERROR(__xludf.DUMMYFUNCTION("""COMPUTED_VALUE"""),2007)</f>
        <v>2007</v>
      </c>
      <c r="G651" s="1">
        <f ca="1">IFERROR(__xludf.DUMMYFUNCTION("""COMPUTED_VALUE"""),4544)</f>
        <v>4544</v>
      </c>
      <c r="H651" s="1" t="str">
        <f ca="1">IFERROR(__xludf.DUMMYFUNCTION("""COMPUTED_VALUE"""),"MTLSZ004544A21")</f>
        <v>MTLSZ004544A21</v>
      </c>
      <c r="I651" s="2">
        <f ca="1">IFERROR(__xludf.DUMMYFUNCTION("""COMPUTED_VALUE"""),44456)</f>
        <v>44456</v>
      </c>
      <c r="J651" s="2">
        <f ca="1">IFERROR(__xludf.DUMMYFUNCTION("""COMPUTED_VALUE"""),44820)</f>
        <v>44820</v>
      </c>
    </row>
    <row r="652" spans="1:10" x14ac:dyDescent="0.25">
      <c r="A652" s="1" t="str">
        <f ca="1">IFERROR(__xludf.DUMMYFUNCTION("""COMPUTED_VALUE"""),"Zsámbéki SE")</f>
        <v>Zsámbéki SE</v>
      </c>
      <c r="B652" s="1" t="str">
        <f ca="1">IFERROR(__xludf.DUMMYFUNCTION("""COMPUTED_VALUE"""),"Kihári Boglárka")</f>
        <v>Kihári Boglárka</v>
      </c>
      <c r="C652" s="1"/>
      <c r="D652" s="1" t="str">
        <f ca="1">IFERROR(__xludf.DUMMYFUNCTION("""COMPUTED_VALUE"""),"Nő")</f>
        <v>Nő</v>
      </c>
      <c r="E652" s="1"/>
      <c r="F652" s="1">
        <f ca="1">IFERROR(__xludf.DUMMYFUNCTION("""COMPUTED_VALUE"""),2010)</f>
        <v>2010</v>
      </c>
      <c r="G652" s="1">
        <f ca="1">IFERROR(__xludf.DUMMYFUNCTION("""COMPUTED_VALUE"""),4541)</f>
        <v>4541</v>
      </c>
      <c r="H652" s="1" t="str">
        <f ca="1">IFERROR(__xludf.DUMMYFUNCTION("""COMPUTED_VALUE"""),"MTLSZ004541A21")</f>
        <v>MTLSZ004541A21</v>
      </c>
      <c r="I652" s="2">
        <f ca="1">IFERROR(__xludf.DUMMYFUNCTION("""COMPUTED_VALUE"""),44456)</f>
        <v>44456</v>
      </c>
      <c r="J652" s="2">
        <f ca="1">IFERROR(__xludf.DUMMYFUNCTION("""COMPUTED_VALUE"""),44820)</f>
        <v>44820</v>
      </c>
    </row>
    <row r="653" spans="1:10" x14ac:dyDescent="0.25">
      <c r="A653" s="1" t="str">
        <f ca="1">IFERROR(__xludf.DUMMYFUNCTION("""COMPUTED_VALUE"""),"Zsámbéki SE")</f>
        <v>Zsámbéki SE</v>
      </c>
      <c r="B653" s="1" t="str">
        <f ca="1">IFERROR(__xludf.DUMMYFUNCTION("""COMPUTED_VALUE"""),"Szakács Krisztián")</f>
        <v>Szakács Krisztián</v>
      </c>
      <c r="C653" s="1"/>
      <c r="D653" s="1" t="str">
        <f ca="1">IFERROR(__xludf.DUMMYFUNCTION("""COMPUTED_VALUE"""),"Férfi")</f>
        <v>Férfi</v>
      </c>
      <c r="E653" s="1"/>
      <c r="F653" s="1">
        <f ca="1">IFERROR(__xludf.DUMMYFUNCTION("""COMPUTED_VALUE"""),2011)</f>
        <v>2011</v>
      </c>
      <c r="G653" s="1">
        <f ca="1">IFERROR(__xludf.DUMMYFUNCTION("""COMPUTED_VALUE"""),4546)</f>
        <v>4546</v>
      </c>
      <c r="H653" s="1" t="str">
        <f ca="1">IFERROR(__xludf.DUMMYFUNCTION("""COMPUTED_VALUE"""),"MTLSZ004546A21")</f>
        <v>MTLSZ004546A21</v>
      </c>
      <c r="I653" s="2">
        <f ca="1">IFERROR(__xludf.DUMMYFUNCTION("""COMPUTED_VALUE"""),44456)</f>
        <v>44456</v>
      </c>
      <c r="J653" s="2">
        <f ca="1">IFERROR(__xludf.DUMMYFUNCTION("""COMPUTED_VALUE"""),44820)</f>
        <v>44820</v>
      </c>
    </row>
    <row r="654" spans="1:10" x14ac:dyDescent="0.25">
      <c r="A654" s="1" t="str">
        <f ca="1">IFERROR(__xludf.DUMMYFUNCTION("""COMPUTED_VALUE"""),"Zsámbéki SE")</f>
        <v>Zsámbéki SE</v>
      </c>
      <c r="B654" s="1" t="str">
        <f ca="1">IFERROR(__xludf.DUMMYFUNCTION("""COMPUTED_VALUE"""),"Telkes Frigyes")</f>
        <v>Telkes Frigyes</v>
      </c>
      <c r="C654" s="1"/>
      <c r="D654" s="1" t="str">
        <f ca="1">IFERROR(__xludf.DUMMYFUNCTION("""COMPUTED_VALUE"""),"Férfi")</f>
        <v>Férfi</v>
      </c>
      <c r="E654" s="1"/>
      <c r="F654" s="1">
        <f ca="1">IFERROR(__xludf.DUMMYFUNCTION("""COMPUTED_VALUE"""),2010)</f>
        <v>2010</v>
      </c>
      <c r="G654" s="1">
        <f ca="1">IFERROR(__xludf.DUMMYFUNCTION("""COMPUTED_VALUE"""),4542)</f>
        <v>4542</v>
      </c>
      <c r="H654" s="1" t="str">
        <f ca="1">IFERROR(__xludf.DUMMYFUNCTION("""COMPUTED_VALUE"""),"MTLSZ004542A21")</f>
        <v>MTLSZ004542A21</v>
      </c>
      <c r="I654" s="2">
        <f ca="1">IFERROR(__xludf.DUMMYFUNCTION("""COMPUTED_VALUE"""),44456)</f>
        <v>44456</v>
      </c>
      <c r="J654" s="2">
        <f ca="1">IFERROR(__xludf.DUMMYFUNCTION("""COMPUTED_VALUE"""),44820)</f>
        <v>44820</v>
      </c>
    </row>
    <row r="655" spans="1:10" x14ac:dyDescent="0.25">
      <c r="A655" s="1" t="str">
        <f ca="1">IFERROR(__xludf.DUMMYFUNCTION("""COMPUTED_VALUE"""),"Zsámbéki SE")</f>
        <v>Zsámbéki SE</v>
      </c>
      <c r="B655" s="1" t="str">
        <f ca="1">IFERROR(__xludf.DUMMYFUNCTION("""COMPUTED_VALUE"""),"Víg Karolina Anna")</f>
        <v>Víg Karolina Anna</v>
      </c>
      <c r="C655" s="1"/>
      <c r="D655" s="1" t="str">
        <f ca="1">IFERROR(__xludf.DUMMYFUNCTION("""COMPUTED_VALUE"""),"Nő")</f>
        <v>Nő</v>
      </c>
      <c r="E655" s="1"/>
      <c r="F655" s="1">
        <f ca="1">IFERROR(__xludf.DUMMYFUNCTION("""COMPUTED_VALUE"""),2007)</f>
        <v>2007</v>
      </c>
      <c r="G655" s="1">
        <f ca="1">IFERROR(__xludf.DUMMYFUNCTION("""COMPUTED_VALUE"""),4543)</f>
        <v>4543</v>
      </c>
      <c r="H655" s="1" t="str">
        <f ca="1">IFERROR(__xludf.DUMMYFUNCTION("""COMPUTED_VALUE"""),"MTLSZ004543A21")</f>
        <v>MTLSZ004543A21</v>
      </c>
      <c r="I655" s="2">
        <f ca="1">IFERROR(__xludf.DUMMYFUNCTION("""COMPUTED_VALUE"""),44456)</f>
        <v>44456</v>
      </c>
      <c r="J655" s="2">
        <f ca="1">IFERROR(__xludf.DUMMYFUNCTION("""COMPUTED_VALUE"""),44820)</f>
        <v>44820</v>
      </c>
    </row>
    <row r="656" spans="1:10" x14ac:dyDescent="0.25">
      <c r="A656" s="1" t="str">
        <f ca="1">IFERROR(__xludf.DUMMYFUNCTION("""COMPUTED_VALUE"""),"FBSE")</f>
        <v>FBSE</v>
      </c>
      <c r="B656" s="1" t="str">
        <f ca="1">IFERROR(__xludf.DUMMYFUNCTION("""COMPUTED_VALUE"""),"Dubicz Máté")</f>
        <v>Dubicz Máté</v>
      </c>
      <c r="C656" s="1"/>
      <c r="D656" s="1" t="str">
        <f ca="1">IFERROR(__xludf.DUMMYFUNCTION("""COMPUTED_VALUE"""),"Férfi")</f>
        <v>Férfi</v>
      </c>
      <c r="E656" s="1"/>
      <c r="F656" s="1">
        <f ca="1">IFERROR(__xludf.DUMMYFUNCTION("""COMPUTED_VALUE"""),1987)</f>
        <v>1987</v>
      </c>
      <c r="G656" s="1">
        <f ca="1">IFERROR(__xludf.DUMMYFUNCTION("""COMPUTED_VALUE"""),200)</f>
        <v>200</v>
      </c>
      <c r="H656" s="1" t="str">
        <f ca="1">IFERROR(__xludf.DUMMYFUNCTION("""COMPUTED_VALUE"""),"MTLSZ000200A21")</f>
        <v>MTLSZ000200A21</v>
      </c>
      <c r="I656" s="2">
        <f ca="1">IFERROR(__xludf.DUMMYFUNCTION("""COMPUTED_VALUE"""),44455)</f>
        <v>44455</v>
      </c>
      <c r="J656" s="2">
        <f ca="1">IFERROR(__xludf.DUMMYFUNCTION("""COMPUTED_VALUE"""),44819)</f>
        <v>44819</v>
      </c>
    </row>
    <row r="657" spans="1:10" x14ac:dyDescent="0.25">
      <c r="A657" s="1" t="str">
        <f ca="1">IFERROR(__xludf.DUMMYFUNCTION("""COMPUTED_VALUE"""),"FBSE")</f>
        <v>FBSE</v>
      </c>
      <c r="B657" s="1" t="str">
        <f ca="1">IFERROR(__xludf.DUMMYFUNCTION("""COMPUTED_VALUE"""),"Hircze Nóra")</f>
        <v>Hircze Nóra</v>
      </c>
      <c r="C657" s="1"/>
      <c r="D657" s="1" t="str">
        <f ca="1">IFERROR(__xludf.DUMMYFUNCTION("""COMPUTED_VALUE"""),"Nő")</f>
        <v>Nő</v>
      </c>
      <c r="E657" s="1"/>
      <c r="F657" s="1">
        <f ca="1">IFERROR(__xludf.DUMMYFUNCTION("""COMPUTED_VALUE"""),1999)</f>
        <v>1999</v>
      </c>
      <c r="G657" s="1">
        <f ca="1">IFERROR(__xludf.DUMMYFUNCTION("""COMPUTED_VALUE"""),1942)</f>
        <v>1942</v>
      </c>
      <c r="H657" s="1" t="str">
        <f ca="1">IFERROR(__xludf.DUMMYFUNCTION("""COMPUTED_VALUE"""),"MTLSZ001942A21")</f>
        <v>MTLSZ001942A21</v>
      </c>
      <c r="I657" s="2">
        <f ca="1">IFERROR(__xludf.DUMMYFUNCTION("""COMPUTED_VALUE"""),44455)</f>
        <v>44455</v>
      </c>
      <c r="J657" s="2">
        <f ca="1">IFERROR(__xludf.DUMMYFUNCTION("""COMPUTED_VALUE"""),44819)</f>
        <v>44819</v>
      </c>
    </row>
    <row r="658" spans="1:10" x14ac:dyDescent="0.25">
      <c r="A658" s="1" t="str">
        <f ca="1">IFERROR(__xludf.DUMMYFUNCTION("""COMPUTED_VALUE"""),"FBSE")</f>
        <v>FBSE</v>
      </c>
      <c r="B658" s="1" t="str">
        <f ca="1">IFERROR(__xludf.DUMMYFUNCTION("""COMPUTED_VALUE"""),"Kömives Dóra")</f>
        <v>Kömives Dóra</v>
      </c>
      <c r="C658" s="1"/>
      <c r="D658" s="1" t="str">
        <f ca="1">IFERROR(__xludf.DUMMYFUNCTION("""COMPUTED_VALUE"""),"Nő")</f>
        <v>Nő</v>
      </c>
      <c r="E658" s="1"/>
      <c r="F658" s="1">
        <f ca="1">IFERROR(__xludf.DUMMYFUNCTION("""COMPUTED_VALUE"""),1997)</f>
        <v>1997</v>
      </c>
      <c r="G658" s="1">
        <f ca="1">IFERROR(__xludf.DUMMYFUNCTION("""COMPUTED_VALUE"""),1859)</f>
        <v>1859</v>
      </c>
      <c r="H658" s="1" t="str">
        <f ca="1">IFERROR(__xludf.DUMMYFUNCTION("""COMPUTED_VALUE"""),"MTLSZ001859A21")</f>
        <v>MTLSZ001859A21</v>
      </c>
      <c r="I658" s="2">
        <f ca="1">IFERROR(__xludf.DUMMYFUNCTION("""COMPUTED_VALUE"""),44455)</f>
        <v>44455</v>
      </c>
      <c r="J658" s="2">
        <f ca="1">IFERROR(__xludf.DUMMYFUNCTION("""COMPUTED_VALUE"""),44819)</f>
        <v>44819</v>
      </c>
    </row>
    <row r="659" spans="1:10" x14ac:dyDescent="0.25">
      <c r="A659" s="1" t="str">
        <f ca="1">IFERROR(__xludf.DUMMYFUNCTION("""COMPUTED_VALUE"""),"FBSE")</f>
        <v>FBSE</v>
      </c>
      <c r="B659" s="1" t="str">
        <f ca="1">IFERROR(__xludf.DUMMYFUNCTION("""COMPUTED_VALUE"""),"Letsch Péter")</f>
        <v>Letsch Péter</v>
      </c>
      <c r="C659" s="1"/>
      <c r="D659" s="1" t="str">
        <f ca="1">IFERROR(__xludf.DUMMYFUNCTION("""COMPUTED_VALUE"""),"Férfi")</f>
        <v>Férfi</v>
      </c>
      <c r="E659" s="1"/>
      <c r="F659" s="1">
        <f ca="1">IFERROR(__xludf.DUMMYFUNCTION("""COMPUTED_VALUE"""),1993)</f>
        <v>1993</v>
      </c>
      <c r="G659" s="1">
        <f ca="1">IFERROR(__xludf.DUMMYFUNCTION("""COMPUTED_VALUE"""),1413)</f>
        <v>1413</v>
      </c>
      <c r="H659" s="1" t="str">
        <f ca="1">IFERROR(__xludf.DUMMYFUNCTION("""COMPUTED_VALUE"""),"MTLSZ001413A21")</f>
        <v>MTLSZ001413A21</v>
      </c>
      <c r="I659" s="2">
        <f ca="1">IFERROR(__xludf.DUMMYFUNCTION("""COMPUTED_VALUE"""),44455)</f>
        <v>44455</v>
      </c>
      <c r="J659" s="2">
        <f ca="1">IFERROR(__xludf.DUMMYFUNCTION("""COMPUTED_VALUE"""),44819)</f>
        <v>44819</v>
      </c>
    </row>
    <row r="660" spans="1:10" x14ac:dyDescent="0.25">
      <c r="A660" s="1" t="str">
        <f ca="1">IFERROR(__xludf.DUMMYFUNCTION("""COMPUTED_VALUE"""),"FBSE")</f>
        <v>FBSE</v>
      </c>
      <c r="B660" s="1" t="str">
        <f ca="1">IFERROR(__xludf.DUMMYFUNCTION("""COMPUTED_VALUE"""),"Mórocz Ákos")</f>
        <v>Mórocz Ákos</v>
      </c>
      <c r="C660" s="1"/>
      <c r="D660" s="1" t="str">
        <f ca="1">IFERROR(__xludf.DUMMYFUNCTION("""COMPUTED_VALUE"""),"Férfi")</f>
        <v>Férfi</v>
      </c>
      <c r="E660" s="1"/>
      <c r="F660" s="1">
        <f ca="1">IFERROR(__xludf.DUMMYFUNCTION("""COMPUTED_VALUE"""),1998)</f>
        <v>1998</v>
      </c>
      <c r="G660" s="1">
        <f ca="1">IFERROR(__xludf.DUMMYFUNCTION("""COMPUTED_VALUE"""),1947)</f>
        <v>1947</v>
      </c>
      <c r="H660" s="1" t="str">
        <f ca="1">IFERROR(__xludf.DUMMYFUNCTION("""COMPUTED_VALUE"""),"MTLSZ001947A21")</f>
        <v>MTLSZ001947A21</v>
      </c>
      <c r="I660" s="2">
        <f ca="1">IFERROR(__xludf.DUMMYFUNCTION("""COMPUTED_VALUE"""),44455)</f>
        <v>44455</v>
      </c>
      <c r="J660" s="2">
        <f ca="1">IFERROR(__xludf.DUMMYFUNCTION("""COMPUTED_VALUE"""),44819)</f>
        <v>44819</v>
      </c>
    </row>
    <row r="661" spans="1:10" x14ac:dyDescent="0.25">
      <c r="A661" s="1" t="str">
        <f ca="1">IFERROR(__xludf.DUMMYFUNCTION("""COMPUTED_VALUE"""),"FBSE")</f>
        <v>FBSE</v>
      </c>
      <c r="B661" s="1" t="str">
        <f ca="1">IFERROR(__xludf.DUMMYFUNCTION("""COMPUTED_VALUE"""),"Nagy-Szabó Levente")</f>
        <v>Nagy-Szabó Levente</v>
      </c>
      <c r="C661" s="1"/>
      <c r="D661" s="1" t="str">
        <f ca="1">IFERROR(__xludf.DUMMYFUNCTION("""COMPUTED_VALUE"""),"Férfi")</f>
        <v>Férfi</v>
      </c>
      <c r="E661" s="1"/>
      <c r="F661" s="1">
        <f ca="1">IFERROR(__xludf.DUMMYFUNCTION("""COMPUTED_VALUE"""),1986)</f>
        <v>1986</v>
      </c>
      <c r="G661" s="1">
        <f ca="1">IFERROR(__xludf.DUMMYFUNCTION("""COMPUTED_VALUE"""),702)</f>
        <v>702</v>
      </c>
      <c r="H661" s="1" t="str">
        <f ca="1">IFERROR(__xludf.DUMMYFUNCTION("""COMPUTED_VALUE"""),"MTLSZ000702A21")</f>
        <v>MTLSZ000702A21</v>
      </c>
      <c r="I661" s="2">
        <f ca="1">IFERROR(__xludf.DUMMYFUNCTION("""COMPUTED_VALUE"""),44455)</f>
        <v>44455</v>
      </c>
      <c r="J661" s="2">
        <f ca="1">IFERROR(__xludf.DUMMYFUNCTION("""COMPUTED_VALUE"""),44819)</f>
        <v>44819</v>
      </c>
    </row>
    <row r="662" spans="1:10" x14ac:dyDescent="0.25">
      <c r="A662" s="1" t="str">
        <f ca="1">IFERROR(__xludf.DUMMYFUNCTION("""COMPUTED_VALUE"""),"FBSE")</f>
        <v>FBSE</v>
      </c>
      <c r="B662" s="1" t="str">
        <f ca="1">IFERROR(__xludf.DUMMYFUNCTION("""COMPUTED_VALUE"""),"Németh András")</f>
        <v>Németh András</v>
      </c>
      <c r="C662" s="1"/>
      <c r="D662" s="1" t="str">
        <f ca="1">IFERROR(__xludf.DUMMYFUNCTION("""COMPUTED_VALUE"""),"Férfi")</f>
        <v>Férfi</v>
      </c>
      <c r="E662" s="1"/>
      <c r="F662" s="1">
        <f ca="1">IFERROR(__xludf.DUMMYFUNCTION("""COMPUTED_VALUE"""),1991)</f>
        <v>1991</v>
      </c>
      <c r="G662" s="1">
        <f ca="1">IFERROR(__xludf.DUMMYFUNCTION("""COMPUTED_VALUE"""),1174)</f>
        <v>1174</v>
      </c>
      <c r="H662" s="1" t="str">
        <f ca="1">IFERROR(__xludf.DUMMYFUNCTION("""COMPUTED_VALUE"""),"MTLSZ001174A21")</f>
        <v>MTLSZ001174A21</v>
      </c>
      <c r="I662" s="2">
        <f ca="1">IFERROR(__xludf.DUMMYFUNCTION("""COMPUTED_VALUE"""),44455)</f>
        <v>44455</v>
      </c>
      <c r="J662" s="2">
        <f ca="1">IFERROR(__xludf.DUMMYFUNCTION("""COMPUTED_VALUE"""),44819)</f>
        <v>44819</v>
      </c>
    </row>
    <row r="663" spans="1:10" x14ac:dyDescent="0.25">
      <c r="A663" s="1" t="str">
        <f ca="1">IFERROR(__xludf.DUMMYFUNCTION("""COMPUTED_VALUE"""),"FBSE")</f>
        <v>FBSE</v>
      </c>
      <c r="B663" s="1" t="str">
        <f ca="1">IFERROR(__xludf.DUMMYFUNCTION("""COMPUTED_VALUE"""),"Simon Alíz")</f>
        <v>Simon Alíz</v>
      </c>
      <c r="C663" s="1"/>
      <c r="D663" s="1" t="str">
        <f ca="1">IFERROR(__xludf.DUMMYFUNCTION("""COMPUTED_VALUE"""),"Nő")</f>
        <v>Nő</v>
      </c>
      <c r="E663" s="1"/>
      <c r="F663" s="1">
        <f ca="1">IFERROR(__xludf.DUMMYFUNCTION("""COMPUTED_VALUE"""),2005)</f>
        <v>2005</v>
      </c>
      <c r="G663" s="1">
        <f ca="1">IFERROR(__xludf.DUMMYFUNCTION("""COMPUTED_VALUE"""),2968)</f>
        <v>2968</v>
      </c>
      <c r="H663" s="1" t="str">
        <f ca="1">IFERROR(__xludf.DUMMYFUNCTION("""COMPUTED_VALUE"""),"MTLSZ002968A21")</f>
        <v>MTLSZ002968A21</v>
      </c>
      <c r="I663" s="2">
        <f ca="1">IFERROR(__xludf.DUMMYFUNCTION("""COMPUTED_VALUE"""),44455)</f>
        <v>44455</v>
      </c>
      <c r="J663" s="2">
        <f ca="1">IFERROR(__xludf.DUMMYFUNCTION("""COMPUTED_VALUE"""),44819)</f>
        <v>44819</v>
      </c>
    </row>
    <row r="664" spans="1:10" x14ac:dyDescent="0.25">
      <c r="A664" s="1" t="str">
        <f ca="1">IFERROR(__xludf.DUMMYFUNCTION("""COMPUTED_VALUE"""),"FBSE")</f>
        <v>FBSE</v>
      </c>
      <c r="B664" s="1" t="str">
        <f ca="1">IFERROR(__xludf.DUMMYFUNCTION("""COMPUTED_VALUE"""),"Szkok Bence")</f>
        <v>Szkok Bence</v>
      </c>
      <c r="C664" s="1"/>
      <c r="D664" s="1" t="str">
        <f ca="1">IFERROR(__xludf.DUMMYFUNCTION("""COMPUTED_VALUE"""),"Férfi")</f>
        <v>Férfi</v>
      </c>
      <c r="E664" s="1"/>
      <c r="F664" s="1">
        <f ca="1">IFERROR(__xludf.DUMMYFUNCTION("""COMPUTED_VALUE"""),2004)</f>
        <v>2004</v>
      </c>
      <c r="G664" s="1">
        <f ca="1">IFERROR(__xludf.DUMMYFUNCTION("""COMPUTED_VALUE"""),3086)</f>
        <v>3086</v>
      </c>
      <c r="H664" s="1" t="str">
        <f ca="1">IFERROR(__xludf.DUMMYFUNCTION("""COMPUTED_VALUE"""),"MTLSZ003086A21")</f>
        <v>MTLSZ003086A21</v>
      </c>
      <c r="I664" s="2">
        <f ca="1">IFERROR(__xludf.DUMMYFUNCTION("""COMPUTED_VALUE"""),44455)</f>
        <v>44455</v>
      </c>
      <c r="J664" s="2">
        <f ca="1">IFERROR(__xludf.DUMMYFUNCTION("""COMPUTED_VALUE"""),44819)</f>
        <v>44819</v>
      </c>
    </row>
    <row r="665" spans="1:10" x14ac:dyDescent="0.25">
      <c r="A665" s="1" t="str">
        <f ca="1">IFERROR(__xludf.DUMMYFUNCTION("""COMPUTED_VALUE"""),"FBSE")</f>
        <v>FBSE</v>
      </c>
      <c r="B665" s="1" t="str">
        <f ca="1">IFERROR(__xludf.DUMMYFUNCTION("""COMPUTED_VALUE"""),"Szkok Tünde")</f>
        <v>Szkok Tünde</v>
      </c>
      <c r="C665" s="1"/>
      <c r="D665" s="1" t="str">
        <f ca="1">IFERROR(__xludf.DUMMYFUNCTION("""COMPUTED_VALUE"""),"Nő")</f>
        <v>Nő</v>
      </c>
      <c r="E665" s="1"/>
      <c r="F665" s="1">
        <f ca="1">IFERROR(__xludf.DUMMYFUNCTION("""COMPUTED_VALUE"""),2010)</f>
        <v>2010</v>
      </c>
      <c r="G665" s="1">
        <f ca="1">IFERROR(__xludf.DUMMYFUNCTION("""COMPUTED_VALUE"""),4230)</f>
        <v>4230</v>
      </c>
      <c r="H665" s="1" t="str">
        <f ca="1">IFERROR(__xludf.DUMMYFUNCTION("""COMPUTED_VALUE"""),"MTLSZ004230A21")</f>
        <v>MTLSZ004230A21</v>
      </c>
      <c r="I665" s="2">
        <f ca="1">IFERROR(__xludf.DUMMYFUNCTION("""COMPUTED_VALUE"""),44455)</f>
        <v>44455</v>
      </c>
      <c r="J665" s="2">
        <f ca="1">IFERROR(__xludf.DUMMYFUNCTION("""COMPUTED_VALUE"""),44819)</f>
        <v>44819</v>
      </c>
    </row>
    <row r="666" spans="1:10" x14ac:dyDescent="0.25">
      <c r="A666" s="1" t="str">
        <f ca="1">IFERROR(__xludf.DUMMYFUNCTION("""COMPUTED_VALUE"""),"FBSE")</f>
        <v>FBSE</v>
      </c>
      <c r="B666" s="1" t="str">
        <f ca="1">IFERROR(__xludf.DUMMYFUNCTION("""COMPUTED_VALUE"""),"Tárkány Szűcs Dóra")</f>
        <v>Tárkány Szűcs Dóra</v>
      </c>
      <c r="C666" s="1"/>
      <c r="D666" s="1" t="str">
        <f ca="1">IFERROR(__xludf.DUMMYFUNCTION("""COMPUTED_VALUE"""),"Nő")</f>
        <v>Nő</v>
      </c>
      <c r="E666" s="1"/>
      <c r="F666" s="1">
        <f ca="1">IFERROR(__xludf.DUMMYFUNCTION("""COMPUTED_VALUE"""),2002)</f>
        <v>2002</v>
      </c>
      <c r="G666" s="1">
        <f ca="1">IFERROR(__xludf.DUMMYFUNCTION("""COMPUTED_VALUE"""),2509)</f>
        <v>2509</v>
      </c>
      <c r="H666" s="1" t="str">
        <f ca="1">IFERROR(__xludf.DUMMYFUNCTION("""COMPUTED_VALUE"""),"MTLSZ002509A21")</f>
        <v>MTLSZ002509A21</v>
      </c>
      <c r="I666" s="2">
        <f ca="1">IFERROR(__xludf.DUMMYFUNCTION("""COMPUTED_VALUE"""),44455)</f>
        <v>44455</v>
      </c>
      <c r="J666" s="2">
        <f ca="1">IFERROR(__xludf.DUMMYFUNCTION("""COMPUTED_VALUE"""),44819)</f>
        <v>44819</v>
      </c>
    </row>
    <row r="667" spans="1:10" x14ac:dyDescent="0.25">
      <c r="A667" s="1" t="str">
        <f ca="1">IFERROR(__xludf.DUMMYFUNCTION("""COMPUTED_VALUE"""),"FBSE")</f>
        <v>FBSE</v>
      </c>
      <c r="B667" s="1" t="str">
        <f ca="1">IFERROR(__xludf.DUMMYFUNCTION("""COMPUTED_VALUE"""),"Tóth Soma Zsombor")</f>
        <v>Tóth Soma Zsombor</v>
      </c>
      <c r="C667" s="1"/>
      <c r="D667" s="1" t="str">
        <f ca="1">IFERROR(__xludf.DUMMYFUNCTION("""COMPUTED_VALUE"""),"Férfi")</f>
        <v>Férfi</v>
      </c>
      <c r="E667" s="1"/>
      <c r="F667" s="1">
        <f ca="1">IFERROR(__xludf.DUMMYFUNCTION("""COMPUTED_VALUE"""),2001)</f>
        <v>2001</v>
      </c>
      <c r="G667" s="1">
        <f ca="1">IFERROR(__xludf.DUMMYFUNCTION("""COMPUTED_VALUE"""),2623)</f>
        <v>2623</v>
      </c>
      <c r="H667" s="1" t="str">
        <f ca="1">IFERROR(__xludf.DUMMYFUNCTION("""COMPUTED_VALUE"""),"MTLSZ002623A21")</f>
        <v>MTLSZ002623A21</v>
      </c>
      <c r="I667" s="2">
        <f ca="1">IFERROR(__xludf.DUMMYFUNCTION("""COMPUTED_VALUE"""),44455)</f>
        <v>44455</v>
      </c>
      <c r="J667" s="2">
        <f ca="1">IFERROR(__xludf.DUMMYFUNCTION("""COMPUTED_VALUE"""),44819)</f>
        <v>44819</v>
      </c>
    </row>
    <row r="668" spans="1:10" x14ac:dyDescent="0.25">
      <c r="A668" s="1" t="str">
        <f ca="1">IFERROR(__xludf.DUMMYFUNCTION("""COMPUTED_VALUE"""),"FBSE")</f>
        <v>FBSE</v>
      </c>
      <c r="B668" s="1" t="str">
        <f ca="1">IFERROR(__xludf.DUMMYFUNCTION("""COMPUTED_VALUE"""),"Turzó Balázs")</f>
        <v>Turzó Balázs</v>
      </c>
      <c r="C668" s="1"/>
      <c r="D668" s="1" t="str">
        <f ca="1">IFERROR(__xludf.DUMMYFUNCTION("""COMPUTED_VALUE"""),"Férfi")</f>
        <v>Férfi</v>
      </c>
      <c r="E668" s="1"/>
      <c r="F668" s="1">
        <f ca="1">IFERROR(__xludf.DUMMYFUNCTION("""COMPUTED_VALUE"""),1984)</f>
        <v>1984</v>
      </c>
      <c r="G668" s="1">
        <f ca="1">IFERROR(__xludf.DUMMYFUNCTION("""COMPUTED_VALUE"""),1222)</f>
        <v>1222</v>
      </c>
      <c r="H668" s="1" t="str">
        <f ca="1">IFERROR(__xludf.DUMMYFUNCTION("""COMPUTED_VALUE"""),"MTLSZ001222A21")</f>
        <v>MTLSZ001222A21</v>
      </c>
      <c r="I668" s="2">
        <f ca="1">IFERROR(__xludf.DUMMYFUNCTION("""COMPUTED_VALUE"""),44455)</f>
        <v>44455</v>
      </c>
      <c r="J668" s="2">
        <f ca="1">IFERROR(__xludf.DUMMYFUNCTION("""COMPUTED_VALUE"""),44819)</f>
        <v>44819</v>
      </c>
    </row>
    <row r="669" spans="1:10" x14ac:dyDescent="0.25">
      <c r="A669" s="1" t="str">
        <f ca="1">IFERROR(__xludf.DUMMYFUNCTION("""COMPUTED_VALUE"""),"T(r)ollas SE")</f>
        <v>T(r)ollas SE</v>
      </c>
      <c r="B669" s="1" t="str">
        <f ca="1">IFERROR(__xludf.DUMMYFUNCTION("""COMPUTED_VALUE"""),"Czibere Béla")</f>
        <v>Czibere Béla</v>
      </c>
      <c r="C669" s="1"/>
      <c r="D669" s="1" t="str">
        <f ca="1">IFERROR(__xludf.DUMMYFUNCTION("""COMPUTED_VALUE"""),"Férfi")</f>
        <v>Férfi</v>
      </c>
      <c r="E669" s="1"/>
      <c r="F669" s="1">
        <f ca="1">IFERROR(__xludf.DUMMYFUNCTION("""COMPUTED_VALUE"""),1983)</f>
        <v>1983</v>
      </c>
      <c r="G669" s="1">
        <f ca="1">IFERROR(__xludf.DUMMYFUNCTION("""COMPUTED_VALUE"""),3214)</f>
        <v>3214</v>
      </c>
      <c r="H669" s="1" t="str">
        <f ca="1">IFERROR(__xludf.DUMMYFUNCTION("""COMPUTED_VALUE"""),"MTLSZ003214A21")</f>
        <v>MTLSZ003214A21</v>
      </c>
      <c r="I669" s="2">
        <f ca="1">IFERROR(__xludf.DUMMYFUNCTION("""COMPUTED_VALUE"""),44455)</f>
        <v>44455</v>
      </c>
      <c r="J669" s="2">
        <f ca="1">IFERROR(__xludf.DUMMYFUNCTION("""COMPUTED_VALUE"""),44819)</f>
        <v>44819</v>
      </c>
    </row>
    <row r="670" spans="1:10" x14ac:dyDescent="0.25">
      <c r="A670" s="1" t="str">
        <f ca="1">IFERROR(__xludf.DUMMYFUNCTION("""COMPUTED_VALUE"""),"T(r)ollas SE")</f>
        <v>T(r)ollas SE</v>
      </c>
      <c r="B670" s="1" t="str">
        <f ca="1">IFERROR(__xludf.DUMMYFUNCTION("""COMPUTED_VALUE"""),"Farkas László")</f>
        <v>Farkas László</v>
      </c>
      <c r="C670" s="1"/>
      <c r="D670" s="1" t="str">
        <f ca="1">IFERROR(__xludf.DUMMYFUNCTION("""COMPUTED_VALUE"""),"Férfi")</f>
        <v>Férfi</v>
      </c>
      <c r="E670" s="1"/>
      <c r="F670" s="1">
        <f ca="1">IFERROR(__xludf.DUMMYFUNCTION("""COMPUTED_VALUE"""),1976)</f>
        <v>1976</v>
      </c>
      <c r="G670" s="1">
        <f ca="1">IFERROR(__xludf.DUMMYFUNCTION("""COMPUTED_VALUE"""),2758)</f>
        <v>2758</v>
      </c>
      <c r="H670" s="1" t="str">
        <f ca="1">IFERROR(__xludf.DUMMYFUNCTION("""COMPUTED_VALUE"""),"MTLSZ002758A21")</f>
        <v>MTLSZ002758A21</v>
      </c>
      <c r="I670" s="2">
        <f ca="1">IFERROR(__xludf.DUMMYFUNCTION("""COMPUTED_VALUE"""),44455)</f>
        <v>44455</v>
      </c>
      <c r="J670" s="2">
        <f ca="1">IFERROR(__xludf.DUMMYFUNCTION("""COMPUTED_VALUE"""),44819)</f>
        <v>44819</v>
      </c>
    </row>
    <row r="671" spans="1:10" x14ac:dyDescent="0.25">
      <c r="A671" s="1" t="str">
        <f ca="1">IFERROR(__xludf.DUMMYFUNCTION("""COMPUTED_VALUE"""),"T(r)ollas SE")</f>
        <v>T(r)ollas SE</v>
      </c>
      <c r="B671" s="1" t="str">
        <f ca="1">IFERROR(__xludf.DUMMYFUNCTION("""COMPUTED_VALUE"""),"Farkasné Által Melinda")</f>
        <v>Farkasné Által Melinda</v>
      </c>
      <c r="C671" s="1"/>
      <c r="D671" s="1" t="str">
        <f ca="1">IFERROR(__xludf.DUMMYFUNCTION("""COMPUTED_VALUE"""),"Nő")</f>
        <v>Nő</v>
      </c>
      <c r="E671" s="1"/>
      <c r="F671" s="1">
        <f ca="1">IFERROR(__xludf.DUMMYFUNCTION("""COMPUTED_VALUE"""),1977)</f>
        <v>1977</v>
      </c>
      <c r="G671" s="1">
        <f ca="1">IFERROR(__xludf.DUMMYFUNCTION("""COMPUTED_VALUE"""),3057)</f>
        <v>3057</v>
      </c>
      <c r="H671" s="1" t="str">
        <f ca="1">IFERROR(__xludf.DUMMYFUNCTION("""COMPUTED_VALUE"""),"MTLSZ003057A21")</f>
        <v>MTLSZ003057A21</v>
      </c>
      <c r="I671" s="2">
        <f ca="1">IFERROR(__xludf.DUMMYFUNCTION("""COMPUTED_VALUE"""),44455)</f>
        <v>44455</v>
      </c>
      <c r="J671" s="2">
        <f ca="1">IFERROR(__xludf.DUMMYFUNCTION("""COMPUTED_VALUE"""),44819)</f>
        <v>44819</v>
      </c>
    </row>
    <row r="672" spans="1:10" x14ac:dyDescent="0.25">
      <c r="A672" s="1" t="str">
        <f ca="1">IFERROR(__xludf.DUMMYFUNCTION("""COMPUTED_VALUE"""),"T(r)ollas SE")</f>
        <v>T(r)ollas SE</v>
      </c>
      <c r="B672" s="1" t="str">
        <f ca="1">IFERROR(__xludf.DUMMYFUNCTION("""COMPUTED_VALUE"""),"Fejes Imre")</f>
        <v>Fejes Imre</v>
      </c>
      <c r="C672" s="1"/>
      <c r="D672" s="1" t="str">
        <f ca="1">IFERROR(__xludf.DUMMYFUNCTION("""COMPUTED_VALUE"""),"Férfi")</f>
        <v>Férfi</v>
      </c>
      <c r="E672" s="1"/>
      <c r="F672" s="1">
        <f ca="1">IFERROR(__xludf.DUMMYFUNCTION("""COMPUTED_VALUE"""),1975)</f>
        <v>1975</v>
      </c>
      <c r="G672" s="1">
        <f ca="1">IFERROR(__xludf.DUMMYFUNCTION("""COMPUTED_VALUE"""),244)</f>
        <v>244</v>
      </c>
      <c r="H672" s="1" t="str">
        <f ca="1">IFERROR(__xludf.DUMMYFUNCTION("""COMPUTED_VALUE"""),"MTLSZ000244A21")</f>
        <v>MTLSZ000244A21</v>
      </c>
      <c r="I672" s="2">
        <f ca="1">IFERROR(__xludf.DUMMYFUNCTION("""COMPUTED_VALUE"""),44455)</f>
        <v>44455</v>
      </c>
      <c r="J672" s="2">
        <f ca="1">IFERROR(__xludf.DUMMYFUNCTION("""COMPUTED_VALUE"""),44819)</f>
        <v>44819</v>
      </c>
    </row>
    <row r="673" spans="1:10" x14ac:dyDescent="0.25">
      <c r="A673" s="1" t="str">
        <f ca="1">IFERROR(__xludf.DUMMYFUNCTION("""COMPUTED_VALUE"""),"T(r)ollas SE")</f>
        <v>T(r)ollas SE</v>
      </c>
      <c r="B673" s="1" t="str">
        <f ca="1">IFERROR(__xludf.DUMMYFUNCTION("""COMPUTED_VALUE"""),"Gazdag Ferenc ifj.")</f>
        <v>Gazdag Ferenc ifj.</v>
      </c>
      <c r="C673" s="1"/>
      <c r="D673" s="1" t="str">
        <f ca="1">IFERROR(__xludf.DUMMYFUNCTION("""COMPUTED_VALUE"""),"Férfi")</f>
        <v>Férfi</v>
      </c>
      <c r="E673" s="1"/>
      <c r="F673" s="1">
        <f ca="1">IFERROR(__xludf.DUMMYFUNCTION("""COMPUTED_VALUE"""),2005)</f>
        <v>2005</v>
      </c>
      <c r="G673" s="1">
        <f ca="1">IFERROR(__xludf.DUMMYFUNCTION("""COMPUTED_VALUE"""),3104)</f>
        <v>3104</v>
      </c>
      <c r="H673" s="1" t="str">
        <f ca="1">IFERROR(__xludf.DUMMYFUNCTION("""COMPUTED_VALUE"""),"MTLSZ003104A21")</f>
        <v>MTLSZ003104A21</v>
      </c>
      <c r="I673" s="2">
        <f ca="1">IFERROR(__xludf.DUMMYFUNCTION("""COMPUTED_VALUE"""),44455)</f>
        <v>44455</v>
      </c>
      <c r="J673" s="2">
        <f ca="1">IFERROR(__xludf.DUMMYFUNCTION("""COMPUTED_VALUE"""),44819)</f>
        <v>44819</v>
      </c>
    </row>
    <row r="674" spans="1:10" x14ac:dyDescent="0.25">
      <c r="A674" s="1" t="str">
        <f ca="1">IFERROR(__xludf.DUMMYFUNCTION("""COMPUTED_VALUE"""),"T(r)ollas SE")</f>
        <v>T(r)ollas SE</v>
      </c>
      <c r="B674" s="1" t="str">
        <f ca="1">IFERROR(__xludf.DUMMYFUNCTION("""COMPUTED_VALUE"""),"Pintér Tibor")</f>
        <v>Pintér Tibor</v>
      </c>
      <c r="C674" s="1"/>
      <c r="D674" s="1" t="str">
        <f ca="1">IFERROR(__xludf.DUMMYFUNCTION("""COMPUTED_VALUE"""),"Férfi")</f>
        <v>Férfi</v>
      </c>
      <c r="E674" s="1"/>
      <c r="F674" s="1">
        <f ca="1">IFERROR(__xludf.DUMMYFUNCTION("""COMPUTED_VALUE"""),1977)</f>
        <v>1977</v>
      </c>
      <c r="G674" s="1">
        <f ca="1">IFERROR(__xludf.DUMMYFUNCTION("""COMPUTED_VALUE"""),3157)</f>
        <v>3157</v>
      </c>
      <c r="H674" s="1" t="str">
        <f ca="1">IFERROR(__xludf.DUMMYFUNCTION("""COMPUTED_VALUE"""),"MTLSZ003157A21")</f>
        <v>MTLSZ003157A21</v>
      </c>
      <c r="I674" s="2">
        <f ca="1">IFERROR(__xludf.DUMMYFUNCTION("""COMPUTED_VALUE"""),44455)</f>
        <v>44455</v>
      </c>
      <c r="J674" s="2">
        <f ca="1">IFERROR(__xludf.DUMMYFUNCTION("""COMPUTED_VALUE"""),44819)</f>
        <v>44819</v>
      </c>
    </row>
    <row r="675" spans="1:10" x14ac:dyDescent="0.25">
      <c r="A675" s="1" t="str">
        <f ca="1">IFERROR(__xludf.DUMMYFUNCTION("""COMPUTED_VALUE"""),"T(r)ollas SE")</f>
        <v>T(r)ollas SE</v>
      </c>
      <c r="B675" s="1" t="str">
        <f ca="1">IFERROR(__xludf.DUMMYFUNCTION("""COMPUTED_VALUE"""),"Seres Lehel Ottó")</f>
        <v>Seres Lehel Ottó</v>
      </c>
      <c r="C675" s="1"/>
      <c r="D675" s="1" t="str">
        <f ca="1">IFERROR(__xludf.DUMMYFUNCTION("""COMPUTED_VALUE"""),"Férfi")</f>
        <v>Férfi</v>
      </c>
      <c r="E675" s="1"/>
      <c r="F675" s="1">
        <f ca="1">IFERROR(__xludf.DUMMYFUNCTION("""COMPUTED_VALUE"""),1979)</f>
        <v>1979</v>
      </c>
      <c r="G675" s="1">
        <f ca="1">IFERROR(__xludf.DUMMYFUNCTION("""COMPUTED_VALUE"""),849)</f>
        <v>849</v>
      </c>
      <c r="H675" s="1" t="str">
        <f ca="1">IFERROR(__xludf.DUMMYFUNCTION("""COMPUTED_VALUE"""),"MTLSZ000849A21")</f>
        <v>MTLSZ000849A21</v>
      </c>
      <c r="I675" s="2">
        <f ca="1">IFERROR(__xludf.DUMMYFUNCTION("""COMPUTED_VALUE"""),44455)</f>
        <v>44455</v>
      </c>
      <c r="J675" s="2">
        <f ca="1">IFERROR(__xludf.DUMMYFUNCTION("""COMPUTED_VALUE"""),44819)</f>
        <v>44819</v>
      </c>
    </row>
    <row r="676" spans="1:10" x14ac:dyDescent="0.25">
      <c r="A676" s="1" t="str">
        <f ca="1">IFERROR(__xludf.DUMMYFUNCTION("""COMPUTED_VALUE"""),"T(r)ollas SE")</f>
        <v>T(r)ollas SE</v>
      </c>
      <c r="B676" s="1" t="str">
        <f ca="1">IFERROR(__xludf.DUMMYFUNCTION("""COMPUTED_VALUE"""),"Stéger Anett")</f>
        <v>Stéger Anett</v>
      </c>
      <c r="C676" s="1"/>
      <c r="D676" s="1" t="str">
        <f ca="1">IFERROR(__xludf.DUMMYFUNCTION("""COMPUTED_VALUE"""),"Nő")</f>
        <v>Nő</v>
      </c>
      <c r="E676" s="1"/>
      <c r="F676" s="1">
        <f ca="1">IFERROR(__xludf.DUMMYFUNCTION("""COMPUTED_VALUE"""),1984)</f>
        <v>1984</v>
      </c>
      <c r="G676" s="1">
        <f ca="1">IFERROR(__xludf.DUMMYFUNCTION("""COMPUTED_VALUE"""),3289)</f>
        <v>3289</v>
      </c>
      <c r="H676" s="1" t="str">
        <f ca="1">IFERROR(__xludf.DUMMYFUNCTION("""COMPUTED_VALUE"""),"MTLSZ003289A21")</f>
        <v>MTLSZ003289A21</v>
      </c>
      <c r="I676" s="2">
        <f ca="1">IFERROR(__xludf.DUMMYFUNCTION("""COMPUTED_VALUE"""),44455)</f>
        <v>44455</v>
      </c>
      <c r="J676" s="2">
        <f ca="1">IFERROR(__xludf.DUMMYFUNCTION("""COMPUTED_VALUE"""),44819)</f>
        <v>44819</v>
      </c>
    </row>
    <row r="677" spans="1:10" x14ac:dyDescent="0.25">
      <c r="A677" s="1" t="str">
        <f ca="1">IFERROR(__xludf.DUMMYFUNCTION("""COMPUTED_VALUE"""),"T(r)ollas SE")</f>
        <v>T(r)ollas SE</v>
      </c>
      <c r="B677" s="1" t="str">
        <f ca="1">IFERROR(__xludf.DUMMYFUNCTION("""COMPUTED_VALUE"""),"Stéger Anikó")</f>
        <v>Stéger Anikó</v>
      </c>
      <c r="C677" s="1"/>
      <c r="D677" s="1" t="str">
        <f ca="1">IFERROR(__xludf.DUMMYFUNCTION("""COMPUTED_VALUE"""),"Nő")</f>
        <v>Nő</v>
      </c>
      <c r="E677" s="1"/>
      <c r="F677" s="1">
        <f ca="1">IFERROR(__xludf.DUMMYFUNCTION("""COMPUTED_VALUE"""),1986)</f>
        <v>1986</v>
      </c>
      <c r="G677" s="1">
        <f ca="1">IFERROR(__xludf.DUMMYFUNCTION("""COMPUTED_VALUE"""),3355)</f>
        <v>3355</v>
      </c>
      <c r="H677" s="1" t="str">
        <f ca="1">IFERROR(__xludf.DUMMYFUNCTION("""COMPUTED_VALUE"""),"MTLSZ003355A21")</f>
        <v>MTLSZ003355A21</v>
      </c>
      <c r="I677" s="2">
        <f ca="1">IFERROR(__xludf.DUMMYFUNCTION("""COMPUTED_VALUE"""),44455)</f>
        <v>44455</v>
      </c>
      <c r="J677" s="2">
        <f ca="1">IFERROR(__xludf.DUMMYFUNCTION("""COMPUTED_VALUE"""),44819)</f>
        <v>44819</v>
      </c>
    </row>
    <row r="678" spans="1:10" x14ac:dyDescent="0.25">
      <c r="A678" s="1" t="str">
        <f ca="1">IFERROR(__xludf.DUMMYFUNCTION("""COMPUTED_VALUE"""),"T(r)ollas SE")</f>
        <v>T(r)ollas SE</v>
      </c>
      <c r="B678" s="1" t="str">
        <f ca="1">IFERROR(__xludf.DUMMYFUNCTION("""COMPUTED_VALUE"""),"Sulyok András")</f>
        <v>Sulyok András</v>
      </c>
      <c r="C678" s="1"/>
      <c r="D678" s="1" t="str">
        <f ca="1">IFERROR(__xludf.DUMMYFUNCTION("""COMPUTED_VALUE"""),"Férfi")</f>
        <v>Férfi</v>
      </c>
      <c r="E678" s="1"/>
      <c r="F678" s="1">
        <f ca="1">IFERROR(__xludf.DUMMYFUNCTION("""COMPUTED_VALUE"""),2005)</f>
        <v>2005</v>
      </c>
      <c r="G678" s="1">
        <f ca="1">IFERROR(__xludf.DUMMYFUNCTION("""COMPUTED_VALUE"""),3071)</f>
        <v>3071</v>
      </c>
      <c r="H678" s="1" t="str">
        <f ca="1">IFERROR(__xludf.DUMMYFUNCTION("""COMPUTED_VALUE"""),"MTLSZ003071A21")</f>
        <v>MTLSZ003071A21</v>
      </c>
      <c r="I678" s="2">
        <f ca="1">IFERROR(__xludf.DUMMYFUNCTION("""COMPUTED_VALUE"""),44455)</f>
        <v>44455</v>
      </c>
      <c r="J678" s="2">
        <f ca="1">IFERROR(__xludf.DUMMYFUNCTION("""COMPUTED_VALUE"""),44819)</f>
        <v>44819</v>
      </c>
    </row>
    <row r="679" spans="1:10" x14ac:dyDescent="0.25">
      <c r="A679" s="1" t="str">
        <f ca="1">IFERROR(__xludf.DUMMYFUNCTION("""COMPUTED_VALUE"""),"T(r)ollas SE")</f>
        <v>T(r)ollas SE</v>
      </c>
      <c r="B679" s="1" t="str">
        <f ca="1">IFERROR(__xludf.DUMMYFUNCTION("""COMPUTED_VALUE"""),"Szabó Lóránd")</f>
        <v>Szabó Lóránd</v>
      </c>
      <c r="C679" s="1"/>
      <c r="D679" s="1" t="str">
        <f ca="1">IFERROR(__xludf.DUMMYFUNCTION("""COMPUTED_VALUE"""),"Férfi")</f>
        <v>Férfi</v>
      </c>
      <c r="E679" s="1"/>
      <c r="F679" s="1">
        <f ca="1">IFERROR(__xludf.DUMMYFUNCTION("""COMPUTED_VALUE"""),1966)</f>
        <v>1966</v>
      </c>
      <c r="G679" s="1">
        <f ca="1">IFERROR(__xludf.DUMMYFUNCTION("""COMPUTED_VALUE"""),3100)</f>
        <v>3100</v>
      </c>
      <c r="H679" s="1" t="str">
        <f ca="1">IFERROR(__xludf.DUMMYFUNCTION("""COMPUTED_VALUE"""),"MTLSZ003100A21")</f>
        <v>MTLSZ003100A21</v>
      </c>
      <c r="I679" s="2">
        <f ca="1">IFERROR(__xludf.DUMMYFUNCTION("""COMPUTED_VALUE"""),44455)</f>
        <v>44455</v>
      </c>
      <c r="J679" s="2">
        <f ca="1">IFERROR(__xludf.DUMMYFUNCTION("""COMPUTED_VALUE"""),44819)</f>
        <v>44819</v>
      </c>
    </row>
    <row r="680" spans="1:10" x14ac:dyDescent="0.25">
      <c r="A680" s="1" t="str">
        <f ca="1">IFERROR(__xludf.DUMMYFUNCTION("""COMPUTED_VALUE"""),"T(r)ollas SE")</f>
        <v>T(r)ollas SE</v>
      </c>
      <c r="B680" s="1" t="str">
        <f ca="1">IFERROR(__xludf.DUMMYFUNCTION("""COMPUTED_VALUE"""),"Takács Tünde")</f>
        <v>Takács Tünde</v>
      </c>
      <c r="C680" s="1"/>
      <c r="D680" s="1" t="str">
        <f ca="1">IFERROR(__xludf.DUMMYFUNCTION("""COMPUTED_VALUE"""),"Nő")</f>
        <v>Nő</v>
      </c>
      <c r="E680" s="1"/>
      <c r="F680" s="1">
        <f ca="1">IFERROR(__xludf.DUMMYFUNCTION("""COMPUTED_VALUE"""),2005)</f>
        <v>2005</v>
      </c>
      <c r="G680" s="1">
        <f ca="1">IFERROR(__xludf.DUMMYFUNCTION("""COMPUTED_VALUE"""),3018)</f>
        <v>3018</v>
      </c>
      <c r="H680" s="1" t="str">
        <f ca="1">IFERROR(__xludf.DUMMYFUNCTION("""COMPUTED_VALUE"""),"MTLSZ003018A21")</f>
        <v>MTLSZ003018A21</v>
      </c>
      <c r="I680" s="2">
        <f ca="1">IFERROR(__xludf.DUMMYFUNCTION("""COMPUTED_VALUE"""),44455)</f>
        <v>44455</v>
      </c>
      <c r="J680" s="2">
        <f ca="1">IFERROR(__xludf.DUMMYFUNCTION("""COMPUTED_VALUE"""),44819)</f>
        <v>44819</v>
      </c>
    </row>
    <row r="681" spans="1:10" x14ac:dyDescent="0.25">
      <c r="A681" s="1" t="str">
        <f ca="1">IFERROR(__xludf.DUMMYFUNCTION("""COMPUTED_VALUE"""),"FBSE")</f>
        <v>FBSE</v>
      </c>
      <c r="B681" s="1" t="str">
        <f ca="1">IFERROR(__xludf.DUMMYFUNCTION("""COMPUTED_VALUE"""),"Maczkó Péter")</f>
        <v>Maczkó Péter</v>
      </c>
      <c r="C681" s="1"/>
      <c r="D681" s="1" t="str">
        <f ca="1">IFERROR(__xludf.DUMMYFUNCTION("""COMPUTED_VALUE"""),"Férfi")</f>
        <v>Férfi</v>
      </c>
      <c r="E681" s="1"/>
      <c r="F681" s="1">
        <f ca="1">IFERROR(__xludf.DUMMYFUNCTION("""COMPUTED_VALUE"""),1978)</f>
        <v>1978</v>
      </c>
      <c r="G681" s="1">
        <f ca="1">IFERROR(__xludf.DUMMYFUNCTION("""COMPUTED_VALUE"""),2816)</f>
        <v>2816</v>
      </c>
      <c r="H681" s="1" t="str">
        <f ca="1">IFERROR(__xludf.DUMMYFUNCTION("""COMPUTED_VALUE"""),"MTLSZ002816A21")</f>
        <v>MTLSZ002816A21</v>
      </c>
      <c r="I681" s="2">
        <f ca="1">IFERROR(__xludf.DUMMYFUNCTION("""COMPUTED_VALUE"""),44453)</f>
        <v>44453</v>
      </c>
      <c r="J681" s="2">
        <f ca="1">IFERROR(__xludf.DUMMYFUNCTION("""COMPUTED_VALUE"""),44817)</f>
        <v>44817</v>
      </c>
    </row>
    <row r="682" spans="1:10" x14ac:dyDescent="0.25">
      <c r="A682" s="1" t="str">
        <f ca="1">IFERROR(__xludf.DUMMYFUNCTION("""COMPUTED_VALUE"""),"FBSE")</f>
        <v>FBSE</v>
      </c>
      <c r="B682" s="1" t="str">
        <f ca="1">IFERROR(__xludf.DUMMYFUNCTION("""COMPUTED_VALUE"""),"Nebehaj Karola")</f>
        <v>Nebehaj Karola</v>
      </c>
      <c r="C682" s="1"/>
      <c r="D682" s="1" t="str">
        <f ca="1">IFERROR(__xludf.DUMMYFUNCTION("""COMPUTED_VALUE"""),"Nő")</f>
        <v>Nő</v>
      </c>
      <c r="E682" s="1"/>
      <c r="F682" s="1">
        <f ca="1">IFERROR(__xludf.DUMMYFUNCTION("""COMPUTED_VALUE"""),1979)</f>
        <v>1979</v>
      </c>
      <c r="G682" s="1">
        <f ca="1">IFERROR(__xludf.DUMMYFUNCTION("""COMPUTED_VALUE"""),704)</f>
        <v>704</v>
      </c>
      <c r="H682" s="1" t="str">
        <f ca="1">IFERROR(__xludf.DUMMYFUNCTION("""COMPUTED_VALUE"""),"MTLSZ000704A21")</f>
        <v>MTLSZ000704A21</v>
      </c>
      <c r="I682" s="2">
        <f ca="1">IFERROR(__xludf.DUMMYFUNCTION("""COMPUTED_VALUE"""),44453)</f>
        <v>44453</v>
      </c>
      <c r="J682" s="2">
        <f ca="1">IFERROR(__xludf.DUMMYFUNCTION("""COMPUTED_VALUE"""),44817)</f>
        <v>44817</v>
      </c>
    </row>
    <row r="683" spans="1:10" x14ac:dyDescent="0.25">
      <c r="A683" s="1" t="str">
        <f ca="1">IFERROR(__xludf.DUMMYFUNCTION("""COMPUTED_VALUE"""),"Multi Alarm SE")</f>
        <v>Multi Alarm SE</v>
      </c>
      <c r="B683" s="1" t="str">
        <f ca="1">IFERROR(__xludf.DUMMYFUNCTION("""COMPUTED_VALUE"""),"Bende Zaránd")</f>
        <v>Bende Zaránd</v>
      </c>
      <c r="C683" s="1"/>
      <c r="D683" s="1" t="str">
        <f ca="1">IFERROR(__xludf.DUMMYFUNCTION("""COMPUTED_VALUE"""),"Férfi")</f>
        <v>Férfi</v>
      </c>
      <c r="E683" s="1"/>
      <c r="F683" s="1">
        <f ca="1">IFERROR(__xludf.DUMMYFUNCTION("""COMPUTED_VALUE"""),2008)</f>
        <v>2008</v>
      </c>
      <c r="G683" s="1">
        <f ca="1">IFERROR(__xludf.DUMMYFUNCTION("""COMPUTED_VALUE"""),3304)</f>
        <v>3304</v>
      </c>
      <c r="H683" s="1" t="str">
        <f ca="1">IFERROR(__xludf.DUMMYFUNCTION("""COMPUTED_VALUE"""),"MTLSZ003304A21")</f>
        <v>MTLSZ003304A21</v>
      </c>
      <c r="I683" s="2">
        <f ca="1">IFERROR(__xludf.DUMMYFUNCTION("""COMPUTED_VALUE"""),44453)</f>
        <v>44453</v>
      </c>
      <c r="J683" s="2">
        <f ca="1">IFERROR(__xludf.DUMMYFUNCTION("""COMPUTED_VALUE"""),44817)</f>
        <v>44817</v>
      </c>
    </row>
    <row r="684" spans="1:10" x14ac:dyDescent="0.25">
      <c r="A684" s="1" t="str">
        <f ca="1">IFERROR(__xludf.DUMMYFUNCTION("""COMPUTED_VALUE"""),"Multi Alarm SE")</f>
        <v>Multi Alarm SE</v>
      </c>
      <c r="B684" s="1" t="str">
        <f ca="1">IFERROR(__xludf.DUMMYFUNCTION("""COMPUTED_VALUE"""),"Bukoviczki Bianka")</f>
        <v>Bukoviczki Bianka</v>
      </c>
      <c r="C684" s="1"/>
      <c r="D684" s="1" t="str">
        <f ca="1">IFERROR(__xludf.DUMMYFUNCTION("""COMPUTED_VALUE"""),"Nő")</f>
        <v>Nő</v>
      </c>
      <c r="E684" s="1"/>
      <c r="F684" s="1">
        <f ca="1">IFERROR(__xludf.DUMMYFUNCTION("""COMPUTED_VALUE"""),1997)</f>
        <v>1997</v>
      </c>
      <c r="G684" s="1">
        <f ca="1">IFERROR(__xludf.DUMMYFUNCTION("""COMPUTED_VALUE"""),1886)</f>
        <v>1886</v>
      </c>
      <c r="H684" s="1" t="str">
        <f ca="1">IFERROR(__xludf.DUMMYFUNCTION("""COMPUTED_VALUE"""),"MTLSZ001886A21")</f>
        <v>MTLSZ001886A21</v>
      </c>
      <c r="I684" s="2">
        <f ca="1">IFERROR(__xludf.DUMMYFUNCTION("""COMPUTED_VALUE"""),44453)</f>
        <v>44453</v>
      </c>
      <c r="J684" s="2">
        <f ca="1">IFERROR(__xludf.DUMMYFUNCTION("""COMPUTED_VALUE"""),44817)</f>
        <v>44817</v>
      </c>
    </row>
    <row r="685" spans="1:10" x14ac:dyDescent="0.25">
      <c r="A685" s="1" t="str">
        <f ca="1">IFERROR(__xludf.DUMMYFUNCTION("""COMPUTED_VALUE"""),"Multi Alarm SE")</f>
        <v>Multi Alarm SE</v>
      </c>
      <c r="B685" s="1" t="str">
        <f ca="1">IFERROR(__xludf.DUMMYFUNCTION("""COMPUTED_VALUE"""),"Dittrich Petra")</f>
        <v>Dittrich Petra</v>
      </c>
      <c r="C685" s="1"/>
      <c r="D685" s="1" t="str">
        <f ca="1">IFERROR(__xludf.DUMMYFUNCTION("""COMPUTED_VALUE"""),"Nő")</f>
        <v>Nő</v>
      </c>
      <c r="E685" s="1"/>
      <c r="F685" s="1">
        <f ca="1">IFERROR(__xludf.DUMMYFUNCTION("""COMPUTED_VALUE"""),2009)</f>
        <v>2009</v>
      </c>
      <c r="G685" s="1">
        <f ca="1">IFERROR(__xludf.DUMMYFUNCTION("""COMPUTED_VALUE"""),4527)</f>
        <v>4527</v>
      </c>
      <c r="H685" s="1" t="str">
        <f ca="1">IFERROR(__xludf.DUMMYFUNCTION("""COMPUTED_VALUE"""),"MTLSZ004527A21")</f>
        <v>MTLSZ004527A21</v>
      </c>
      <c r="I685" s="2">
        <f ca="1">IFERROR(__xludf.DUMMYFUNCTION("""COMPUTED_VALUE"""),44453)</f>
        <v>44453</v>
      </c>
      <c r="J685" s="2">
        <f ca="1">IFERROR(__xludf.DUMMYFUNCTION("""COMPUTED_VALUE"""),44817)</f>
        <v>44817</v>
      </c>
    </row>
    <row r="686" spans="1:10" x14ac:dyDescent="0.25">
      <c r="A686" s="1" t="str">
        <f ca="1">IFERROR(__xludf.DUMMYFUNCTION("""COMPUTED_VALUE"""),"Multi Alarm SE")</f>
        <v>Multi Alarm SE</v>
      </c>
      <c r="B686" s="1" t="str">
        <f ca="1">IFERROR(__xludf.DUMMYFUNCTION("""COMPUTED_VALUE"""),"Fertőszögi Panna")</f>
        <v>Fertőszögi Panna</v>
      </c>
      <c r="C686" s="1"/>
      <c r="D686" s="1" t="str">
        <f ca="1">IFERROR(__xludf.DUMMYFUNCTION("""COMPUTED_VALUE"""),"Nő")</f>
        <v>Nő</v>
      </c>
      <c r="E686" s="1"/>
      <c r="F686" s="1">
        <f ca="1">IFERROR(__xludf.DUMMYFUNCTION("""COMPUTED_VALUE"""),2010)</f>
        <v>2010</v>
      </c>
      <c r="G686" s="1">
        <f ca="1">IFERROR(__xludf.DUMMYFUNCTION("""COMPUTED_VALUE"""),4363)</f>
        <v>4363</v>
      </c>
      <c r="H686" s="1" t="str">
        <f ca="1">IFERROR(__xludf.DUMMYFUNCTION("""COMPUTED_VALUE"""),"MTLSZ004363A21")</f>
        <v>MTLSZ004363A21</v>
      </c>
      <c r="I686" s="2">
        <f ca="1">IFERROR(__xludf.DUMMYFUNCTION("""COMPUTED_VALUE"""),44453)</f>
        <v>44453</v>
      </c>
      <c r="J686" s="2">
        <f ca="1">IFERROR(__xludf.DUMMYFUNCTION("""COMPUTED_VALUE"""),44817)</f>
        <v>44817</v>
      </c>
    </row>
    <row r="687" spans="1:10" x14ac:dyDescent="0.25">
      <c r="A687" s="1" t="str">
        <f ca="1">IFERROR(__xludf.DUMMYFUNCTION("""COMPUTED_VALUE"""),"Multi Alarm SE")</f>
        <v>Multi Alarm SE</v>
      </c>
      <c r="B687" s="1" t="str">
        <f ca="1">IFERROR(__xludf.DUMMYFUNCTION("""COMPUTED_VALUE"""),"Gonda Daniella")</f>
        <v>Gonda Daniella</v>
      </c>
      <c r="C687" s="1"/>
      <c r="D687" s="1" t="str">
        <f ca="1">IFERROR(__xludf.DUMMYFUNCTION("""COMPUTED_VALUE"""),"Nő")</f>
        <v>Nő</v>
      </c>
      <c r="E687" s="1"/>
      <c r="F687" s="1">
        <f ca="1">IFERROR(__xludf.DUMMYFUNCTION("""COMPUTED_VALUE"""),1994)</f>
        <v>1994</v>
      </c>
      <c r="G687" s="1">
        <f ca="1">IFERROR(__xludf.DUMMYFUNCTION("""COMPUTED_VALUE"""),1357)</f>
        <v>1357</v>
      </c>
      <c r="H687" s="1" t="str">
        <f ca="1">IFERROR(__xludf.DUMMYFUNCTION("""COMPUTED_VALUE"""),"MTLSZ001357A21")</f>
        <v>MTLSZ001357A21</v>
      </c>
      <c r="I687" s="2">
        <f ca="1">IFERROR(__xludf.DUMMYFUNCTION("""COMPUTED_VALUE"""),44453)</f>
        <v>44453</v>
      </c>
      <c r="J687" s="2">
        <f ca="1">IFERROR(__xludf.DUMMYFUNCTION("""COMPUTED_VALUE"""),44817)</f>
        <v>44817</v>
      </c>
    </row>
    <row r="688" spans="1:10" x14ac:dyDescent="0.25">
      <c r="A688" s="1" t="str">
        <f ca="1">IFERROR(__xludf.DUMMYFUNCTION("""COMPUTED_VALUE"""),"Multi Alarm SE")</f>
        <v>Multi Alarm SE</v>
      </c>
      <c r="B688" s="1" t="str">
        <f ca="1">IFERROR(__xludf.DUMMYFUNCTION("""COMPUTED_VALUE"""),"Gradwohl Dániel")</f>
        <v>Gradwohl Dániel</v>
      </c>
      <c r="C688" s="1"/>
      <c r="D688" s="1" t="str">
        <f ca="1">IFERROR(__xludf.DUMMYFUNCTION("""COMPUTED_VALUE"""),"Férfi")</f>
        <v>Férfi</v>
      </c>
      <c r="E688" s="1"/>
      <c r="F688" s="1">
        <f ca="1">IFERROR(__xludf.DUMMYFUNCTION("""COMPUTED_VALUE"""),1994)</f>
        <v>1994</v>
      </c>
      <c r="G688" s="1">
        <f ca="1">IFERROR(__xludf.DUMMYFUNCTION("""COMPUTED_VALUE"""),1906)</f>
        <v>1906</v>
      </c>
      <c r="H688" s="1" t="str">
        <f ca="1">IFERROR(__xludf.DUMMYFUNCTION("""COMPUTED_VALUE"""),"MTLSZ001906A21")</f>
        <v>MTLSZ001906A21</v>
      </c>
      <c r="I688" s="2">
        <f ca="1">IFERROR(__xludf.DUMMYFUNCTION("""COMPUTED_VALUE"""),44453)</f>
        <v>44453</v>
      </c>
      <c r="J688" s="2">
        <f ca="1">IFERROR(__xludf.DUMMYFUNCTION("""COMPUTED_VALUE"""),44817)</f>
        <v>44817</v>
      </c>
    </row>
    <row r="689" spans="1:10" x14ac:dyDescent="0.25">
      <c r="A689" s="1" t="str">
        <f ca="1">IFERROR(__xludf.DUMMYFUNCTION("""COMPUTED_VALUE"""),"Multi Alarm SE")</f>
        <v>Multi Alarm SE</v>
      </c>
      <c r="B689" s="1" t="str">
        <f ca="1">IFERROR(__xludf.DUMMYFUNCTION("""COMPUTED_VALUE"""),"Hornung Zsófia")</f>
        <v>Hornung Zsófia</v>
      </c>
      <c r="C689" s="1"/>
      <c r="D689" s="1" t="str">
        <f ca="1">IFERROR(__xludf.DUMMYFUNCTION("""COMPUTED_VALUE"""),"Nő")</f>
        <v>Nő</v>
      </c>
      <c r="E689" s="1"/>
      <c r="F689" s="1">
        <f ca="1">IFERROR(__xludf.DUMMYFUNCTION("""COMPUTED_VALUE"""),2009)</f>
        <v>2009</v>
      </c>
      <c r="G689" s="1">
        <f ca="1">IFERROR(__xludf.DUMMYFUNCTION("""COMPUTED_VALUE"""),4369)</f>
        <v>4369</v>
      </c>
      <c r="H689" s="1" t="str">
        <f ca="1">IFERROR(__xludf.DUMMYFUNCTION("""COMPUTED_VALUE"""),"MTLSZ004369A21")</f>
        <v>MTLSZ004369A21</v>
      </c>
      <c r="I689" s="2">
        <f ca="1">IFERROR(__xludf.DUMMYFUNCTION("""COMPUTED_VALUE"""),44453)</f>
        <v>44453</v>
      </c>
      <c r="J689" s="2">
        <f ca="1">IFERROR(__xludf.DUMMYFUNCTION("""COMPUTED_VALUE"""),44817)</f>
        <v>44817</v>
      </c>
    </row>
    <row r="690" spans="1:10" x14ac:dyDescent="0.25">
      <c r="A690" s="1" t="str">
        <f ca="1">IFERROR(__xludf.DUMMYFUNCTION("""COMPUTED_VALUE"""),"Multi Alarm SE")</f>
        <v>Multi Alarm SE</v>
      </c>
      <c r="B690" s="1" t="str">
        <f ca="1">IFERROR(__xludf.DUMMYFUNCTION("""COMPUTED_VALUE"""),"Kiss Bene Benjamin")</f>
        <v>Kiss Bene Benjamin</v>
      </c>
      <c r="C690" s="1"/>
      <c r="D690" s="1" t="str">
        <f ca="1">IFERROR(__xludf.DUMMYFUNCTION("""COMPUTED_VALUE"""),"Férfi")</f>
        <v>Férfi</v>
      </c>
      <c r="E690" s="1"/>
      <c r="F690" s="1">
        <f ca="1">IFERROR(__xludf.DUMMYFUNCTION("""COMPUTED_VALUE"""),2003)</f>
        <v>2003</v>
      </c>
      <c r="G690" s="1">
        <f ca="1">IFERROR(__xludf.DUMMYFUNCTION("""COMPUTED_VALUE"""),2355)</f>
        <v>2355</v>
      </c>
      <c r="H690" s="1" t="str">
        <f ca="1">IFERROR(__xludf.DUMMYFUNCTION("""COMPUTED_VALUE"""),"MTLSZ002355A21")</f>
        <v>MTLSZ002355A21</v>
      </c>
      <c r="I690" s="2">
        <f ca="1">IFERROR(__xludf.DUMMYFUNCTION("""COMPUTED_VALUE"""),44453)</f>
        <v>44453</v>
      </c>
      <c r="J690" s="2">
        <f ca="1">IFERROR(__xludf.DUMMYFUNCTION("""COMPUTED_VALUE"""),44817)</f>
        <v>44817</v>
      </c>
    </row>
    <row r="691" spans="1:10" x14ac:dyDescent="0.25">
      <c r="A691" s="1" t="str">
        <f ca="1">IFERROR(__xludf.DUMMYFUNCTION("""COMPUTED_VALUE"""),"Multi Alarm SE")</f>
        <v>Multi Alarm SE</v>
      </c>
      <c r="B691" s="1" t="str">
        <f ca="1">IFERROR(__xludf.DUMMYFUNCTION("""COMPUTED_VALUE"""),"Kiss Fanni Dóra")</f>
        <v>Kiss Fanni Dóra</v>
      </c>
      <c r="C691" s="1"/>
      <c r="D691" s="1" t="str">
        <f ca="1">IFERROR(__xludf.DUMMYFUNCTION("""COMPUTED_VALUE"""),"Nő")</f>
        <v>Nő</v>
      </c>
      <c r="E691" s="1"/>
      <c r="F691" s="1">
        <f ca="1">IFERROR(__xludf.DUMMYFUNCTION("""COMPUTED_VALUE"""),2001)</f>
        <v>2001</v>
      </c>
      <c r="G691" s="1">
        <f ca="1">IFERROR(__xludf.DUMMYFUNCTION("""COMPUTED_VALUE"""),2364)</f>
        <v>2364</v>
      </c>
      <c r="H691" s="1" t="str">
        <f ca="1">IFERROR(__xludf.DUMMYFUNCTION("""COMPUTED_VALUE"""),"MTLSZ002364A21")</f>
        <v>MTLSZ002364A21</v>
      </c>
      <c r="I691" s="2">
        <f ca="1">IFERROR(__xludf.DUMMYFUNCTION("""COMPUTED_VALUE"""),44453)</f>
        <v>44453</v>
      </c>
      <c r="J691" s="2">
        <f ca="1">IFERROR(__xludf.DUMMYFUNCTION("""COMPUTED_VALUE"""),44817)</f>
        <v>44817</v>
      </c>
    </row>
    <row r="692" spans="1:10" x14ac:dyDescent="0.25">
      <c r="A692" s="1" t="str">
        <f ca="1">IFERROR(__xludf.DUMMYFUNCTION("""COMPUTED_VALUE"""),"Multi Alarm SE")</f>
        <v>Multi Alarm SE</v>
      </c>
      <c r="B692" s="1" t="str">
        <f ca="1">IFERROR(__xludf.DUMMYFUNCTION("""COMPUTED_VALUE"""),"Kovács Domonkos")</f>
        <v>Kovács Domonkos</v>
      </c>
      <c r="C692" s="1"/>
      <c r="D692" s="1" t="str">
        <f ca="1">IFERROR(__xludf.DUMMYFUNCTION("""COMPUTED_VALUE"""),"Férfi")</f>
        <v>Férfi</v>
      </c>
      <c r="E692" s="1"/>
      <c r="F692" s="1">
        <f ca="1">IFERROR(__xludf.DUMMYFUNCTION("""COMPUTED_VALUE"""),2007)</f>
        <v>2007</v>
      </c>
      <c r="G692" s="1">
        <f ca="1">IFERROR(__xludf.DUMMYFUNCTION("""COMPUTED_VALUE"""),2914)</f>
        <v>2914</v>
      </c>
      <c r="H692" s="1" t="str">
        <f ca="1">IFERROR(__xludf.DUMMYFUNCTION("""COMPUTED_VALUE"""),"MTLSZ002914A21")</f>
        <v>MTLSZ002914A21</v>
      </c>
      <c r="I692" s="2">
        <f ca="1">IFERROR(__xludf.DUMMYFUNCTION("""COMPUTED_VALUE"""),44453)</f>
        <v>44453</v>
      </c>
      <c r="J692" s="2">
        <f ca="1">IFERROR(__xludf.DUMMYFUNCTION("""COMPUTED_VALUE"""),44817)</f>
        <v>44817</v>
      </c>
    </row>
    <row r="693" spans="1:10" x14ac:dyDescent="0.25">
      <c r="A693" s="1" t="str">
        <f ca="1">IFERROR(__xludf.DUMMYFUNCTION("""COMPUTED_VALUE"""),"Multi Alarm SE")</f>
        <v>Multi Alarm SE</v>
      </c>
      <c r="B693" s="1" t="str">
        <f ca="1">IFERROR(__xludf.DUMMYFUNCTION("""COMPUTED_VALUE"""),"Kovács Hanna")</f>
        <v>Kovács Hanna</v>
      </c>
      <c r="C693" s="1"/>
      <c r="D693" s="1" t="str">
        <f ca="1">IFERROR(__xludf.DUMMYFUNCTION("""COMPUTED_VALUE"""),"Nő")</f>
        <v>Nő</v>
      </c>
      <c r="E693" s="1"/>
      <c r="F693" s="1">
        <f ca="1">IFERROR(__xludf.DUMMYFUNCTION("""COMPUTED_VALUE"""),2005)</f>
        <v>2005</v>
      </c>
      <c r="G693" s="1">
        <f ca="1">IFERROR(__xludf.DUMMYFUNCTION("""COMPUTED_VALUE"""),2913)</f>
        <v>2913</v>
      </c>
      <c r="H693" s="1" t="str">
        <f ca="1">IFERROR(__xludf.DUMMYFUNCTION("""COMPUTED_VALUE"""),"MTLSZ002913A21")</f>
        <v>MTLSZ002913A21</v>
      </c>
      <c r="I693" s="2">
        <f ca="1">IFERROR(__xludf.DUMMYFUNCTION("""COMPUTED_VALUE"""),44453)</f>
        <v>44453</v>
      </c>
      <c r="J693" s="2">
        <f ca="1">IFERROR(__xludf.DUMMYFUNCTION("""COMPUTED_VALUE"""),44817)</f>
        <v>44817</v>
      </c>
    </row>
    <row r="694" spans="1:10" x14ac:dyDescent="0.25">
      <c r="A694" s="1" t="str">
        <f ca="1">IFERROR(__xludf.DUMMYFUNCTION("""COMPUTED_VALUE"""),"Multi Alarm SE")</f>
        <v>Multi Alarm SE</v>
      </c>
      <c r="B694" s="1" t="str">
        <f ca="1">IFERROR(__xludf.DUMMYFUNCTION("""COMPUTED_VALUE"""),"Kováts Máté Róbert")</f>
        <v>Kováts Máté Róbert</v>
      </c>
      <c r="C694" s="1"/>
      <c r="D694" s="1" t="str">
        <f ca="1">IFERROR(__xludf.DUMMYFUNCTION("""COMPUTED_VALUE"""),"Férfi")</f>
        <v>Férfi</v>
      </c>
      <c r="E694" s="1"/>
      <c r="F694" s="1">
        <f ca="1">IFERROR(__xludf.DUMMYFUNCTION("""COMPUTED_VALUE"""),2000)</f>
        <v>2000</v>
      </c>
      <c r="G694" s="1">
        <f ca="1">IFERROR(__xludf.DUMMYFUNCTION("""COMPUTED_VALUE"""),2389)</f>
        <v>2389</v>
      </c>
      <c r="H694" s="1" t="str">
        <f ca="1">IFERROR(__xludf.DUMMYFUNCTION("""COMPUTED_VALUE"""),"MTLSZ002389A21")</f>
        <v>MTLSZ002389A21</v>
      </c>
      <c r="I694" s="2">
        <f ca="1">IFERROR(__xludf.DUMMYFUNCTION("""COMPUTED_VALUE"""),44453)</f>
        <v>44453</v>
      </c>
      <c r="J694" s="2">
        <f ca="1">IFERROR(__xludf.DUMMYFUNCTION("""COMPUTED_VALUE"""),44817)</f>
        <v>44817</v>
      </c>
    </row>
    <row r="695" spans="1:10" x14ac:dyDescent="0.25">
      <c r="A695" s="1" t="str">
        <f ca="1">IFERROR(__xludf.DUMMYFUNCTION("""COMPUTED_VALUE"""),"Multi Alarm SE")</f>
        <v>Multi Alarm SE</v>
      </c>
      <c r="B695" s="1" t="str">
        <f ca="1">IFERROR(__xludf.DUMMYFUNCTION("""COMPUTED_VALUE"""),"Laszkovszky Anna")</f>
        <v>Laszkovszky Anna</v>
      </c>
      <c r="C695" s="1"/>
      <c r="D695" s="1" t="str">
        <f ca="1">IFERROR(__xludf.DUMMYFUNCTION("""COMPUTED_VALUE"""),"Nő")</f>
        <v>Nő</v>
      </c>
      <c r="E695" s="1"/>
      <c r="F695" s="1">
        <f ca="1">IFERROR(__xludf.DUMMYFUNCTION("""COMPUTED_VALUE"""),2009)</f>
        <v>2009</v>
      </c>
      <c r="G695" s="1">
        <f ca="1">IFERROR(__xludf.DUMMYFUNCTION("""COMPUTED_VALUE"""),4353)</f>
        <v>4353</v>
      </c>
      <c r="H695" s="1" t="str">
        <f ca="1">IFERROR(__xludf.DUMMYFUNCTION("""COMPUTED_VALUE"""),"MTLSZ004353A21")</f>
        <v>MTLSZ004353A21</v>
      </c>
      <c r="I695" s="2">
        <f ca="1">IFERROR(__xludf.DUMMYFUNCTION("""COMPUTED_VALUE"""),44453)</f>
        <v>44453</v>
      </c>
      <c r="J695" s="2">
        <f ca="1">IFERROR(__xludf.DUMMYFUNCTION("""COMPUTED_VALUE"""),44817)</f>
        <v>44817</v>
      </c>
    </row>
    <row r="696" spans="1:10" x14ac:dyDescent="0.25">
      <c r="A696" s="1" t="str">
        <f ca="1">IFERROR(__xludf.DUMMYFUNCTION("""COMPUTED_VALUE"""),"Multi Alarm SE")</f>
        <v>Multi Alarm SE</v>
      </c>
      <c r="B696" s="1" t="str">
        <f ca="1">IFERROR(__xludf.DUMMYFUNCTION("""COMPUTED_VALUE"""),"Mészáros László")</f>
        <v>Mészáros László</v>
      </c>
      <c r="C696" s="1"/>
      <c r="D696" s="1" t="str">
        <f ca="1">IFERROR(__xludf.DUMMYFUNCTION("""COMPUTED_VALUE"""),"Férfi")</f>
        <v>Férfi</v>
      </c>
      <c r="E696" s="1"/>
      <c r="F696" s="1">
        <f ca="1">IFERROR(__xludf.DUMMYFUNCTION("""COMPUTED_VALUE"""),2008)</f>
        <v>2008</v>
      </c>
      <c r="G696" s="1">
        <f ca="1">IFERROR(__xludf.DUMMYFUNCTION("""COMPUTED_VALUE"""),3088)</f>
        <v>3088</v>
      </c>
      <c r="H696" s="1" t="str">
        <f ca="1">IFERROR(__xludf.DUMMYFUNCTION("""COMPUTED_VALUE"""),"MTLSZ003088A21")</f>
        <v>MTLSZ003088A21</v>
      </c>
      <c r="I696" s="2">
        <f ca="1">IFERROR(__xludf.DUMMYFUNCTION("""COMPUTED_VALUE"""),44453)</f>
        <v>44453</v>
      </c>
      <c r="J696" s="2">
        <f ca="1">IFERROR(__xludf.DUMMYFUNCTION("""COMPUTED_VALUE"""),44817)</f>
        <v>44817</v>
      </c>
    </row>
    <row r="697" spans="1:10" x14ac:dyDescent="0.25">
      <c r="A697" s="1" t="str">
        <f ca="1">IFERROR(__xludf.DUMMYFUNCTION("""COMPUTED_VALUE"""),"Multi Alarm SE")</f>
        <v>Multi Alarm SE</v>
      </c>
      <c r="B697" s="1" t="str">
        <f ca="1">IFERROR(__xludf.DUMMYFUNCTION("""COMPUTED_VALUE"""),"Mészáros Míra")</f>
        <v>Mészáros Míra</v>
      </c>
      <c r="C697" s="1"/>
      <c r="D697" s="1" t="str">
        <f ca="1">IFERROR(__xludf.DUMMYFUNCTION("""COMPUTED_VALUE"""),"Nő")</f>
        <v>Nő</v>
      </c>
      <c r="E697" s="1"/>
      <c r="F697" s="1">
        <f ca="1">IFERROR(__xludf.DUMMYFUNCTION("""COMPUTED_VALUE"""),2006)</f>
        <v>2006</v>
      </c>
      <c r="G697" s="1">
        <f ca="1">IFERROR(__xludf.DUMMYFUNCTION("""COMPUTED_VALUE"""),2951)</f>
        <v>2951</v>
      </c>
      <c r="H697" s="1" t="str">
        <f ca="1">IFERROR(__xludf.DUMMYFUNCTION("""COMPUTED_VALUE"""),"MTLSZ002951A21")</f>
        <v>MTLSZ002951A21</v>
      </c>
      <c r="I697" s="2">
        <f ca="1">IFERROR(__xludf.DUMMYFUNCTION("""COMPUTED_VALUE"""),44453)</f>
        <v>44453</v>
      </c>
      <c r="J697" s="2">
        <f ca="1">IFERROR(__xludf.DUMMYFUNCTION("""COMPUTED_VALUE"""),44817)</f>
        <v>44817</v>
      </c>
    </row>
    <row r="698" spans="1:10" x14ac:dyDescent="0.25">
      <c r="A698" s="1" t="str">
        <f ca="1">IFERROR(__xludf.DUMMYFUNCTION("""COMPUTED_VALUE"""),"Multi Alarm SE")</f>
        <v>Multi Alarm SE</v>
      </c>
      <c r="B698" s="1" t="str">
        <f ca="1">IFERROR(__xludf.DUMMYFUNCTION("""COMPUTED_VALUE"""),"Pytel Bence")</f>
        <v>Pytel Bence</v>
      </c>
      <c r="C698" s="1"/>
      <c r="D698" s="1" t="str">
        <f ca="1">IFERROR(__xludf.DUMMYFUNCTION("""COMPUTED_VALUE"""),"Férfi")</f>
        <v>Férfi</v>
      </c>
      <c r="E698" s="1"/>
      <c r="F698" s="1">
        <f ca="1">IFERROR(__xludf.DUMMYFUNCTION("""COMPUTED_VALUE"""),1997)</f>
        <v>1997</v>
      </c>
      <c r="G698" s="1">
        <f ca="1">IFERROR(__xludf.DUMMYFUNCTION("""COMPUTED_VALUE"""),1931)</f>
        <v>1931</v>
      </c>
      <c r="H698" s="1" t="str">
        <f ca="1">IFERROR(__xludf.DUMMYFUNCTION("""COMPUTED_VALUE"""),"MTLSZ001931A21")</f>
        <v>MTLSZ001931A21</v>
      </c>
      <c r="I698" s="2">
        <f ca="1">IFERROR(__xludf.DUMMYFUNCTION("""COMPUTED_VALUE"""),44453)</f>
        <v>44453</v>
      </c>
      <c r="J698" s="2">
        <f ca="1">IFERROR(__xludf.DUMMYFUNCTION("""COMPUTED_VALUE"""),44817)</f>
        <v>44817</v>
      </c>
    </row>
    <row r="699" spans="1:10" x14ac:dyDescent="0.25">
      <c r="A699" s="1" t="str">
        <f ca="1">IFERROR(__xludf.DUMMYFUNCTION("""COMPUTED_VALUE"""),"Multi Alarm SE")</f>
        <v>Multi Alarm SE</v>
      </c>
      <c r="B699" s="1" t="str">
        <f ca="1">IFERROR(__xludf.DUMMYFUNCTION("""COMPUTED_VALUE"""),"Pytel Gergő")</f>
        <v>Pytel Gergő</v>
      </c>
      <c r="C699" s="1"/>
      <c r="D699" s="1" t="str">
        <f ca="1">IFERROR(__xludf.DUMMYFUNCTION("""COMPUTED_VALUE"""),"Férfi")</f>
        <v>Férfi</v>
      </c>
      <c r="E699" s="1"/>
      <c r="F699" s="1">
        <f ca="1">IFERROR(__xludf.DUMMYFUNCTION("""COMPUTED_VALUE"""),1999)</f>
        <v>1999</v>
      </c>
      <c r="G699" s="1">
        <f ca="1">IFERROR(__xludf.DUMMYFUNCTION("""COMPUTED_VALUE"""),1944)</f>
        <v>1944</v>
      </c>
      <c r="H699" s="1" t="str">
        <f ca="1">IFERROR(__xludf.DUMMYFUNCTION("""COMPUTED_VALUE"""),"MTLSZ001944A21")</f>
        <v>MTLSZ001944A21</v>
      </c>
      <c r="I699" s="2">
        <f ca="1">IFERROR(__xludf.DUMMYFUNCTION("""COMPUTED_VALUE"""),44453)</f>
        <v>44453</v>
      </c>
      <c r="J699" s="2">
        <f ca="1">IFERROR(__xludf.DUMMYFUNCTION("""COMPUTED_VALUE"""),44817)</f>
        <v>44817</v>
      </c>
    </row>
    <row r="700" spans="1:10" x14ac:dyDescent="0.25">
      <c r="A700" s="1" t="str">
        <f ca="1">IFERROR(__xludf.DUMMYFUNCTION("""COMPUTED_VALUE"""),"Multi Alarm SE")</f>
        <v>Multi Alarm SE</v>
      </c>
      <c r="B700" s="1" t="str">
        <f ca="1">IFERROR(__xludf.DUMMYFUNCTION("""COMPUTED_VALUE"""),"Sári Milán Marcell")</f>
        <v>Sári Milán Marcell</v>
      </c>
      <c r="C700" s="1"/>
      <c r="D700" s="1" t="str">
        <f ca="1">IFERROR(__xludf.DUMMYFUNCTION("""COMPUTED_VALUE"""),"Férfi")</f>
        <v>Férfi</v>
      </c>
      <c r="E700" s="1"/>
      <c r="F700" s="1">
        <f ca="1">IFERROR(__xludf.DUMMYFUNCTION("""COMPUTED_VALUE"""),2011)</f>
        <v>2011</v>
      </c>
      <c r="G700" s="1">
        <f ca="1">IFERROR(__xludf.DUMMYFUNCTION("""COMPUTED_VALUE"""),4395)</f>
        <v>4395</v>
      </c>
      <c r="H700" s="1" t="str">
        <f ca="1">IFERROR(__xludf.DUMMYFUNCTION("""COMPUTED_VALUE"""),"MTLSZ004395A21")</f>
        <v>MTLSZ004395A21</v>
      </c>
      <c r="I700" s="2">
        <f ca="1">IFERROR(__xludf.DUMMYFUNCTION("""COMPUTED_VALUE"""),44453)</f>
        <v>44453</v>
      </c>
      <c r="J700" s="2">
        <f ca="1">IFERROR(__xludf.DUMMYFUNCTION("""COMPUTED_VALUE"""),44817)</f>
        <v>44817</v>
      </c>
    </row>
    <row r="701" spans="1:10" x14ac:dyDescent="0.25">
      <c r="A701" s="1" t="str">
        <f ca="1">IFERROR(__xludf.DUMMYFUNCTION("""COMPUTED_VALUE"""),"Multi Alarm SE")</f>
        <v>Multi Alarm SE</v>
      </c>
      <c r="B701" s="1" t="str">
        <f ca="1">IFERROR(__xludf.DUMMYFUNCTION("""COMPUTED_VALUE"""),"Szerecz Márton")</f>
        <v>Szerecz Márton</v>
      </c>
      <c r="C701" s="1"/>
      <c r="D701" s="1" t="str">
        <f ca="1">IFERROR(__xludf.DUMMYFUNCTION("""COMPUTED_VALUE"""),"Férfi")</f>
        <v>Férfi</v>
      </c>
      <c r="E701" s="1"/>
      <c r="F701" s="1">
        <f ca="1">IFERROR(__xludf.DUMMYFUNCTION("""COMPUTED_VALUE"""),1997)</f>
        <v>1997</v>
      </c>
      <c r="G701" s="1">
        <f ca="1">IFERROR(__xludf.DUMMYFUNCTION("""COMPUTED_VALUE"""),1664)</f>
        <v>1664</v>
      </c>
      <c r="H701" s="1" t="str">
        <f ca="1">IFERROR(__xludf.DUMMYFUNCTION("""COMPUTED_VALUE"""),"MTLSZ001664A21")</f>
        <v>MTLSZ001664A21</v>
      </c>
      <c r="I701" s="2">
        <f ca="1">IFERROR(__xludf.DUMMYFUNCTION("""COMPUTED_VALUE"""),44453)</f>
        <v>44453</v>
      </c>
      <c r="J701" s="2">
        <f ca="1">IFERROR(__xludf.DUMMYFUNCTION("""COMPUTED_VALUE"""),44817)</f>
        <v>44817</v>
      </c>
    </row>
    <row r="702" spans="1:10" x14ac:dyDescent="0.25">
      <c r="A702" s="1" t="str">
        <f ca="1">IFERROR(__xludf.DUMMYFUNCTION("""COMPUTED_VALUE"""),"Multi Alarm SE")</f>
        <v>Multi Alarm SE</v>
      </c>
      <c r="B702" s="1" t="str">
        <f ca="1">IFERROR(__xludf.DUMMYFUNCTION("""COMPUTED_VALUE"""),"Tóth Henrik")</f>
        <v>Tóth Henrik</v>
      </c>
      <c r="C702" s="1"/>
      <c r="D702" s="1" t="str">
        <f ca="1">IFERROR(__xludf.DUMMYFUNCTION("""COMPUTED_VALUE"""),"Férfi")</f>
        <v>Férfi</v>
      </c>
      <c r="E702" s="1"/>
      <c r="F702" s="1">
        <f ca="1">IFERROR(__xludf.DUMMYFUNCTION("""COMPUTED_VALUE"""),1986)</f>
        <v>1986</v>
      </c>
      <c r="G702" s="1">
        <f ca="1">IFERROR(__xludf.DUMMYFUNCTION("""COMPUTED_VALUE"""),1032)</f>
        <v>1032</v>
      </c>
      <c r="H702" s="1" t="str">
        <f ca="1">IFERROR(__xludf.DUMMYFUNCTION("""COMPUTED_VALUE"""),"MTLSZ001032A21")</f>
        <v>MTLSZ001032A21</v>
      </c>
      <c r="I702" s="2">
        <f ca="1">IFERROR(__xludf.DUMMYFUNCTION("""COMPUTED_VALUE"""),44453)</f>
        <v>44453</v>
      </c>
      <c r="J702" s="2">
        <f ca="1">IFERROR(__xludf.DUMMYFUNCTION("""COMPUTED_VALUE"""),44817)</f>
        <v>44817</v>
      </c>
    </row>
    <row r="703" spans="1:10" x14ac:dyDescent="0.25">
      <c r="A703" s="1" t="str">
        <f ca="1">IFERROR(__xludf.DUMMYFUNCTION("""COMPUTED_VALUE"""),"Multi Alarm SE")</f>
        <v>Multi Alarm SE</v>
      </c>
      <c r="B703" s="1" t="str">
        <f ca="1">IFERROR(__xludf.DUMMYFUNCTION("""COMPUTED_VALUE"""),"Turcsics Laura Fanni")</f>
        <v>Turcsics Laura Fanni</v>
      </c>
      <c r="C703" s="1"/>
      <c r="D703" s="1" t="str">
        <f ca="1">IFERROR(__xludf.DUMMYFUNCTION("""COMPUTED_VALUE"""),"Nő")</f>
        <v>Nő</v>
      </c>
      <c r="E703" s="1"/>
      <c r="F703" s="1">
        <f ca="1">IFERROR(__xludf.DUMMYFUNCTION("""COMPUTED_VALUE"""),2010)</f>
        <v>2010</v>
      </c>
      <c r="G703" s="1">
        <f ca="1">IFERROR(__xludf.DUMMYFUNCTION("""COMPUTED_VALUE"""),4368)</f>
        <v>4368</v>
      </c>
      <c r="H703" s="1" t="str">
        <f ca="1">IFERROR(__xludf.DUMMYFUNCTION("""COMPUTED_VALUE"""),"MTLSZ004368A21")</f>
        <v>MTLSZ004368A21</v>
      </c>
      <c r="I703" s="2">
        <f ca="1">IFERROR(__xludf.DUMMYFUNCTION("""COMPUTED_VALUE"""),44453)</f>
        <v>44453</v>
      </c>
      <c r="J703" s="2">
        <f ca="1">IFERROR(__xludf.DUMMYFUNCTION("""COMPUTED_VALUE"""),44817)</f>
        <v>44817</v>
      </c>
    </row>
    <row r="704" spans="1:10" x14ac:dyDescent="0.25">
      <c r="A704" s="1" t="str">
        <f ca="1">IFERROR(__xludf.DUMMYFUNCTION("""COMPUTED_VALUE"""),"Multi Alarm SE")</f>
        <v>Multi Alarm SE</v>
      </c>
      <c r="B704" s="1" t="str">
        <f ca="1">IFERROR(__xludf.DUMMYFUNCTION("""COMPUTED_VALUE"""),"Várda Sebes")</f>
        <v>Várda Sebes</v>
      </c>
      <c r="C704" s="1"/>
      <c r="D704" s="1" t="str">
        <f ca="1">IFERROR(__xludf.DUMMYFUNCTION("""COMPUTED_VALUE"""),"Férfi")</f>
        <v>Férfi</v>
      </c>
      <c r="E704" s="1"/>
      <c r="F704" s="1">
        <f ca="1">IFERROR(__xludf.DUMMYFUNCTION("""COMPUTED_VALUE"""),2010)</f>
        <v>2010</v>
      </c>
      <c r="G704" s="1">
        <f ca="1">IFERROR(__xludf.DUMMYFUNCTION("""COMPUTED_VALUE"""),4371)</f>
        <v>4371</v>
      </c>
      <c r="H704" s="1" t="str">
        <f ca="1">IFERROR(__xludf.DUMMYFUNCTION("""COMPUTED_VALUE"""),"MTLSZ004371A21")</f>
        <v>MTLSZ004371A21</v>
      </c>
      <c r="I704" s="2">
        <f ca="1">IFERROR(__xludf.DUMMYFUNCTION("""COMPUTED_VALUE"""),44453)</f>
        <v>44453</v>
      </c>
      <c r="J704" s="2">
        <f ca="1">IFERROR(__xludf.DUMMYFUNCTION("""COMPUTED_VALUE"""),44817)</f>
        <v>44817</v>
      </c>
    </row>
    <row r="705" spans="1:10" x14ac:dyDescent="0.25">
      <c r="A705" s="1" t="str">
        <f ca="1">IFERROR(__xludf.DUMMYFUNCTION("""COMPUTED_VALUE"""),"Multi Alarm SE")</f>
        <v>Multi Alarm SE</v>
      </c>
      <c r="B705" s="1" t="str">
        <f ca="1">IFERROR(__xludf.DUMMYFUNCTION("""COMPUTED_VALUE"""),"Végh Miklós")</f>
        <v>Végh Miklós</v>
      </c>
      <c r="C705" s="1"/>
      <c r="D705" s="1" t="str">
        <f ca="1">IFERROR(__xludf.DUMMYFUNCTION("""COMPUTED_VALUE"""),"Férfi")</f>
        <v>Férfi</v>
      </c>
      <c r="E705" s="1"/>
      <c r="F705" s="1">
        <f ca="1">IFERROR(__xludf.DUMMYFUNCTION("""COMPUTED_VALUE"""),1997)</f>
        <v>1997</v>
      </c>
      <c r="G705" s="1">
        <f ca="1">IFERROR(__xludf.DUMMYFUNCTION("""COMPUTED_VALUE"""),2372)</f>
        <v>2372</v>
      </c>
      <c r="H705" s="1" t="str">
        <f ca="1">IFERROR(__xludf.DUMMYFUNCTION("""COMPUTED_VALUE"""),"MTLSZ002372A21")</f>
        <v>MTLSZ002372A21</v>
      </c>
      <c r="I705" s="2">
        <f ca="1">IFERROR(__xludf.DUMMYFUNCTION("""COMPUTED_VALUE"""),44453)</f>
        <v>44453</v>
      </c>
      <c r="J705" s="2">
        <f ca="1">IFERROR(__xludf.DUMMYFUNCTION("""COMPUTED_VALUE"""),44817)</f>
        <v>44817</v>
      </c>
    </row>
    <row r="706" spans="1:10" x14ac:dyDescent="0.25">
      <c r="A706" s="1" t="str">
        <f ca="1">IFERROR(__xludf.DUMMYFUNCTION("""COMPUTED_VALUE"""),"Újpest TSE")</f>
        <v>Újpest TSE</v>
      </c>
      <c r="B706" s="1" t="str">
        <f ca="1">IFERROR(__xludf.DUMMYFUNCTION("""COMPUTED_VALUE"""),"Zsembery Ádám")</f>
        <v>Zsembery Ádám</v>
      </c>
      <c r="C706" s="1"/>
      <c r="D706" s="1" t="str">
        <f ca="1">IFERROR(__xludf.DUMMYFUNCTION("""COMPUTED_VALUE"""),"Férfi")</f>
        <v>Férfi</v>
      </c>
      <c r="E706" s="1"/>
      <c r="F706" s="1">
        <f ca="1">IFERROR(__xludf.DUMMYFUNCTION("""COMPUTED_VALUE"""),2003)</f>
        <v>2003</v>
      </c>
      <c r="G706" s="1">
        <f ca="1">IFERROR(__xludf.DUMMYFUNCTION("""COMPUTED_VALUE"""),2513)</f>
        <v>2513</v>
      </c>
      <c r="H706" s="1" t="str">
        <f ca="1">IFERROR(__xludf.DUMMYFUNCTION("""COMPUTED_VALUE"""),"MTLSZ002513A21")</f>
        <v>MTLSZ002513A21</v>
      </c>
      <c r="I706" s="2">
        <f ca="1">IFERROR(__xludf.DUMMYFUNCTION("""COMPUTED_VALUE"""),44453)</f>
        <v>44453</v>
      </c>
      <c r="J706" s="2">
        <f ca="1">IFERROR(__xludf.DUMMYFUNCTION("""COMPUTED_VALUE"""),44817)</f>
        <v>44817</v>
      </c>
    </row>
    <row r="707" spans="1:10" x14ac:dyDescent="0.25">
      <c r="A707" s="1" t="str">
        <f ca="1">IFERROR(__xludf.DUMMYFUNCTION("""COMPUTED_VALUE"""),"Kilián Iskola DSE")</f>
        <v>Kilián Iskola DSE</v>
      </c>
      <c r="B707" s="1" t="str">
        <f ca="1">IFERROR(__xludf.DUMMYFUNCTION("""COMPUTED_VALUE"""),"Geiger Míra")</f>
        <v>Geiger Míra</v>
      </c>
      <c r="C707" s="1"/>
      <c r="D707" s="1" t="str">
        <f ca="1">IFERROR(__xludf.DUMMYFUNCTION("""COMPUTED_VALUE"""),"Nő")</f>
        <v>Nő</v>
      </c>
      <c r="E707" s="1"/>
      <c r="F707" s="1">
        <f ca="1">IFERROR(__xludf.DUMMYFUNCTION("""COMPUTED_VALUE"""),2007)</f>
        <v>2007</v>
      </c>
      <c r="G707" s="1">
        <f ca="1">IFERROR(__xludf.DUMMYFUNCTION("""COMPUTED_VALUE"""),2994)</f>
        <v>2994</v>
      </c>
      <c r="H707" s="1" t="str">
        <f ca="1">IFERROR(__xludf.DUMMYFUNCTION("""COMPUTED_VALUE"""),"MTLSZ002994A21")</f>
        <v>MTLSZ002994A21</v>
      </c>
      <c r="I707" s="2">
        <f ca="1">IFERROR(__xludf.DUMMYFUNCTION("""COMPUTED_VALUE"""),44445)</f>
        <v>44445</v>
      </c>
      <c r="J707" s="2">
        <f ca="1">IFERROR(__xludf.DUMMYFUNCTION("""COMPUTED_VALUE"""),44809)</f>
        <v>44809</v>
      </c>
    </row>
    <row r="708" spans="1:10" x14ac:dyDescent="0.25">
      <c r="A708" s="1" t="str">
        <f ca="1">IFERROR(__xludf.DUMMYFUNCTION("""COMPUTED_VALUE"""),"Kilián Iskola DSE")</f>
        <v>Kilián Iskola DSE</v>
      </c>
      <c r="B708" s="1" t="str">
        <f ca="1">IFERROR(__xludf.DUMMYFUNCTION("""COMPUTED_VALUE"""),"Nagy Dániel")</f>
        <v>Nagy Dániel</v>
      </c>
      <c r="C708" s="1"/>
      <c r="D708" s="1" t="str">
        <f ca="1">IFERROR(__xludf.DUMMYFUNCTION("""COMPUTED_VALUE"""),"Férfi")</f>
        <v>Férfi</v>
      </c>
      <c r="E708" s="1"/>
      <c r="F708" s="1">
        <f ca="1">IFERROR(__xludf.DUMMYFUNCTION("""COMPUTED_VALUE"""),2004)</f>
        <v>2004</v>
      </c>
      <c r="G708" s="1">
        <f ca="1">IFERROR(__xludf.DUMMYFUNCTION("""COMPUTED_VALUE"""),2703)</f>
        <v>2703</v>
      </c>
      <c r="H708" s="1" t="str">
        <f ca="1">IFERROR(__xludf.DUMMYFUNCTION("""COMPUTED_VALUE"""),"MTLSZ002703A21")</f>
        <v>MTLSZ002703A21</v>
      </c>
      <c r="I708" s="2">
        <f ca="1">IFERROR(__xludf.DUMMYFUNCTION("""COMPUTED_VALUE"""),44445)</f>
        <v>44445</v>
      </c>
      <c r="J708" s="2">
        <f ca="1">IFERROR(__xludf.DUMMYFUNCTION("""COMPUTED_VALUE"""),44809)</f>
        <v>44809</v>
      </c>
    </row>
    <row r="709" spans="1:10" x14ac:dyDescent="0.25">
      <c r="A709" s="1" t="str">
        <f ca="1">IFERROR(__xludf.DUMMYFUNCTION("""COMPUTED_VALUE"""),"Kilián Iskola DSE")</f>
        <v>Kilián Iskola DSE</v>
      </c>
      <c r="B709" s="1" t="str">
        <f ca="1">IFERROR(__xludf.DUMMYFUNCTION("""COMPUTED_VALUE"""),"Nagy Eszter")</f>
        <v>Nagy Eszter</v>
      </c>
      <c r="C709" s="1"/>
      <c r="D709" s="1" t="str">
        <f ca="1">IFERROR(__xludf.DUMMYFUNCTION("""COMPUTED_VALUE"""),"Nő")</f>
        <v>Nő</v>
      </c>
      <c r="E709" s="1"/>
      <c r="F709" s="1">
        <f ca="1">IFERROR(__xludf.DUMMYFUNCTION("""COMPUTED_VALUE"""),2006)</f>
        <v>2006</v>
      </c>
      <c r="G709" s="1">
        <f ca="1">IFERROR(__xludf.DUMMYFUNCTION("""COMPUTED_VALUE"""),2995)</f>
        <v>2995</v>
      </c>
      <c r="H709" s="1" t="str">
        <f ca="1">IFERROR(__xludf.DUMMYFUNCTION("""COMPUTED_VALUE"""),"MTLSZ002995A21")</f>
        <v>MTLSZ002995A21</v>
      </c>
      <c r="I709" s="2">
        <f ca="1">IFERROR(__xludf.DUMMYFUNCTION("""COMPUTED_VALUE"""),44445)</f>
        <v>44445</v>
      </c>
      <c r="J709" s="2">
        <f ca="1">IFERROR(__xludf.DUMMYFUNCTION("""COMPUTED_VALUE"""),44809)</f>
        <v>44809</v>
      </c>
    </row>
    <row r="710" spans="1:10" x14ac:dyDescent="0.25">
      <c r="A710" s="1" t="str">
        <f ca="1">IFERROR(__xludf.DUMMYFUNCTION("""COMPUTED_VALUE"""),"Kilián Iskola DSE")</f>
        <v>Kilián Iskola DSE</v>
      </c>
      <c r="B710" s="1" t="str">
        <f ca="1">IFERROR(__xludf.DUMMYFUNCTION("""COMPUTED_VALUE"""),"Szabó Sára")</f>
        <v>Szabó Sára</v>
      </c>
      <c r="C710" s="1"/>
      <c r="D710" s="1" t="str">
        <f ca="1">IFERROR(__xludf.DUMMYFUNCTION("""COMPUTED_VALUE"""),"Nő")</f>
        <v>Nő</v>
      </c>
      <c r="E710" s="1"/>
      <c r="F710" s="1">
        <f ca="1">IFERROR(__xludf.DUMMYFUNCTION("""COMPUTED_VALUE"""),2010)</f>
        <v>2010</v>
      </c>
      <c r="G710" s="1">
        <f ca="1">IFERROR(__xludf.DUMMYFUNCTION("""COMPUTED_VALUE"""),3183)</f>
        <v>3183</v>
      </c>
      <c r="H710" s="1" t="str">
        <f ca="1">IFERROR(__xludf.DUMMYFUNCTION("""COMPUTED_VALUE"""),"MTLSZ003183A21")</f>
        <v>MTLSZ003183A21</v>
      </c>
      <c r="I710" s="2">
        <f ca="1">IFERROR(__xludf.DUMMYFUNCTION("""COMPUTED_VALUE"""),44445)</f>
        <v>44445</v>
      </c>
      <c r="J710" s="2">
        <f ca="1">IFERROR(__xludf.DUMMYFUNCTION("""COMPUTED_VALUE"""),44809)</f>
        <v>44809</v>
      </c>
    </row>
    <row r="711" spans="1:10" x14ac:dyDescent="0.25">
      <c r="A711" s="1" t="str">
        <f ca="1">IFERROR(__xludf.DUMMYFUNCTION("""COMPUTED_VALUE"""),"T(r)ollas SE")</f>
        <v>T(r)ollas SE</v>
      </c>
      <c r="B711" s="1" t="str">
        <f ca="1">IFERROR(__xludf.DUMMYFUNCTION("""COMPUTED_VALUE"""),"Demjén Dominik")</f>
        <v>Demjén Dominik</v>
      </c>
      <c r="C711" s="1"/>
      <c r="D711" s="1" t="str">
        <f ca="1">IFERROR(__xludf.DUMMYFUNCTION("""COMPUTED_VALUE"""),"Férfi")</f>
        <v>Férfi</v>
      </c>
      <c r="E711" s="1"/>
      <c r="F711" s="1">
        <f ca="1">IFERROR(__xludf.DUMMYFUNCTION("""COMPUTED_VALUE"""),1995)</f>
        <v>1995</v>
      </c>
      <c r="G711" s="1">
        <f ca="1">IFERROR(__xludf.DUMMYFUNCTION("""COMPUTED_VALUE"""),4659)</f>
        <v>4659</v>
      </c>
      <c r="H711" s="1" t="str">
        <f ca="1">IFERROR(__xludf.DUMMYFUNCTION("""COMPUTED_VALUE"""),"MTLSZ004659A21")</f>
        <v>MTLSZ004659A21</v>
      </c>
      <c r="I711" s="2">
        <f ca="1">IFERROR(__xludf.DUMMYFUNCTION("""COMPUTED_VALUE"""),44444)</f>
        <v>44444</v>
      </c>
      <c r="J711" s="2">
        <f ca="1">IFERROR(__xludf.DUMMYFUNCTION("""COMPUTED_VALUE"""),44808)</f>
        <v>44808</v>
      </c>
    </row>
    <row r="712" spans="1:10" x14ac:dyDescent="0.25">
      <c r="A712" s="1" t="str">
        <f ca="1">IFERROR(__xludf.DUMMYFUNCTION("""COMPUTED_VALUE"""),"T(r)ollas SE")</f>
        <v>T(r)ollas SE</v>
      </c>
      <c r="B712" s="1" t="str">
        <f ca="1">IFERROR(__xludf.DUMMYFUNCTION("""COMPUTED_VALUE"""),"Zhao Quingbo")</f>
        <v>Zhao Quingbo</v>
      </c>
      <c r="C712" s="1"/>
      <c r="D712" s="1" t="str">
        <f ca="1">IFERROR(__xludf.DUMMYFUNCTION("""COMPUTED_VALUE"""),"Férfi")</f>
        <v>Férfi</v>
      </c>
      <c r="E712" s="1"/>
      <c r="F712" s="1">
        <f ca="1">IFERROR(__xludf.DUMMYFUNCTION("""COMPUTED_VALUE"""),1978)</f>
        <v>1978</v>
      </c>
      <c r="G712" s="1">
        <f ca="1">IFERROR(__xludf.DUMMYFUNCTION("""COMPUTED_VALUE"""),4658)</f>
        <v>4658</v>
      </c>
      <c r="H712" s="1" t="str">
        <f ca="1">IFERROR(__xludf.DUMMYFUNCTION("""COMPUTED_VALUE"""),"MTLSZ004658A21")</f>
        <v>MTLSZ004658A21</v>
      </c>
      <c r="I712" s="2">
        <f ca="1">IFERROR(__xludf.DUMMYFUNCTION("""COMPUTED_VALUE"""),44442)</f>
        <v>44442</v>
      </c>
      <c r="J712" s="2">
        <f ca="1">IFERROR(__xludf.DUMMYFUNCTION("""COMPUTED_VALUE"""),44806)</f>
        <v>44806</v>
      </c>
    </row>
    <row r="713" spans="1:10" x14ac:dyDescent="0.25">
      <c r="A713" s="1" t="str">
        <f ca="1">IFERROR(__xludf.DUMMYFUNCTION("""COMPUTED_VALUE"""),"Klébi DSE")</f>
        <v>Klébi DSE</v>
      </c>
      <c r="B713" s="1" t="str">
        <f ca="1">IFERROR(__xludf.DUMMYFUNCTION("""COMPUTED_VALUE"""),"Kovács Barnabás")</f>
        <v>Kovács Barnabás</v>
      </c>
      <c r="C713" s="1"/>
      <c r="D713" s="1" t="str">
        <f ca="1">IFERROR(__xludf.DUMMYFUNCTION("""COMPUTED_VALUE"""),"Férfi")</f>
        <v>Férfi</v>
      </c>
      <c r="E713" s="1"/>
      <c r="F713" s="1">
        <f ca="1">IFERROR(__xludf.DUMMYFUNCTION("""COMPUTED_VALUE"""),2009)</f>
        <v>2009</v>
      </c>
      <c r="G713" s="1">
        <f ca="1">IFERROR(__xludf.DUMMYFUNCTION("""COMPUTED_VALUE"""),3122)</f>
        <v>3122</v>
      </c>
      <c r="H713" s="1" t="str">
        <f ca="1">IFERROR(__xludf.DUMMYFUNCTION("""COMPUTED_VALUE"""),"MTLSZ003122A21")</f>
        <v>MTLSZ003122A21</v>
      </c>
      <c r="I713" s="2">
        <f ca="1">IFERROR(__xludf.DUMMYFUNCTION("""COMPUTED_VALUE"""),44440)</f>
        <v>44440</v>
      </c>
      <c r="J713" s="2">
        <f ca="1">IFERROR(__xludf.DUMMYFUNCTION("""COMPUTED_VALUE"""),44804)</f>
        <v>44804</v>
      </c>
    </row>
    <row r="714" spans="1:10" x14ac:dyDescent="0.25">
      <c r="A714" s="1" t="str">
        <f ca="1">IFERROR(__xludf.DUMMYFUNCTION("""COMPUTED_VALUE"""),"Klébi DSE")</f>
        <v>Klébi DSE</v>
      </c>
      <c r="B714" s="1" t="str">
        <f ca="1">IFERROR(__xludf.DUMMYFUNCTION("""COMPUTED_VALUE"""),"Kovács Dániel")</f>
        <v>Kovács Dániel</v>
      </c>
      <c r="C714" s="1"/>
      <c r="D714" s="1" t="str">
        <f ca="1">IFERROR(__xludf.DUMMYFUNCTION("""COMPUTED_VALUE"""),"Férfi")</f>
        <v>Férfi</v>
      </c>
      <c r="E714" s="1"/>
      <c r="F714" s="1">
        <f ca="1">IFERROR(__xludf.DUMMYFUNCTION("""COMPUTED_VALUE"""),2007)</f>
        <v>2007</v>
      </c>
      <c r="G714" s="1">
        <f ca="1">IFERROR(__xludf.DUMMYFUNCTION("""COMPUTED_VALUE"""),3120)</f>
        <v>3120</v>
      </c>
      <c r="H714" s="1" t="str">
        <f ca="1">IFERROR(__xludf.DUMMYFUNCTION("""COMPUTED_VALUE"""),"MTLSZ003120A21")</f>
        <v>MTLSZ003120A21</v>
      </c>
      <c r="I714" s="2">
        <f ca="1">IFERROR(__xludf.DUMMYFUNCTION("""COMPUTED_VALUE"""),44440)</f>
        <v>44440</v>
      </c>
      <c r="J714" s="2">
        <f ca="1">IFERROR(__xludf.DUMMYFUNCTION("""COMPUTED_VALUE"""),44804)</f>
        <v>44804</v>
      </c>
    </row>
    <row r="715" spans="1:10" x14ac:dyDescent="0.25">
      <c r="A715" s="1" t="str">
        <f ca="1">IFERROR(__xludf.DUMMYFUNCTION("""COMPUTED_VALUE"""),"Klébi DSE")</f>
        <v>Klébi DSE</v>
      </c>
      <c r="B715" s="1" t="str">
        <f ca="1">IFERROR(__xludf.DUMMYFUNCTION("""COMPUTED_VALUE"""),"Puskás Bence")</f>
        <v>Puskás Bence</v>
      </c>
      <c r="C715" s="1"/>
      <c r="D715" s="1" t="str">
        <f ca="1">IFERROR(__xludf.DUMMYFUNCTION("""COMPUTED_VALUE"""),"Férfi")</f>
        <v>Férfi</v>
      </c>
      <c r="E715" s="1"/>
      <c r="F715" s="1">
        <f ca="1">IFERROR(__xludf.DUMMYFUNCTION("""COMPUTED_VALUE"""),2007)</f>
        <v>2007</v>
      </c>
      <c r="G715" s="1">
        <f ca="1">IFERROR(__xludf.DUMMYFUNCTION("""COMPUTED_VALUE"""),3121)</f>
        <v>3121</v>
      </c>
      <c r="H715" s="1" t="str">
        <f ca="1">IFERROR(__xludf.DUMMYFUNCTION("""COMPUTED_VALUE"""),"MTLSZ003121A21")</f>
        <v>MTLSZ003121A21</v>
      </c>
      <c r="I715" s="2">
        <f ca="1">IFERROR(__xludf.DUMMYFUNCTION("""COMPUTED_VALUE"""),44440)</f>
        <v>44440</v>
      </c>
      <c r="J715" s="2">
        <f ca="1">IFERROR(__xludf.DUMMYFUNCTION("""COMPUTED_VALUE"""),44804)</f>
        <v>44804</v>
      </c>
    </row>
    <row r="716" spans="1:10" x14ac:dyDescent="0.25">
      <c r="A716" s="1" t="str">
        <f ca="1">IFERROR(__xludf.DUMMYFUNCTION("""COMPUTED_VALUE"""),"VSD")</f>
        <v>VSD</v>
      </c>
      <c r="B716" s="1" t="str">
        <f ca="1">IFERROR(__xludf.DUMMYFUNCTION("""COMPUTED_VALUE"""),"Fasimon Dorottya Dr.")</f>
        <v>Fasimon Dorottya Dr.</v>
      </c>
      <c r="C716" s="1"/>
      <c r="D716" s="1" t="str">
        <f ca="1">IFERROR(__xludf.DUMMYFUNCTION("""COMPUTED_VALUE"""),"Nő")</f>
        <v>Nő</v>
      </c>
      <c r="E716" s="1"/>
      <c r="F716" s="1">
        <f ca="1">IFERROR(__xludf.DUMMYFUNCTION("""COMPUTED_VALUE"""),1990)</f>
        <v>1990</v>
      </c>
      <c r="G716" s="1">
        <f ca="1">IFERROR(__xludf.DUMMYFUNCTION("""COMPUTED_VALUE"""),4656)</f>
        <v>4656</v>
      </c>
      <c r="H716" s="1" t="str">
        <f ca="1">IFERROR(__xludf.DUMMYFUNCTION("""COMPUTED_VALUE"""),"MTLSZ004656A21")</f>
        <v>MTLSZ004656A21</v>
      </c>
      <c r="I716" s="2">
        <f ca="1">IFERROR(__xludf.DUMMYFUNCTION("""COMPUTED_VALUE"""),44440)</f>
        <v>44440</v>
      </c>
      <c r="J716" s="2">
        <f ca="1">IFERROR(__xludf.DUMMYFUNCTION("""COMPUTED_VALUE"""),44804)</f>
        <v>44804</v>
      </c>
    </row>
    <row r="717" spans="1:10" x14ac:dyDescent="0.25">
      <c r="A717" s="1" t="str">
        <f ca="1">IFERROR(__xludf.DUMMYFUNCTION("""COMPUTED_VALUE"""),"VSD")</f>
        <v>VSD</v>
      </c>
      <c r="B717" s="1" t="str">
        <f ca="1">IFERROR(__xludf.DUMMYFUNCTION("""COMPUTED_VALUE"""),"Fasimon Máté")</f>
        <v>Fasimon Máté</v>
      </c>
      <c r="C717" s="1"/>
      <c r="D717" s="1" t="str">
        <f ca="1">IFERROR(__xludf.DUMMYFUNCTION("""COMPUTED_VALUE"""),"Férfi")</f>
        <v>Férfi</v>
      </c>
      <c r="E717" s="1"/>
      <c r="F717" s="1">
        <f ca="1">IFERROR(__xludf.DUMMYFUNCTION("""COMPUTED_VALUE"""),1992)</f>
        <v>1992</v>
      </c>
      <c r="G717" s="1">
        <f ca="1">IFERROR(__xludf.DUMMYFUNCTION("""COMPUTED_VALUE"""),4657)</f>
        <v>4657</v>
      </c>
      <c r="H717" s="1" t="str">
        <f ca="1">IFERROR(__xludf.DUMMYFUNCTION("""COMPUTED_VALUE"""),"MTLSZ004657A21")</f>
        <v>MTLSZ004657A21</v>
      </c>
      <c r="I717" s="2">
        <f ca="1">IFERROR(__xludf.DUMMYFUNCTION("""COMPUTED_VALUE"""),44440)</f>
        <v>44440</v>
      </c>
      <c r="J717" s="2">
        <f ca="1">IFERROR(__xludf.DUMMYFUNCTION("""COMPUTED_VALUE"""),44804)</f>
        <v>44804</v>
      </c>
    </row>
    <row r="718" spans="1:10" x14ac:dyDescent="0.25">
      <c r="A718" s="1" t="str">
        <f ca="1">IFERROR(__xludf.DUMMYFUNCTION("""COMPUTED_VALUE"""),"BEAC")</f>
        <v>BEAC</v>
      </c>
      <c r="B718" s="1" t="str">
        <f ca="1">IFERROR(__xludf.DUMMYFUNCTION("""COMPUTED_VALUE"""),"Vasvári Viktor")</f>
        <v>Vasvári Viktor</v>
      </c>
      <c r="C718" s="1"/>
      <c r="D718" s="1" t="str">
        <f ca="1">IFERROR(__xludf.DUMMYFUNCTION("""COMPUTED_VALUE"""),"Férfi")</f>
        <v>Férfi</v>
      </c>
      <c r="E718" s="1"/>
      <c r="F718" s="1">
        <f ca="1">IFERROR(__xludf.DUMMYFUNCTION("""COMPUTED_VALUE"""),1975)</f>
        <v>1975</v>
      </c>
      <c r="G718" s="1">
        <f ca="1">IFERROR(__xludf.DUMMYFUNCTION("""COMPUTED_VALUE"""),1107)</f>
        <v>1107</v>
      </c>
      <c r="H718" s="1" t="str">
        <f ca="1">IFERROR(__xludf.DUMMYFUNCTION("""COMPUTED_VALUE"""),"MTLSZ001107A21")</f>
        <v>MTLSZ001107A21</v>
      </c>
      <c r="I718" s="2">
        <f ca="1">IFERROR(__xludf.DUMMYFUNCTION("""COMPUTED_VALUE"""),44438)</f>
        <v>44438</v>
      </c>
      <c r="J718" s="2">
        <f ca="1">IFERROR(__xludf.DUMMYFUNCTION("""COMPUTED_VALUE"""),44802)</f>
        <v>44802</v>
      </c>
    </row>
    <row r="719" spans="1:10" x14ac:dyDescent="0.25">
      <c r="A719" s="1" t="str">
        <f ca="1">IFERROR(__xludf.DUMMYFUNCTION("""COMPUTED_VALUE"""),"Hajdú TSE")</f>
        <v>Hajdú TSE</v>
      </c>
      <c r="B719" s="1" t="str">
        <f ca="1">IFERROR(__xludf.DUMMYFUNCTION("""COMPUTED_VALUE"""),"Hegedűs Balázs")</f>
        <v>Hegedűs Balázs</v>
      </c>
      <c r="C719" s="1"/>
      <c r="D719" s="1" t="str">
        <f ca="1">IFERROR(__xludf.DUMMYFUNCTION("""COMPUTED_VALUE"""),"Férfi")</f>
        <v>Férfi</v>
      </c>
      <c r="E719" s="1"/>
      <c r="F719" s="1">
        <f ca="1">IFERROR(__xludf.DUMMYFUNCTION("""COMPUTED_VALUE"""),1982)</f>
        <v>1982</v>
      </c>
      <c r="G719" s="1">
        <f ca="1">IFERROR(__xludf.DUMMYFUNCTION("""COMPUTED_VALUE"""),4655)</f>
        <v>4655</v>
      </c>
      <c r="H719" s="1" t="str">
        <f ca="1">IFERROR(__xludf.DUMMYFUNCTION("""COMPUTED_VALUE"""),"MTLSZ004655A21")</f>
        <v>MTLSZ004655A21</v>
      </c>
      <c r="I719" s="2">
        <f ca="1">IFERROR(__xludf.DUMMYFUNCTION("""COMPUTED_VALUE"""),44438)</f>
        <v>44438</v>
      </c>
      <c r="J719" s="2">
        <f ca="1">IFERROR(__xludf.DUMMYFUNCTION("""COMPUTED_VALUE"""),44802)</f>
        <v>44802</v>
      </c>
    </row>
    <row r="720" spans="1:10" x14ac:dyDescent="0.25">
      <c r="A720" s="1" t="str">
        <f ca="1">IFERROR(__xludf.DUMMYFUNCTION("""COMPUTED_VALUE"""),"T(r)ollas SE")</f>
        <v>T(r)ollas SE</v>
      </c>
      <c r="B720" s="1" t="str">
        <f ca="1">IFERROR(__xludf.DUMMYFUNCTION("""COMPUTED_VALUE"""),"Dobos Sándor")</f>
        <v>Dobos Sándor</v>
      </c>
      <c r="C720" s="1"/>
      <c r="D720" s="1" t="str">
        <f ca="1">IFERROR(__xludf.DUMMYFUNCTION("""COMPUTED_VALUE"""),"Férfi")</f>
        <v>Férfi</v>
      </c>
      <c r="E720" s="1"/>
      <c r="F720" s="1">
        <f ca="1">IFERROR(__xludf.DUMMYFUNCTION("""COMPUTED_VALUE"""),1982)</f>
        <v>1982</v>
      </c>
      <c r="G720" s="1">
        <f ca="1">IFERROR(__xludf.DUMMYFUNCTION("""COMPUTED_VALUE"""),3059)</f>
        <v>3059</v>
      </c>
      <c r="H720" s="1" t="str">
        <f ca="1">IFERROR(__xludf.DUMMYFUNCTION("""COMPUTED_VALUE"""),"MTLSZ003059A21")</f>
        <v>MTLSZ003059A21</v>
      </c>
      <c r="I720" s="2">
        <f ca="1">IFERROR(__xludf.DUMMYFUNCTION("""COMPUTED_VALUE"""),44412)</f>
        <v>44412</v>
      </c>
      <c r="J720" s="2">
        <f ca="1">IFERROR(__xludf.DUMMYFUNCTION("""COMPUTED_VALUE"""),44776)</f>
        <v>44776</v>
      </c>
    </row>
    <row r="721" spans="1:10" x14ac:dyDescent="0.25">
      <c r="A721" s="1" t="str">
        <f ca="1">IFERROR(__xludf.DUMMYFUNCTION("""COMPUTED_VALUE"""),"Danubius KSE")</f>
        <v>Danubius KSE</v>
      </c>
      <c r="B721" s="1" t="str">
        <f ca="1">IFERROR(__xludf.DUMMYFUNCTION("""COMPUTED_VALUE"""),"Karf Máté")</f>
        <v>Karf Máté</v>
      </c>
      <c r="C721" s="1"/>
      <c r="D721" s="1" t="str">
        <f ca="1">IFERROR(__xludf.DUMMYFUNCTION("""COMPUTED_VALUE"""),"Férfi")</f>
        <v>Férfi</v>
      </c>
      <c r="E721" s="1"/>
      <c r="F721" s="1">
        <f ca="1">IFERROR(__xludf.DUMMYFUNCTION("""COMPUTED_VALUE"""),1995)</f>
        <v>1995</v>
      </c>
      <c r="G721" s="1">
        <f ca="1">IFERROR(__xludf.DUMMYFUNCTION("""COMPUTED_VALUE"""),2589)</f>
        <v>2589</v>
      </c>
      <c r="H721" s="1" t="str">
        <f ca="1">IFERROR(__xludf.DUMMYFUNCTION("""COMPUTED_VALUE"""),"MTLSZ002589A21")</f>
        <v>MTLSZ002589A21</v>
      </c>
      <c r="I721" s="2">
        <f ca="1">IFERROR(__xludf.DUMMYFUNCTION("""COMPUTED_VALUE"""),44396)</f>
        <v>44396</v>
      </c>
      <c r="J721" s="2">
        <f ca="1">IFERROR(__xludf.DUMMYFUNCTION("""COMPUTED_VALUE"""),44760)</f>
        <v>44760</v>
      </c>
    </row>
    <row r="722" spans="1:10" x14ac:dyDescent="0.25">
      <c r="A722" s="1" t="str">
        <f ca="1">IFERROR(__xludf.DUMMYFUNCTION("""COMPUTED_VALUE"""),"Danubius KSE")</f>
        <v>Danubius KSE</v>
      </c>
      <c r="B722" s="1"/>
      <c r="C722" s="1"/>
      <c r="D722" s="1"/>
      <c r="E722" s="1"/>
      <c r="F722" s="1">
        <f ca="1">IFERROR(__xludf.DUMMYFUNCTION("""COMPUTED_VALUE"""),1899)</f>
        <v>1899</v>
      </c>
      <c r="G722" s="1">
        <f ca="1">IFERROR(__xludf.DUMMYFUNCTION("""COMPUTED_VALUE"""),4654)</f>
        <v>4654</v>
      </c>
      <c r="H722" s="1"/>
      <c r="I722" s="2">
        <f ca="1">IFERROR(__xludf.DUMMYFUNCTION("""COMPUTED_VALUE"""),44396)</f>
        <v>44396</v>
      </c>
      <c r="J722" s="2">
        <f ca="1">IFERROR(__xludf.DUMMYFUNCTION("""COMPUTED_VALUE"""),44760)</f>
        <v>44760</v>
      </c>
    </row>
    <row r="723" spans="1:10" x14ac:dyDescent="0.25">
      <c r="A723" s="1" t="str">
        <f ca="1">IFERROR(__xludf.DUMMYFUNCTION("""COMPUTED_VALUE"""),"T(r)ollas SE")</f>
        <v>T(r)ollas SE</v>
      </c>
      <c r="B723" s="1" t="str">
        <f ca="1">IFERROR(__xludf.DUMMYFUNCTION("""COMPUTED_VALUE"""),"Drenkó Balázs")</f>
        <v>Drenkó Balázs</v>
      </c>
      <c r="C723" s="1"/>
      <c r="D723" s="1" t="str">
        <f ca="1">IFERROR(__xludf.DUMMYFUNCTION("""COMPUTED_VALUE"""),"Férfi")</f>
        <v>Férfi</v>
      </c>
      <c r="E723" s="1"/>
      <c r="F723" s="1">
        <f ca="1">IFERROR(__xludf.DUMMYFUNCTION("""COMPUTED_VALUE"""),1971)</f>
        <v>1971</v>
      </c>
      <c r="G723" s="1">
        <f ca="1">IFERROR(__xludf.DUMMYFUNCTION("""COMPUTED_VALUE"""),4651)</f>
        <v>4651</v>
      </c>
      <c r="H723" s="1" t="str">
        <f ca="1">IFERROR(__xludf.DUMMYFUNCTION("""COMPUTED_VALUE"""),"MTLSZ004651A21")</f>
        <v>MTLSZ004651A21</v>
      </c>
      <c r="I723" s="2">
        <f ca="1">IFERROR(__xludf.DUMMYFUNCTION("""COMPUTED_VALUE"""),44382)</f>
        <v>44382</v>
      </c>
      <c r="J723" s="2">
        <f ca="1">IFERROR(__xludf.DUMMYFUNCTION("""COMPUTED_VALUE"""),44746)</f>
        <v>44746</v>
      </c>
    </row>
    <row r="724" spans="1:10" x14ac:dyDescent="0.25">
      <c r="A724" s="1" t="str">
        <f ca="1">IFERROR(__xludf.DUMMYFUNCTION("""COMPUTED_VALUE"""),"T(r)ollas SE")</f>
        <v>T(r)ollas SE</v>
      </c>
      <c r="B724" s="1" t="str">
        <f ca="1">IFERROR(__xludf.DUMMYFUNCTION("""COMPUTED_VALUE"""),"Fekete András")</f>
        <v>Fekete András</v>
      </c>
      <c r="C724" s="1"/>
      <c r="D724" s="1" t="str">
        <f ca="1">IFERROR(__xludf.DUMMYFUNCTION("""COMPUTED_VALUE"""),"Férfi")</f>
        <v>Férfi</v>
      </c>
      <c r="E724" s="1"/>
      <c r="F724" s="1">
        <f ca="1">IFERROR(__xludf.DUMMYFUNCTION("""COMPUTED_VALUE"""),1972)</f>
        <v>1972</v>
      </c>
      <c r="G724" s="1">
        <f ca="1">IFERROR(__xludf.DUMMYFUNCTION("""COMPUTED_VALUE"""),4653)</f>
        <v>4653</v>
      </c>
      <c r="H724" s="1" t="str">
        <f ca="1">IFERROR(__xludf.DUMMYFUNCTION("""COMPUTED_VALUE"""),"MTLSZ004653A21")</f>
        <v>MTLSZ004653A21</v>
      </c>
      <c r="I724" s="2">
        <f ca="1">IFERROR(__xludf.DUMMYFUNCTION("""COMPUTED_VALUE"""),44382)</f>
        <v>44382</v>
      </c>
      <c r="J724" s="2">
        <f ca="1">IFERROR(__xludf.DUMMYFUNCTION("""COMPUTED_VALUE"""),44746)</f>
        <v>44746</v>
      </c>
    </row>
    <row r="725" spans="1:10" x14ac:dyDescent="0.25">
      <c r="A725" s="1" t="str">
        <f ca="1">IFERROR(__xludf.DUMMYFUNCTION("""COMPUTED_VALUE"""),"Formás SE")</f>
        <v>Formás SE</v>
      </c>
      <c r="B725" s="1" t="str">
        <f ca="1">IFERROR(__xludf.DUMMYFUNCTION("""COMPUTED_VALUE"""),"Haász Ferenc")</f>
        <v>Haász Ferenc</v>
      </c>
      <c r="C725" s="1"/>
      <c r="D725" s="1" t="str">
        <f ca="1">IFERROR(__xludf.DUMMYFUNCTION("""COMPUTED_VALUE"""),"Férfi")</f>
        <v>Férfi</v>
      </c>
      <c r="E725" s="1"/>
      <c r="F725" s="1">
        <f ca="1">IFERROR(__xludf.DUMMYFUNCTION("""COMPUTED_VALUE"""),1969)</f>
        <v>1969</v>
      </c>
      <c r="G725" s="1">
        <f ca="1">IFERROR(__xludf.DUMMYFUNCTION("""COMPUTED_VALUE"""),4650)</f>
        <v>4650</v>
      </c>
      <c r="H725" s="1" t="str">
        <f ca="1">IFERROR(__xludf.DUMMYFUNCTION("""COMPUTED_VALUE"""),"MTLSZ004650A21")</f>
        <v>MTLSZ004650A21</v>
      </c>
      <c r="I725" s="2">
        <f ca="1">IFERROR(__xludf.DUMMYFUNCTION("""COMPUTED_VALUE"""),44381)</f>
        <v>44381</v>
      </c>
      <c r="J725" s="2">
        <f ca="1">IFERROR(__xludf.DUMMYFUNCTION("""COMPUTED_VALUE"""),44745)</f>
        <v>44745</v>
      </c>
    </row>
    <row r="726" spans="1:10" x14ac:dyDescent="0.25">
      <c r="A726" s="1" t="str">
        <f ca="1">IFERROR(__xludf.DUMMYFUNCTION("""COMPUTED_VALUE"""),"Danubius KSE")</f>
        <v>Danubius KSE</v>
      </c>
      <c r="B726" s="1" t="str">
        <f ca="1">IFERROR(__xludf.DUMMYFUNCTION("""COMPUTED_VALUE"""),"Reinitzné Huszár Anikó")</f>
        <v>Reinitzné Huszár Anikó</v>
      </c>
      <c r="C726" s="1"/>
      <c r="D726" s="1" t="str">
        <f ca="1">IFERROR(__xludf.DUMMYFUNCTION("""COMPUTED_VALUE"""),"Nő")</f>
        <v>Nő</v>
      </c>
      <c r="E726" s="1"/>
      <c r="F726" s="1">
        <f ca="1">IFERROR(__xludf.DUMMYFUNCTION("""COMPUTED_VALUE"""),1989)</f>
        <v>1989</v>
      </c>
      <c r="G726" s="1">
        <f ca="1">IFERROR(__xludf.DUMMYFUNCTION("""COMPUTED_VALUE"""),4649)</f>
        <v>4649</v>
      </c>
      <c r="H726" s="1" t="str">
        <f ca="1">IFERROR(__xludf.DUMMYFUNCTION("""COMPUTED_VALUE"""),"MTLSZ004649A21")</f>
        <v>MTLSZ004649A21</v>
      </c>
      <c r="I726" s="2">
        <f ca="1">IFERROR(__xludf.DUMMYFUNCTION("""COMPUTED_VALUE"""),44376)</f>
        <v>44376</v>
      </c>
      <c r="J726" s="2">
        <f ca="1">IFERROR(__xludf.DUMMYFUNCTION("""COMPUTED_VALUE"""),44740)</f>
        <v>44740</v>
      </c>
    </row>
    <row r="727" spans="1:10" x14ac:dyDescent="0.25">
      <c r="A727" s="1" t="str">
        <f ca="1">IFERROR(__xludf.DUMMYFUNCTION("""COMPUTED_VALUE"""),"Dunakanyar TSE")</f>
        <v>Dunakanyar TSE</v>
      </c>
      <c r="B727" s="1" t="str">
        <f ca="1">IFERROR(__xludf.DUMMYFUNCTION("""COMPUTED_VALUE"""),"Trinh Viet Linh")</f>
        <v>Trinh Viet Linh</v>
      </c>
      <c r="C727" s="1"/>
      <c r="D727" s="1" t="str">
        <f ca="1">IFERROR(__xludf.DUMMYFUNCTION("""COMPUTED_VALUE"""),"Férfi")</f>
        <v>Férfi</v>
      </c>
      <c r="E727" s="1"/>
      <c r="F727" s="1">
        <f ca="1">IFERROR(__xludf.DUMMYFUNCTION("""COMPUTED_VALUE"""),1990)</f>
        <v>1990</v>
      </c>
      <c r="G727" s="1">
        <f ca="1">IFERROR(__xludf.DUMMYFUNCTION("""COMPUTED_VALUE"""),4646)</f>
        <v>4646</v>
      </c>
      <c r="H727" s="1" t="str">
        <f ca="1">IFERROR(__xludf.DUMMYFUNCTION("""COMPUTED_VALUE"""),"MTLSZ004646A21")</f>
        <v>MTLSZ004646A21</v>
      </c>
      <c r="I727" s="2">
        <f ca="1">IFERROR(__xludf.DUMMYFUNCTION("""COMPUTED_VALUE"""),44369)</f>
        <v>44369</v>
      </c>
      <c r="J727" s="2">
        <f ca="1">IFERROR(__xludf.DUMMYFUNCTION("""COMPUTED_VALUE"""),44733)</f>
        <v>44733</v>
      </c>
    </row>
    <row r="728" spans="1:10" x14ac:dyDescent="0.25">
      <c r="A728" s="1" t="str">
        <f ca="1">IFERROR(__xludf.DUMMYFUNCTION("""COMPUTED_VALUE"""),"Dunakanyar TSE")</f>
        <v>Dunakanyar TSE</v>
      </c>
      <c r="B728" s="1"/>
      <c r="C728" s="1"/>
      <c r="D728" s="1"/>
      <c r="E728" s="1"/>
      <c r="F728" s="1">
        <f ca="1">IFERROR(__xludf.DUMMYFUNCTION("""COMPUTED_VALUE"""),1899)</f>
        <v>1899</v>
      </c>
      <c r="G728" s="1">
        <f ca="1">IFERROR(__xludf.DUMMYFUNCTION("""COMPUTED_VALUE"""),4647)</f>
        <v>4647</v>
      </c>
      <c r="H728" s="1"/>
      <c r="I728" s="2">
        <f ca="1">IFERROR(__xludf.DUMMYFUNCTION("""COMPUTED_VALUE"""),44369)</f>
        <v>44369</v>
      </c>
      <c r="J728" s="2">
        <f ca="1">IFERROR(__xludf.DUMMYFUNCTION("""COMPUTED_VALUE"""),44733)</f>
        <v>44733</v>
      </c>
    </row>
    <row r="729" spans="1:10" x14ac:dyDescent="0.25">
      <c r="A729" s="1" t="str">
        <f ca="1">IFERROR(__xludf.DUMMYFUNCTION("""COMPUTED_VALUE"""),"Érdi VSE")</f>
        <v>Érdi VSE</v>
      </c>
      <c r="B729" s="1" t="str">
        <f ca="1">IFERROR(__xludf.DUMMYFUNCTION("""COMPUTED_VALUE"""),"Szenecsár Milán")</f>
        <v>Szenecsár Milán</v>
      </c>
      <c r="C729" s="1"/>
      <c r="D729" s="1" t="str">
        <f ca="1">IFERROR(__xludf.DUMMYFUNCTION("""COMPUTED_VALUE"""),"Férfi")</f>
        <v>Férfi</v>
      </c>
      <c r="E729" s="1"/>
      <c r="F729" s="1">
        <f ca="1">IFERROR(__xludf.DUMMYFUNCTION("""COMPUTED_VALUE"""),2011)</f>
        <v>2011</v>
      </c>
      <c r="G729" s="1">
        <f ca="1">IFERROR(__xludf.DUMMYFUNCTION("""COMPUTED_VALUE"""),4648)</f>
        <v>4648</v>
      </c>
      <c r="H729" s="1" t="str">
        <f ca="1">IFERROR(__xludf.DUMMYFUNCTION("""COMPUTED_VALUE"""),"MTLSZ004648A21")</f>
        <v>MTLSZ004648A21</v>
      </c>
      <c r="I729" s="2">
        <f ca="1">IFERROR(__xludf.DUMMYFUNCTION("""COMPUTED_VALUE"""),44369)</f>
        <v>44369</v>
      </c>
      <c r="J729" s="2">
        <f ca="1">IFERROR(__xludf.DUMMYFUNCTION("""COMPUTED_VALUE"""),44733)</f>
        <v>44733</v>
      </c>
    </row>
    <row r="730" spans="1:10" x14ac:dyDescent="0.25">
      <c r="A730" s="1" t="str">
        <f ca="1">IFERROR(__xludf.DUMMYFUNCTION("""COMPUTED_VALUE"""),"Formás SE")</f>
        <v>Formás SE</v>
      </c>
      <c r="B730" s="1" t="str">
        <f ca="1">IFERROR(__xludf.DUMMYFUNCTION("""COMPUTED_VALUE"""),"Szenes Gábor")</f>
        <v>Szenes Gábor</v>
      </c>
      <c r="C730" s="1"/>
      <c r="D730" s="1" t="str">
        <f ca="1">IFERROR(__xludf.DUMMYFUNCTION("""COMPUTED_VALUE"""),"Férfi")</f>
        <v>Férfi</v>
      </c>
      <c r="E730" s="1"/>
      <c r="F730" s="1">
        <f ca="1">IFERROR(__xludf.DUMMYFUNCTION("""COMPUTED_VALUE"""),1971)</f>
        <v>1971</v>
      </c>
      <c r="G730" s="1">
        <f ca="1">IFERROR(__xludf.DUMMYFUNCTION("""COMPUTED_VALUE"""),1516)</f>
        <v>1516</v>
      </c>
      <c r="H730" s="1" t="str">
        <f ca="1">IFERROR(__xludf.DUMMYFUNCTION("""COMPUTED_VALUE"""),"MTLSZ001516A21")</f>
        <v>MTLSZ001516A21</v>
      </c>
      <c r="I730" s="2">
        <f ca="1">IFERROR(__xludf.DUMMYFUNCTION("""COMPUTED_VALUE"""),44369)</f>
        <v>44369</v>
      </c>
      <c r="J730" s="2">
        <f ca="1">IFERROR(__xludf.DUMMYFUNCTION("""COMPUTED_VALUE"""),44733)</f>
        <v>44733</v>
      </c>
    </row>
    <row r="731" spans="1:10" x14ac:dyDescent="0.25">
      <c r="A731" s="1" t="str">
        <f ca="1">IFERROR(__xludf.DUMMYFUNCTION("""COMPUTED_VALUE"""),"Életmód SE")</f>
        <v>Életmód SE</v>
      </c>
      <c r="B731" s="1" t="str">
        <f ca="1">IFERROR(__xludf.DUMMYFUNCTION("""COMPUTED_VALUE"""),"Béday Barbara")</f>
        <v>Béday Barbara</v>
      </c>
      <c r="C731" s="1"/>
      <c r="D731" s="1" t="str">
        <f ca="1">IFERROR(__xludf.DUMMYFUNCTION("""COMPUTED_VALUE"""),"Nő")</f>
        <v>Nő</v>
      </c>
      <c r="E731" s="1"/>
      <c r="F731" s="1">
        <f ca="1">IFERROR(__xludf.DUMMYFUNCTION("""COMPUTED_VALUE"""),1998)</f>
        <v>1998</v>
      </c>
      <c r="G731" s="1">
        <f ca="1">IFERROR(__xludf.DUMMYFUNCTION("""COMPUTED_VALUE"""),4645)</f>
        <v>4645</v>
      </c>
      <c r="H731" s="1" t="str">
        <f ca="1">IFERROR(__xludf.DUMMYFUNCTION("""COMPUTED_VALUE"""),"MTLSZ004645A21")</f>
        <v>MTLSZ004645A21</v>
      </c>
      <c r="I731" s="2">
        <f ca="1">IFERROR(__xludf.DUMMYFUNCTION("""COMPUTED_VALUE"""),44365)</f>
        <v>44365</v>
      </c>
      <c r="J731" s="2">
        <f ca="1">IFERROR(__xludf.DUMMYFUNCTION("""COMPUTED_VALUE"""),44729)</f>
        <v>44729</v>
      </c>
    </row>
    <row r="732" spans="1:10" x14ac:dyDescent="0.25">
      <c r="A732" s="1" t="str">
        <f ca="1">IFERROR(__xludf.DUMMYFUNCTION("""COMPUTED_VALUE"""),"Életmód SE")</f>
        <v>Életmód SE</v>
      </c>
      <c r="B732" s="1" t="str">
        <f ca="1">IFERROR(__xludf.DUMMYFUNCTION("""COMPUTED_VALUE"""),"Miklós Zoltánné")</f>
        <v>Miklós Zoltánné</v>
      </c>
      <c r="C732" s="1"/>
      <c r="D732" s="1" t="str">
        <f ca="1">IFERROR(__xludf.DUMMYFUNCTION("""COMPUTED_VALUE"""),"Nő")</f>
        <v>Nő</v>
      </c>
      <c r="E732" s="1"/>
      <c r="F732" s="1">
        <f ca="1">IFERROR(__xludf.DUMMYFUNCTION("""COMPUTED_VALUE"""),1969)</f>
        <v>1969</v>
      </c>
      <c r="G732" s="1">
        <f ca="1">IFERROR(__xludf.DUMMYFUNCTION("""COMPUTED_VALUE"""),4643)</f>
        <v>4643</v>
      </c>
      <c r="H732" s="1" t="str">
        <f ca="1">IFERROR(__xludf.DUMMYFUNCTION("""COMPUTED_VALUE"""),"MTLSZ004643A21")</f>
        <v>MTLSZ004643A21</v>
      </c>
      <c r="I732" s="2">
        <f ca="1">IFERROR(__xludf.DUMMYFUNCTION("""COMPUTED_VALUE"""),44365)</f>
        <v>44365</v>
      </c>
      <c r="J732" s="2">
        <f ca="1">IFERROR(__xludf.DUMMYFUNCTION("""COMPUTED_VALUE"""),44729)</f>
        <v>44729</v>
      </c>
    </row>
    <row r="733" spans="1:10" x14ac:dyDescent="0.25">
      <c r="A733" s="1" t="str">
        <f ca="1">IFERROR(__xludf.DUMMYFUNCTION("""COMPUTED_VALUE"""),"Életmód SE")</f>
        <v>Életmód SE</v>
      </c>
      <c r="B733" s="1" t="str">
        <f ca="1">IFERROR(__xludf.DUMMYFUNCTION("""COMPUTED_VALUE"""),"Ujvári Zoltán")</f>
        <v>Ujvári Zoltán</v>
      </c>
      <c r="C733" s="1"/>
      <c r="D733" s="1" t="str">
        <f ca="1">IFERROR(__xludf.DUMMYFUNCTION("""COMPUTED_VALUE"""),"Férfi")</f>
        <v>Férfi</v>
      </c>
      <c r="E733" s="1"/>
      <c r="F733" s="1">
        <f ca="1">IFERROR(__xludf.DUMMYFUNCTION("""COMPUTED_VALUE"""),1964)</f>
        <v>1964</v>
      </c>
      <c r="G733" s="1">
        <f ca="1">IFERROR(__xludf.DUMMYFUNCTION("""COMPUTED_VALUE"""),4644)</f>
        <v>4644</v>
      </c>
      <c r="H733" s="1" t="str">
        <f ca="1">IFERROR(__xludf.DUMMYFUNCTION("""COMPUTED_VALUE"""),"MTLSZ004644A21")</f>
        <v>MTLSZ004644A21</v>
      </c>
      <c r="I733" s="2">
        <f ca="1">IFERROR(__xludf.DUMMYFUNCTION("""COMPUTED_VALUE"""),44365)</f>
        <v>44365</v>
      </c>
      <c r="J733" s="2">
        <f ca="1">IFERROR(__xludf.DUMMYFUNCTION("""COMPUTED_VALUE"""),44729)</f>
        <v>44729</v>
      </c>
    </row>
    <row r="734" spans="1:10" x14ac:dyDescent="0.25">
      <c r="A734" s="1" t="str">
        <f ca="1">IFERROR(__xludf.DUMMYFUNCTION("""COMPUTED_VALUE"""),"FBSE")</f>
        <v>FBSE</v>
      </c>
      <c r="B734" s="1" t="str">
        <f ca="1">IFERROR(__xludf.DUMMYFUNCTION("""COMPUTED_VALUE"""),"Csillik Enikő")</f>
        <v>Csillik Enikő</v>
      </c>
      <c r="C734" s="1"/>
      <c r="D734" s="1" t="str">
        <f ca="1">IFERROR(__xludf.DUMMYFUNCTION("""COMPUTED_VALUE"""),"Nő")</f>
        <v>Nő</v>
      </c>
      <c r="E734" s="1"/>
      <c r="F734" s="1">
        <f ca="1">IFERROR(__xludf.DUMMYFUNCTION("""COMPUTED_VALUE"""),1976)</f>
        <v>1976</v>
      </c>
      <c r="G734" s="1">
        <f ca="1">IFERROR(__xludf.DUMMYFUNCTION("""COMPUTED_VALUE"""),4229)</f>
        <v>4229</v>
      </c>
      <c r="H734" s="1" t="str">
        <f ca="1">IFERROR(__xludf.DUMMYFUNCTION("""COMPUTED_VALUE"""),"MTLSZ004229A21")</f>
        <v>MTLSZ004229A21</v>
      </c>
      <c r="I734" s="2">
        <f ca="1">IFERROR(__xludf.DUMMYFUNCTION("""COMPUTED_VALUE"""),44365)</f>
        <v>44365</v>
      </c>
      <c r="J734" s="2">
        <f ca="1">IFERROR(__xludf.DUMMYFUNCTION("""COMPUTED_VALUE"""),44729)</f>
        <v>44729</v>
      </c>
    </row>
    <row r="735" spans="1:10" x14ac:dyDescent="0.25">
      <c r="A735" s="1" t="str">
        <f ca="1">IFERROR(__xludf.DUMMYFUNCTION("""COMPUTED_VALUE"""),"FBSE")</f>
        <v>FBSE</v>
      </c>
      <c r="B735" s="1" t="str">
        <f ca="1">IFERROR(__xludf.DUMMYFUNCTION("""COMPUTED_VALUE"""),"Kustán Ferenc")</f>
        <v>Kustán Ferenc</v>
      </c>
      <c r="C735" s="1"/>
      <c r="D735" s="1" t="str">
        <f ca="1">IFERROR(__xludf.DUMMYFUNCTION("""COMPUTED_VALUE"""),"Férfi")</f>
        <v>Férfi</v>
      </c>
      <c r="E735" s="1"/>
      <c r="F735" s="1">
        <f ca="1">IFERROR(__xludf.DUMMYFUNCTION("""COMPUTED_VALUE"""),1971)</f>
        <v>1971</v>
      </c>
      <c r="G735" s="1">
        <f ca="1">IFERROR(__xludf.DUMMYFUNCTION("""COMPUTED_VALUE"""),4642)</f>
        <v>4642</v>
      </c>
      <c r="H735" s="1" t="str">
        <f ca="1">IFERROR(__xludf.DUMMYFUNCTION("""COMPUTED_VALUE"""),"MTLSZ004642A21")</f>
        <v>MTLSZ004642A21</v>
      </c>
      <c r="I735" s="2">
        <f ca="1">IFERROR(__xludf.DUMMYFUNCTION("""COMPUTED_VALUE"""),44365)</f>
        <v>44365</v>
      </c>
      <c r="J735" s="2">
        <f ca="1">IFERROR(__xludf.DUMMYFUNCTION("""COMPUTED_VALUE"""),44729)</f>
        <v>44729</v>
      </c>
    </row>
    <row r="736" spans="1:10" x14ac:dyDescent="0.25">
      <c r="A736" s="1" t="str">
        <f ca="1">IFERROR(__xludf.DUMMYFUNCTION("""COMPUTED_VALUE"""),"FBSE")</f>
        <v>FBSE</v>
      </c>
      <c r="B736" s="1" t="str">
        <f ca="1">IFERROR(__xludf.DUMMYFUNCTION("""COMPUTED_VALUE"""),"Simon Jenő")</f>
        <v>Simon Jenő</v>
      </c>
      <c r="C736" s="1"/>
      <c r="D736" s="1" t="str">
        <f ca="1">IFERROR(__xludf.DUMMYFUNCTION("""COMPUTED_VALUE"""),"Férfi")</f>
        <v>Férfi</v>
      </c>
      <c r="E736" s="1"/>
      <c r="F736" s="1">
        <f ca="1">IFERROR(__xludf.DUMMYFUNCTION("""COMPUTED_VALUE"""),1976)</f>
        <v>1976</v>
      </c>
      <c r="G736" s="1">
        <f ca="1">IFERROR(__xludf.DUMMYFUNCTION("""COMPUTED_VALUE"""),4641)</f>
        <v>4641</v>
      </c>
      <c r="H736" s="1" t="str">
        <f ca="1">IFERROR(__xludf.DUMMYFUNCTION("""COMPUTED_VALUE"""),"MTLSZ004641A21")</f>
        <v>MTLSZ004641A21</v>
      </c>
      <c r="I736" s="2">
        <f ca="1">IFERROR(__xludf.DUMMYFUNCTION("""COMPUTED_VALUE"""),44365)</f>
        <v>44365</v>
      </c>
      <c r="J736" s="2">
        <f ca="1">IFERROR(__xludf.DUMMYFUNCTION("""COMPUTED_VALUE"""),44729)</f>
        <v>44729</v>
      </c>
    </row>
    <row r="737" spans="1:10" x14ac:dyDescent="0.25">
      <c r="A737" s="1" t="str">
        <f ca="1">IFERROR(__xludf.DUMMYFUNCTION("""COMPUTED_VALUE"""),"FBSE")</f>
        <v>FBSE</v>
      </c>
      <c r="B737" s="1" t="str">
        <f ca="1">IFERROR(__xludf.DUMMYFUNCTION("""COMPUTED_VALUE"""),"Szolovi Róbert")</f>
        <v>Szolovi Róbert</v>
      </c>
      <c r="C737" s="1"/>
      <c r="D737" s="1" t="str">
        <f ca="1">IFERROR(__xludf.DUMMYFUNCTION("""COMPUTED_VALUE"""),"Férfi")</f>
        <v>Férfi</v>
      </c>
      <c r="E737" s="1"/>
      <c r="F737" s="1">
        <f ca="1">IFERROR(__xludf.DUMMYFUNCTION("""COMPUTED_VALUE"""),1972)</f>
        <v>1972</v>
      </c>
      <c r="G737" s="1">
        <f ca="1">IFERROR(__xludf.DUMMYFUNCTION("""COMPUTED_VALUE"""),4228)</f>
        <v>4228</v>
      </c>
      <c r="H737" s="1" t="str">
        <f ca="1">IFERROR(__xludf.DUMMYFUNCTION("""COMPUTED_VALUE"""),"MTLSZ004228A21")</f>
        <v>MTLSZ004228A21</v>
      </c>
      <c r="I737" s="2">
        <f ca="1">IFERROR(__xludf.DUMMYFUNCTION("""COMPUTED_VALUE"""),44365)</f>
        <v>44365</v>
      </c>
      <c r="J737" s="2">
        <f ca="1">IFERROR(__xludf.DUMMYFUNCTION("""COMPUTED_VALUE"""),44729)</f>
        <v>44729</v>
      </c>
    </row>
    <row r="738" spans="1:10" x14ac:dyDescent="0.25">
      <c r="A738" s="1" t="str">
        <f ca="1">IFERROR(__xludf.DUMMYFUNCTION("""COMPUTED_VALUE"""),"Honvéd Auróra SE")</f>
        <v>Honvéd Auróra SE</v>
      </c>
      <c r="B738" s="1" t="str">
        <f ca="1">IFERROR(__xludf.DUMMYFUNCTION("""COMPUTED_VALUE"""),"Varga Lajos")</f>
        <v>Varga Lajos</v>
      </c>
      <c r="C738" s="1"/>
      <c r="D738" s="1" t="str">
        <f ca="1">IFERROR(__xludf.DUMMYFUNCTION("""COMPUTED_VALUE"""),"Férfi")</f>
        <v>Férfi</v>
      </c>
      <c r="E738" s="1"/>
      <c r="F738" s="1">
        <f ca="1">IFERROR(__xludf.DUMMYFUNCTION("""COMPUTED_VALUE"""),1962)</f>
        <v>1962</v>
      </c>
      <c r="G738" s="1">
        <f ca="1">IFERROR(__xludf.DUMMYFUNCTION("""COMPUTED_VALUE"""),1091)</f>
        <v>1091</v>
      </c>
      <c r="H738" s="1" t="str">
        <f ca="1">IFERROR(__xludf.DUMMYFUNCTION("""COMPUTED_VALUE"""),"MTLSZ001091A21")</f>
        <v>MTLSZ001091A21</v>
      </c>
      <c r="I738" s="2">
        <f ca="1">IFERROR(__xludf.DUMMYFUNCTION("""COMPUTED_VALUE"""),44361)</f>
        <v>44361</v>
      </c>
      <c r="J738" s="2">
        <f ca="1">IFERROR(__xludf.DUMMYFUNCTION("""COMPUTED_VALUE"""),44725)</f>
        <v>44725</v>
      </c>
    </row>
    <row r="739" spans="1:10" x14ac:dyDescent="0.25">
      <c r="A739" s="1" t="str">
        <f ca="1">IFERROR(__xludf.DUMMYFUNCTION("""COMPUTED_VALUE"""),"Ludovika SE")</f>
        <v>Ludovika SE</v>
      </c>
      <c r="B739" s="1" t="str">
        <f ca="1">IFERROR(__xludf.DUMMYFUNCTION("""COMPUTED_VALUE"""),"Uhljar Pál Róbert")</f>
        <v>Uhljar Pál Róbert</v>
      </c>
      <c r="C739" s="1"/>
      <c r="D739" s="1" t="str">
        <f ca="1">IFERROR(__xludf.DUMMYFUNCTION("""COMPUTED_VALUE"""),"Férfi")</f>
        <v>Férfi</v>
      </c>
      <c r="E739" s="1"/>
      <c r="F739" s="1">
        <f ca="1">IFERROR(__xludf.DUMMYFUNCTION("""COMPUTED_VALUE"""),1974)</f>
        <v>1974</v>
      </c>
      <c r="G739" s="1">
        <f ca="1">IFERROR(__xludf.DUMMYFUNCTION("""COMPUTED_VALUE"""),4640)</f>
        <v>4640</v>
      </c>
      <c r="H739" s="1" t="str">
        <f ca="1">IFERROR(__xludf.DUMMYFUNCTION("""COMPUTED_VALUE"""),"MTLSZ004640A21")</f>
        <v>MTLSZ004640A21</v>
      </c>
      <c r="I739" s="2">
        <f ca="1">IFERROR(__xludf.DUMMYFUNCTION("""COMPUTED_VALUE"""),44361)</f>
        <v>44361</v>
      </c>
      <c r="J739" s="2">
        <f ca="1">IFERROR(__xludf.DUMMYFUNCTION("""COMPUTED_VALUE"""),44725)</f>
        <v>44725</v>
      </c>
    </row>
    <row r="740" spans="1:10" x14ac:dyDescent="0.25">
      <c r="A740" s="1" t="str">
        <f ca="1">IFERROR(__xludf.DUMMYFUNCTION("""COMPUTED_VALUE"""),"Danubius KSE")</f>
        <v>Danubius KSE</v>
      </c>
      <c r="B740" s="1" t="str">
        <f ca="1">IFERROR(__xludf.DUMMYFUNCTION("""COMPUTED_VALUE"""),"Keserű Mónika")</f>
        <v>Keserű Mónika</v>
      </c>
      <c r="C740" s="1"/>
      <c r="D740" s="1" t="str">
        <f ca="1">IFERROR(__xludf.DUMMYFUNCTION("""COMPUTED_VALUE"""),"Nő")</f>
        <v>Nő</v>
      </c>
      <c r="E740" s="1"/>
      <c r="F740" s="1">
        <f ca="1">IFERROR(__xludf.DUMMYFUNCTION("""COMPUTED_VALUE"""),1974)</f>
        <v>1974</v>
      </c>
      <c r="G740" s="1">
        <f ca="1">IFERROR(__xludf.DUMMYFUNCTION("""COMPUTED_VALUE"""),4638)</f>
        <v>4638</v>
      </c>
      <c r="H740" s="1" t="str">
        <f ca="1">IFERROR(__xludf.DUMMYFUNCTION("""COMPUTED_VALUE"""),"MTLSZ004638A21")</f>
        <v>MTLSZ004638A21</v>
      </c>
      <c r="I740" s="2">
        <f ca="1">IFERROR(__xludf.DUMMYFUNCTION("""COMPUTED_VALUE"""),44357)</f>
        <v>44357</v>
      </c>
      <c r="J740" s="2">
        <f ca="1">IFERROR(__xludf.DUMMYFUNCTION("""COMPUTED_VALUE"""),44721)</f>
        <v>44721</v>
      </c>
    </row>
    <row r="741" spans="1:10" x14ac:dyDescent="0.25">
      <c r="A741" s="1" t="str">
        <f ca="1">IFERROR(__xludf.DUMMYFUNCTION("""COMPUTED_VALUE"""),"Danubius KSE")</f>
        <v>Danubius KSE</v>
      </c>
      <c r="B741" s="1" t="str">
        <f ca="1">IFERROR(__xludf.DUMMYFUNCTION("""COMPUTED_VALUE"""),"Kovács Emese")</f>
        <v>Kovács Emese</v>
      </c>
      <c r="C741" s="1"/>
      <c r="D741" s="1" t="str">
        <f ca="1">IFERROR(__xludf.DUMMYFUNCTION("""COMPUTED_VALUE"""),"Nő")</f>
        <v>Nő</v>
      </c>
      <c r="E741" s="1"/>
      <c r="F741" s="1">
        <f ca="1">IFERROR(__xludf.DUMMYFUNCTION("""COMPUTED_VALUE"""),1988)</f>
        <v>1988</v>
      </c>
      <c r="G741" s="1">
        <f ca="1">IFERROR(__xludf.DUMMYFUNCTION("""COMPUTED_VALUE"""),4639)</f>
        <v>4639</v>
      </c>
      <c r="H741" s="1" t="str">
        <f ca="1">IFERROR(__xludf.DUMMYFUNCTION("""COMPUTED_VALUE"""),"MTLSZ004639A21")</f>
        <v>MTLSZ004639A21</v>
      </c>
      <c r="I741" s="2">
        <f ca="1">IFERROR(__xludf.DUMMYFUNCTION("""COMPUTED_VALUE"""),44357)</f>
        <v>44357</v>
      </c>
      <c r="J741" s="2">
        <f ca="1">IFERROR(__xludf.DUMMYFUNCTION("""COMPUTED_VALUE"""),44721)</f>
        <v>44721</v>
      </c>
    </row>
    <row r="742" spans="1:10" x14ac:dyDescent="0.25">
      <c r="A742" s="1" t="str">
        <f ca="1">IFERROR(__xludf.DUMMYFUNCTION("""COMPUTED_VALUE"""),"Danubius KSE")</f>
        <v>Danubius KSE</v>
      </c>
      <c r="B742" s="1" t="str">
        <f ca="1">IFERROR(__xludf.DUMMYFUNCTION("""COMPUTED_VALUE"""),"Tóth Tamás")</f>
        <v>Tóth Tamás</v>
      </c>
      <c r="C742" s="1"/>
      <c r="D742" s="1" t="str">
        <f ca="1">IFERROR(__xludf.DUMMYFUNCTION("""COMPUTED_VALUE"""),"Férfi")</f>
        <v>Férfi</v>
      </c>
      <c r="E742" s="1"/>
      <c r="F742" s="1">
        <f ca="1">IFERROR(__xludf.DUMMYFUNCTION("""COMPUTED_VALUE"""),1975)</f>
        <v>1975</v>
      </c>
      <c r="G742" s="1">
        <f ca="1">IFERROR(__xludf.DUMMYFUNCTION("""COMPUTED_VALUE"""),2259)</f>
        <v>2259</v>
      </c>
      <c r="H742" s="1" t="str">
        <f ca="1">IFERROR(__xludf.DUMMYFUNCTION("""COMPUTED_VALUE"""),"MTLSZ002259A21")</f>
        <v>MTLSZ002259A21</v>
      </c>
      <c r="I742" s="2">
        <f ca="1">IFERROR(__xludf.DUMMYFUNCTION("""COMPUTED_VALUE"""),44357)</f>
        <v>44357</v>
      </c>
      <c r="J742" s="2">
        <f ca="1">IFERROR(__xludf.DUMMYFUNCTION("""COMPUTED_VALUE"""),44721)</f>
        <v>44721</v>
      </c>
    </row>
    <row r="743" spans="1:10" x14ac:dyDescent="0.25">
      <c r="A743" s="1" t="str">
        <f ca="1">IFERROR(__xludf.DUMMYFUNCTION("""COMPUTED_VALUE"""),"Tisza TSE")</f>
        <v>Tisza TSE</v>
      </c>
      <c r="B743" s="1" t="str">
        <f ca="1">IFERROR(__xludf.DUMMYFUNCTION("""COMPUTED_VALUE"""),"Zahorszki Adrienn")</f>
        <v>Zahorszki Adrienn</v>
      </c>
      <c r="C743" s="1"/>
      <c r="D743" s="1" t="str">
        <f ca="1">IFERROR(__xludf.DUMMYFUNCTION("""COMPUTED_VALUE"""),"Nő")</f>
        <v>Nő</v>
      </c>
      <c r="E743" s="1"/>
      <c r="F743" s="1">
        <f ca="1">IFERROR(__xludf.DUMMYFUNCTION("""COMPUTED_VALUE"""),1987)</f>
        <v>1987</v>
      </c>
      <c r="G743" s="1">
        <f ca="1">IFERROR(__xludf.DUMMYFUNCTION("""COMPUTED_VALUE"""),4637)</f>
        <v>4637</v>
      </c>
      <c r="H743" s="1" t="str">
        <f ca="1">IFERROR(__xludf.DUMMYFUNCTION("""COMPUTED_VALUE"""),"MTLSZ004637A21")</f>
        <v>MTLSZ004637A21</v>
      </c>
      <c r="I743" s="2">
        <f ca="1">IFERROR(__xludf.DUMMYFUNCTION("""COMPUTED_VALUE"""),44357)</f>
        <v>44357</v>
      </c>
      <c r="J743" s="2">
        <f ca="1">IFERROR(__xludf.DUMMYFUNCTION("""COMPUTED_VALUE"""),44721)</f>
        <v>44721</v>
      </c>
    </row>
    <row r="744" spans="1:10" x14ac:dyDescent="0.25">
      <c r="A744" s="1" t="str">
        <f ca="1">IFERROR(__xludf.DUMMYFUNCTION("""COMPUTED_VALUE"""),"VSD")</f>
        <v>VSD</v>
      </c>
      <c r="B744" s="1" t="str">
        <f ca="1">IFERROR(__xludf.DUMMYFUNCTION("""COMPUTED_VALUE"""),"Mátyási László")</f>
        <v>Mátyási László</v>
      </c>
      <c r="C744" s="1"/>
      <c r="D744" s="1" t="str">
        <f ca="1">IFERROR(__xludf.DUMMYFUNCTION("""COMPUTED_VALUE"""),"Férfi")</f>
        <v>Férfi</v>
      </c>
      <c r="E744" s="1"/>
      <c r="F744" s="1">
        <f ca="1">IFERROR(__xludf.DUMMYFUNCTION("""COMPUTED_VALUE"""),1969)</f>
        <v>1969</v>
      </c>
      <c r="G744" s="1">
        <f ca="1">IFERROR(__xludf.DUMMYFUNCTION("""COMPUTED_VALUE"""),4636)</f>
        <v>4636</v>
      </c>
      <c r="H744" s="1" t="str">
        <f ca="1">IFERROR(__xludf.DUMMYFUNCTION("""COMPUTED_VALUE"""),"MTLSZ004636A21")</f>
        <v>MTLSZ004636A21</v>
      </c>
      <c r="I744" s="2">
        <f ca="1">IFERROR(__xludf.DUMMYFUNCTION("""COMPUTED_VALUE"""),44357)</f>
        <v>44357</v>
      </c>
      <c r="J744" s="2">
        <f ca="1">IFERROR(__xludf.DUMMYFUNCTION("""COMPUTED_VALUE"""),44721)</f>
        <v>44721</v>
      </c>
    </row>
    <row r="745" spans="1:10" x14ac:dyDescent="0.25">
      <c r="A745" s="1" t="str">
        <f ca="1">IFERROR(__xludf.DUMMYFUNCTION("""COMPUTED_VALUE"""),"Hajdú TSE")</f>
        <v>Hajdú TSE</v>
      </c>
      <c r="B745" s="1" t="str">
        <f ca="1">IFERROR(__xludf.DUMMYFUNCTION("""COMPUTED_VALUE"""),"Pásztor Imre")</f>
        <v>Pásztor Imre</v>
      </c>
      <c r="C745" s="1"/>
      <c r="D745" s="1" t="str">
        <f ca="1">IFERROR(__xludf.DUMMYFUNCTION("""COMPUTED_VALUE"""),"Férfi")</f>
        <v>Férfi</v>
      </c>
      <c r="E745" s="1"/>
      <c r="F745" s="1">
        <f ca="1">IFERROR(__xludf.DUMMYFUNCTION("""COMPUTED_VALUE"""),1973)</f>
        <v>1973</v>
      </c>
      <c r="G745" s="1">
        <f ca="1">IFERROR(__xludf.DUMMYFUNCTION("""COMPUTED_VALUE"""),4635)</f>
        <v>4635</v>
      </c>
      <c r="H745" s="1" t="str">
        <f ca="1">IFERROR(__xludf.DUMMYFUNCTION("""COMPUTED_VALUE"""),"MTLSZ004635A21")</f>
        <v>MTLSZ004635A21</v>
      </c>
      <c r="I745" s="2">
        <f ca="1">IFERROR(__xludf.DUMMYFUNCTION("""COMPUTED_VALUE"""),44350)</f>
        <v>44350</v>
      </c>
      <c r="J745" s="2">
        <f ca="1">IFERROR(__xludf.DUMMYFUNCTION("""COMPUTED_VALUE"""),44714)</f>
        <v>44714</v>
      </c>
    </row>
    <row r="746" spans="1:10" x14ac:dyDescent="0.25">
      <c r="A746" s="1" t="str">
        <f ca="1">IFERROR(__xludf.DUMMYFUNCTION("""COMPUTED_VALUE"""),"MAFC")</f>
        <v>MAFC</v>
      </c>
      <c r="B746" s="1" t="str">
        <f ca="1">IFERROR(__xludf.DUMMYFUNCTION("""COMPUTED_VALUE"""),"Foltán Gábor")</f>
        <v>Foltán Gábor</v>
      </c>
      <c r="C746" s="1"/>
      <c r="D746" s="1" t="str">
        <f ca="1">IFERROR(__xludf.DUMMYFUNCTION("""COMPUTED_VALUE"""),"Férfi")</f>
        <v>Férfi</v>
      </c>
      <c r="E746" s="1"/>
      <c r="F746" s="1">
        <f ca="1">IFERROR(__xludf.DUMMYFUNCTION("""COMPUTED_VALUE"""),1971)</f>
        <v>1971</v>
      </c>
      <c r="G746" s="1">
        <f ca="1">IFERROR(__xludf.DUMMYFUNCTION("""COMPUTED_VALUE"""),254)</f>
        <v>254</v>
      </c>
      <c r="H746" s="1" t="str">
        <f ca="1">IFERROR(__xludf.DUMMYFUNCTION("""COMPUTED_VALUE"""),"MTLSZ000254A21")</f>
        <v>MTLSZ000254A21</v>
      </c>
      <c r="I746" s="2">
        <f ca="1">IFERROR(__xludf.DUMMYFUNCTION("""COMPUTED_VALUE"""),44349)</f>
        <v>44349</v>
      </c>
      <c r="J746" s="2">
        <f ca="1">IFERROR(__xludf.DUMMYFUNCTION("""COMPUTED_VALUE"""),44713)</f>
        <v>44713</v>
      </c>
    </row>
    <row r="747" spans="1:10" x14ac:dyDescent="0.25">
      <c r="A747" s="1" t="str">
        <f ca="1">IFERROR(__xludf.DUMMYFUNCTION("""COMPUTED_VALUE"""),"Óvártoll TE")</f>
        <v>Óvártoll TE</v>
      </c>
      <c r="B747" s="1" t="str">
        <f ca="1">IFERROR(__xludf.DUMMYFUNCTION("""COMPUTED_VALUE"""),"Mészáros Csaba")</f>
        <v>Mészáros Csaba</v>
      </c>
      <c r="C747" s="1"/>
      <c r="D747" s="1" t="str">
        <f ca="1">IFERROR(__xludf.DUMMYFUNCTION("""COMPUTED_VALUE"""),"Férfi")</f>
        <v>Férfi</v>
      </c>
      <c r="E747" s="1"/>
      <c r="F747" s="1">
        <f ca="1">IFERROR(__xludf.DUMMYFUNCTION("""COMPUTED_VALUE"""),1967)</f>
        <v>1967</v>
      </c>
      <c r="G747" s="1">
        <f ca="1">IFERROR(__xludf.DUMMYFUNCTION("""COMPUTED_VALUE"""),1581)</f>
        <v>1581</v>
      </c>
      <c r="H747" s="1" t="str">
        <f ca="1">IFERROR(__xludf.DUMMYFUNCTION("""COMPUTED_VALUE"""),"MTLSZ001581A21")</f>
        <v>MTLSZ001581A21</v>
      </c>
      <c r="I747" s="2">
        <f ca="1">IFERROR(__xludf.DUMMYFUNCTION("""COMPUTED_VALUE"""),44348)</f>
        <v>44348</v>
      </c>
      <c r="J747" s="2">
        <f ca="1">IFERROR(__xludf.DUMMYFUNCTION("""COMPUTED_VALUE"""),44712)</f>
        <v>44712</v>
      </c>
    </row>
    <row r="748" spans="1:10" x14ac:dyDescent="0.25">
      <c r="A748" s="1" t="str">
        <f ca="1">IFERROR(__xludf.DUMMYFUNCTION("""COMPUTED_VALUE"""),"Óvártoll TE")</f>
        <v>Óvártoll TE</v>
      </c>
      <c r="B748" s="1" t="str">
        <f ca="1">IFERROR(__xludf.DUMMYFUNCTION("""COMPUTED_VALUE"""),"Tóth Géza")</f>
        <v>Tóth Géza</v>
      </c>
      <c r="C748" s="1"/>
      <c r="D748" s="1" t="str">
        <f ca="1">IFERROR(__xludf.DUMMYFUNCTION("""COMPUTED_VALUE"""),"Férfi")</f>
        <v>Férfi</v>
      </c>
      <c r="E748" s="1"/>
      <c r="F748" s="1">
        <f ca="1">IFERROR(__xludf.DUMMYFUNCTION("""COMPUTED_VALUE"""),1966)</f>
        <v>1966</v>
      </c>
      <c r="G748" s="1">
        <f ca="1">IFERROR(__xludf.DUMMYFUNCTION("""COMPUTED_VALUE"""),1583)</f>
        <v>1583</v>
      </c>
      <c r="H748" s="1" t="str">
        <f ca="1">IFERROR(__xludf.DUMMYFUNCTION("""COMPUTED_VALUE"""),"MTLSZ001583A21")</f>
        <v>MTLSZ001583A21</v>
      </c>
      <c r="I748" s="2">
        <f ca="1">IFERROR(__xludf.DUMMYFUNCTION("""COMPUTED_VALUE"""),44348)</f>
        <v>44348</v>
      </c>
      <c r="J748" s="2">
        <f ca="1">IFERROR(__xludf.DUMMYFUNCTION("""COMPUTED_VALUE"""),44712)</f>
        <v>44712</v>
      </c>
    </row>
    <row r="749" spans="1:10" x14ac:dyDescent="0.25">
      <c r="A749" s="1" t="str">
        <f ca="1">IFERROR(__xludf.DUMMYFUNCTION("""COMPUTED_VALUE"""),"Soproni TSE")</f>
        <v>Soproni TSE</v>
      </c>
      <c r="B749" s="1" t="str">
        <f ca="1">IFERROR(__xludf.DUMMYFUNCTION("""COMPUTED_VALUE"""),"Almási Árpád")</f>
        <v>Almási Árpád</v>
      </c>
      <c r="C749" s="1"/>
      <c r="D749" s="1" t="str">
        <f ca="1">IFERROR(__xludf.DUMMYFUNCTION("""COMPUTED_VALUE"""),"Férfi")</f>
        <v>Férfi</v>
      </c>
      <c r="E749" s="1"/>
      <c r="F749" s="1">
        <f ca="1">IFERROR(__xludf.DUMMYFUNCTION("""COMPUTED_VALUE"""),1974)</f>
        <v>1974</v>
      </c>
      <c r="G749" s="1">
        <f ca="1">IFERROR(__xludf.DUMMYFUNCTION("""COMPUTED_VALUE"""),4628)</f>
        <v>4628</v>
      </c>
      <c r="H749" s="1" t="str">
        <f ca="1">IFERROR(__xludf.DUMMYFUNCTION("""COMPUTED_VALUE"""),"MTLSZ004628A21")</f>
        <v>MTLSZ004628A21</v>
      </c>
      <c r="I749" s="2">
        <f ca="1">IFERROR(__xludf.DUMMYFUNCTION("""COMPUTED_VALUE"""),44348)</f>
        <v>44348</v>
      </c>
      <c r="J749" s="2">
        <f ca="1">IFERROR(__xludf.DUMMYFUNCTION("""COMPUTED_VALUE"""),44712)</f>
        <v>44712</v>
      </c>
    </row>
    <row r="750" spans="1:10" x14ac:dyDescent="0.25">
      <c r="A750" s="1" t="str">
        <f ca="1">IFERROR(__xludf.DUMMYFUNCTION("""COMPUTED_VALUE"""),"Soproni TSE")</f>
        <v>Soproni TSE</v>
      </c>
      <c r="B750" s="1" t="str">
        <f ca="1">IFERROR(__xludf.DUMMYFUNCTION("""COMPUTED_VALUE"""),"Oszvald Ferenc Nándor")</f>
        <v>Oszvald Ferenc Nándor</v>
      </c>
      <c r="C750" s="1"/>
      <c r="D750" s="1" t="str">
        <f ca="1">IFERROR(__xludf.DUMMYFUNCTION("""COMPUTED_VALUE"""),"Férfi")</f>
        <v>Férfi</v>
      </c>
      <c r="E750" s="1"/>
      <c r="F750" s="1">
        <f ca="1">IFERROR(__xludf.DUMMYFUNCTION("""COMPUTED_VALUE"""),1970)</f>
        <v>1970</v>
      </c>
      <c r="G750" s="1">
        <f ca="1">IFERROR(__xludf.DUMMYFUNCTION("""COMPUTED_VALUE"""),4631)</f>
        <v>4631</v>
      </c>
      <c r="H750" s="1" t="str">
        <f ca="1">IFERROR(__xludf.DUMMYFUNCTION("""COMPUTED_VALUE"""),"MTLSZ004631A21")</f>
        <v>MTLSZ004631A21</v>
      </c>
      <c r="I750" s="2">
        <f ca="1">IFERROR(__xludf.DUMMYFUNCTION("""COMPUTED_VALUE"""),44348)</f>
        <v>44348</v>
      </c>
      <c r="J750" s="2">
        <f ca="1">IFERROR(__xludf.DUMMYFUNCTION("""COMPUTED_VALUE"""),44712)</f>
        <v>44712</v>
      </c>
    </row>
    <row r="751" spans="1:10" x14ac:dyDescent="0.25">
      <c r="A751" s="1" t="str">
        <f ca="1">IFERROR(__xludf.DUMMYFUNCTION("""COMPUTED_VALUE"""),"Soproni TSE")</f>
        <v>Soproni TSE</v>
      </c>
      <c r="B751" s="1"/>
      <c r="C751" s="1"/>
      <c r="D751" s="1"/>
      <c r="E751" s="1"/>
      <c r="F751" s="1">
        <f ca="1">IFERROR(__xludf.DUMMYFUNCTION("""COMPUTED_VALUE"""),1899)</f>
        <v>1899</v>
      </c>
      <c r="G751" s="1">
        <f ca="1">IFERROR(__xludf.DUMMYFUNCTION("""COMPUTED_VALUE"""),4632)</f>
        <v>4632</v>
      </c>
      <c r="H751" s="1"/>
      <c r="I751" s="2">
        <f ca="1">IFERROR(__xludf.DUMMYFUNCTION("""COMPUTED_VALUE"""),44348)</f>
        <v>44348</v>
      </c>
      <c r="J751" s="2">
        <f ca="1">IFERROR(__xludf.DUMMYFUNCTION("""COMPUTED_VALUE"""),44712)</f>
        <v>44712</v>
      </c>
    </row>
    <row r="752" spans="1:10" x14ac:dyDescent="0.25">
      <c r="A752" s="1" t="str">
        <f ca="1">IFERROR(__xludf.DUMMYFUNCTION("""COMPUTED_VALUE"""),"Soproni TSE")</f>
        <v>Soproni TSE</v>
      </c>
      <c r="B752" s="1"/>
      <c r="C752" s="1"/>
      <c r="D752" s="1"/>
      <c r="E752" s="1"/>
      <c r="F752" s="1">
        <f ca="1">IFERROR(__xludf.DUMMYFUNCTION("""COMPUTED_VALUE"""),1899)</f>
        <v>1899</v>
      </c>
      <c r="G752" s="1">
        <f ca="1">IFERROR(__xludf.DUMMYFUNCTION("""COMPUTED_VALUE"""),4629)</f>
        <v>4629</v>
      </c>
      <c r="H752" s="1"/>
      <c r="I752" s="2">
        <f ca="1">IFERROR(__xludf.DUMMYFUNCTION("""COMPUTED_VALUE"""),44348)</f>
        <v>44348</v>
      </c>
      <c r="J752" s="2">
        <f ca="1">IFERROR(__xludf.DUMMYFUNCTION("""COMPUTED_VALUE"""),44712)</f>
        <v>44712</v>
      </c>
    </row>
    <row r="753" spans="1:10" x14ac:dyDescent="0.25">
      <c r="A753" s="1" t="str">
        <f ca="1">IFERROR(__xludf.DUMMYFUNCTION("""COMPUTED_VALUE"""),"Szegedi TSE")</f>
        <v>Szegedi TSE</v>
      </c>
      <c r="B753" s="1" t="str">
        <f ca="1">IFERROR(__xludf.DUMMYFUNCTION("""COMPUTED_VALUE"""),"Zádori Szabolcs Dr.")</f>
        <v>Zádori Szabolcs Dr.</v>
      </c>
      <c r="C753" s="1"/>
      <c r="D753" s="1" t="str">
        <f ca="1">IFERROR(__xludf.DUMMYFUNCTION("""COMPUTED_VALUE"""),"Férfi")</f>
        <v>Férfi</v>
      </c>
      <c r="E753" s="1"/>
      <c r="F753" s="1">
        <f ca="1">IFERROR(__xludf.DUMMYFUNCTION("""COMPUTED_VALUE"""),1976)</f>
        <v>1976</v>
      </c>
      <c r="G753" s="1">
        <f ca="1">IFERROR(__xludf.DUMMYFUNCTION("""COMPUTED_VALUE"""),4633)</f>
        <v>4633</v>
      </c>
      <c r="H753" s="1" t="str">
        <f ca="1">IFERROR(__xludf.DUMMYFUNCTION("""COMPUTED_VALUE"""),"MTLSZ004633A21")</f>
        <v>MTLSZ004633A21</v>
      </c>
      <c r="I753" s="2">
        <f ca="1">IFERROR(__xludf.DUMMYFUNCTION("""COMPUTED_VALUE"""),44348)</f>
        <v>44348</v>
      </c>
      <c r="J753" s="2">
        <f ca="1">IFERROR(__xludf.DUMMYFUNCTION("""COMPUTED_VALUE"""),44712)</f>
        <v>44712</v>
      </c>
    </row>
    <row r="754" spans="1:10" x14ac:dyDescent="0.25">
      <c r="A754" s="1" t="str">
        <f ca="1">IFERROR(__xludf.DUMMYFUNCTION("""COMPUTED_VALUE"""),"Szegedi TSE")</f>
        <v>Szegedi TSE</v>
      </c>
      <c r="B754" s="1" t="str">
        <f ca="1">IFERROR(__xludf.DUMMYFUNCTION("""COMPUTED_VALUE"""),"Zádoriné Pepó Patrícia Dr.")</f>
        <v>Zádoriné Pepó Patrícia Dr.</v>
      </c>
      <c r="C754" s="1"/>
      <c r="D754" s="1" t="str">
        <f ca="1">IFERROR(__xludf.DUMMYFUNCTION("""COMPUTED_VALUE"""),"Nő")</f>
        <v>Nő</v>
      </c>
      <c r="E754" s="1"/>
      <c r="F754" s="1">
        <f ca="1">IFERROR(__xludf.DUMMYFUNCTION("""COMPUTED_VALUE"""),1975)</f>
        <v>1975</v>
      </c>
      <c r="G754" s="1">
        <f ca="1">IFERROR(__xludf.DUMMYFUNCTION("""COMPUTED_VALUE"""),4634)</f>
        <v>4634</v>
      </c>
      <c r="H754" s="1" t="str">
        <f ca="1">IFERROR(__xludf.DUMMYFUNCTION("""COMPUTED_VALUE"""),"MTLSZ004634A21")</f>
        <v>MTLSZ004634A21</v>
      </c>
      <c r="I754" s="2">
        <f ca="1">IFERROR(__xludf.DUMMYFUNCTION("""COMPUTED_VALUE"""),44348)</f>
        <v>44348</v>
      </c>
      <c r="J754" s="2">
        <f ca="1">IFERROR(__xludf.DUMMYFUNCTION("""COMPUTED_VALUE"""),44712)</f>
        <v>44712</v>
      </c>
    </row>
    <row r="755" spans="1:10" x14ac:dyDescent="0.25">
      <c r="A755" s="1" t="str">
        <f ca="1">IFERROR(__xludf.DUMMYFUNCTION("""COMPUTED_VALUE"""),"Multi Alarm SE")</f>
        <v>Multi Alarm SE</v>
      </c>
      <c r="B755" s="1" t="str">
        <f ca="1">IFERROR(__xludf.DUMMYFUNCTION("""COMPUTED_VALUE"""),"Boda Róbert Ruben")</f>
        <v>Boda Róbert Ruben</v>
      </c>
      <c r="C755" s="1"/>
      <c r="D755" s="1" t="str">
        <f ca="1">IFERROR(__xludf.DUMMYFUNCTION("""COMPUTED_VALUE"""),"Férfi")</f>
        <v>Férfi</v>
      </c>
      <c r="E755" s="1"/>
      <c r="F755" s="1">
        <f ca="1">IFERROR(__xludf.DUMMYFUNCTION("""COMPUTED_VALUE"""),1981)</f>
        <v>1981</v>
      </c>
      <c r="G755" s="1">
        <f ca="1">IFERROR(__xludf.DUMMYFUNCTION("""COMPUTED_VALUE"""),4627)</f>
        <v>4627</v>
      </c>
      <c r="H755" s="1" t="str">
        <f ca="1">IFERROR(__xludf.DUMMYFUNCTION("""COMPUTED_VALUE"""),"MTLSZ004627A21")</f>
        <v>MTLSZ004627A21</v>
      </c>
      <c r="I755" s="2">
        <f ca="1">IFERROR(__xludf.DUMMYFUNCTION("""COMPUTED_VALUE"""),44347)</f>
        <v>44347</v>
      </c>
      <c r="J755" s="2">
        <f ca="1">IFERROR(__xludf.DUMMYFUNCTION("""COMPUTED_VALUE"""),44711)</f>
        <v>44711</v>
      </c>
    </row>
    <row r="756" spans="1:10" x14ac:dyDescent="0.25">
      <c r="A756" s="1" t="str">
        <f ca="1">IFERROR(__xludf.DUMMYFUNCTION("""COMPUTED_VALUE"""),"Seregélyesi PDSE")</f>
        <v>Seregélyesi PDSE</v>
      </c>
      <c r="B756" s="1" t="str">
        <f ca="1">IFERROR(__xludf.DUMMYFUNCTION("""COMPUTED_VALUE"""),"Szabó Márton")</f>
        <v>Szabó Márton</v>
      </c>
      <c r="C756" s="1"/>
      <c r="D756" s="1" t="str">
        <f ca="1">IFERROR(__xludf.DUMMYFUNCTION("""COMPUTED_VALUE"""),"Férfi")</f>
        <v>Férfi</v>
      </c>
      <c r="E756" s="1"/>
      <c r="F756" s="1">
        <f ca="1">IFERROR(__xludf.DUMMYFUNCTION("""COMPUTED_VALUE"""),2011)</f>
        <v>2011</v>
      </c>
      <c r="G756" s="1">
        <f ca="1">IFERROR(__xludf.DUMMYFUNCTION("""COMPUTED_VALUE"""),4626)</f>
        <v>4626</v>
      </c>
      <c r="H756" s="1" t="str">
        <f ca="1">IFERROR(__xludf.DUMMYFUNCTION("""COMPUTED_VALUE"""),"MTLSZ004626A21")</f>
        <v>MTLSZ004626A21</v>
      </c>
      <c r="I756" s="2">
        <f ca="1">IFERROR(__xludf.DUMMYFUNCTION("""COMPUTED_VALUE"""),44344)</f>
        <v>44344</v>
      </c>
      <c r="J756" s="2">
        <f ca="1">IFERROR(__xludf.DUMMYFUNCTION("""COMPUTED_VALUE"""),44708)</f>
        <v>44708</v>
      </c>
    </row>
    <row r="757" spans="1:10" x14ac:dyDescent="0.25">
      <c r="A757" s="1" t="str">
        <f ca="1">IFERROR(__xludf.DUMMYFUNCTION("""COMPUTED_VALUE"""),"KörösTSE")</f>
        <v>KörösTSE</v>
      </c>
      <c r="B757" s="1" t="str">
        <f ca="1">IFERROR(__xludf.DUMMYFUNCTION("""COMPUTED_VALUE"""),"Farkas Zsolt")</f>
        <v>Farkas Zsolt</v>
      </c>
      <c r="C757" s="1"/>
      <c r="D757" s="1" t="str">
        <f ca="1">IFERROR(__xludf.DUMMYFUNCTION("""COMPUTED_VALUE"""),"Férfi")</f>
        <v>Férfi</v>
      </c>
      <c r="E757" s="1"/>
      <c r="F757" s="1">
        <f ca="1">IFERROR(__xludf.DUMMYFUNCTION("""COMPUTED_VALUE"""),1979)</f>
        <v>1979</v>
      </c>
      <c r="G757" s="1">
        <f ca="1">IFERROR(__xludf.DUMMYFUNCTION("""COMPUTED_VALUE"""),4621)</f>
        <v>4621</v>
      </c>
      <c r="H757" s="1" t="str">
        <f ca="1">IFERROR(__xludf.DUMMYFUNCTION("""COMPUTED_VALUE"""),"MTLSZ004621A21")</f>
        <v>MTLSZ004621A21</v>
      </c>
      <c r="I757" s="2">
        <f ca="1">IFERROR(__xludf.DUMMYFUNCTION("""COMPUTED_VALUE"""),44342)</f>
        <v>44342</v>
      </c>
      <c r="J757" s="2">
        <f ca="1">IFERROR(__xludf.DUMMYFUNCTION("""COMPUTED_VALUE"""),44706)</f>
        <v>44706</v>
      </c>
    </row>
    <row r="758" spans="1:10" x14ac:dyDescent="0.25">
      <c r="A758" s="1" t="str">
        <f ca="1">IFERROR(__xludf.DUMMYFUNCTION("""COMPUTED_VALUE"""),"KörösTSE")</f>
        <v>KörösTSE</v>
      </c>
      <c r="B758" s="1" t="str">
        <f ca="1">IFERROR(__xludf.DUMMYFUNCTION("""COMPUTED_VALUE"""),"Frankó Panka Nóra")</f>
        <v>Frankó Panka Nóra</v>
      </c>
      <c r="C758" s="1"/>
      <c r="D758" s="1" t="str">
        <f ca="1">IFERROR(__xludf.DUMMYFUNCTION("""COMPUTED_VALUE"""),"Nő")</f>
        <v>Nő</v>
      </c>
      <c r="E758" s="1"/>
      <c r="F758" s="1">
        <f ca="1">IFERROR(__xludf.DUMMYFUNCTION("""COMPUTED_VALUE"""),2007)</f>
        <v>2007</v>
      </c>
      <c r="G758" s="1">
        <f ca="1">IFERROR(__xludf.DUMMYFUNCTION("""COMPUTED_VALUE"""),4623)</f>
        <v>4623</v>
      </c>
      <c r="H758" s="1" t="str">
        <f ca="1">IFERROR(__xludf.DUMMYFUNCTION("""COMPUTED_VALUE"""),"MTLSZ004623A21")</f>
        <v>MTLSZ004623A21</v>
      </c>
      <c r="I758" s="2">
        <f ca="1">IFERROR(__xludf.DUMMYFUNCTION("""COMPUTED_VALUE"""),44342)</f>
        <v>44342</v>
      </c>
      <c r="J758" s="2">
        <f ca="1">IFERROR(__xludf.DUMMYFUNCTION("""COMPUTED_VALUE"""),44706)</f>
        <v>44706</v>
      </c>
    </row>
    <row r="759" spans="1:10" x14ac:dyDescent="0.25">
      <c r="A759" s="1" t="str">
        <f ca="1">IFERROR(__xludf.DUMMYFUNCTION("""COMPUTED_VALUE"""),"KörösTSE")</f>
        <v>KörösTSE</v>
      </c>
      <c r="B759" s="1" t="str">
        <f ca="1">IFERROR(__xludf.DUMMYFUNCTION("""COMPUTED_VALUE"""),"Hamar Edina")</f>
        <v>Hamar Edina</v>
      </c>
      <c r="C759" s="1"/>
      <c r="D759" s="1" t="str">
        <f ca="1">IFERROR(__xludf.DUMMYFUNCTION("""COMPUTED_VALUE"""),"Nő")</f>
        <v>Nő</v>
      </c>
      <c r="E759" s="1"/>
      <c r="F759" s="1">
        <f ca="1">IFERROR(__xludf.DUMMYFUNCTION("""COMPUTED_VALUE"""),1975)</f>
        <v>1975</v>
      </c>
      <c r="G759" s="1">
        <f ca="1">IFERROR(__xludf.DUMMYFUNCTION("""COMPUTED_VALUE"""),4619)</f>
        <v>4619</v>
      </c>
      <c r="H759" s="1" t="str">
        <f ca="1">IFERROR(__xludf.DUMMYFUNCTION("""COMPUTED_VALUE"""),"MTLSZ004619A21")</f>
        <v>MTLSZ004619A21</v>
      </c>
      <c r="I759" s="2">
        <f ca="1">IFERROR(__xludf.DUMMYFUNCTION("""COMPUTED_VALUE"""),44342)</f>
        <v>44342</v>
      </c>
      <c r="J759" s="2">
        <f ca="1">IFERROR(__xludf.DUMMYFUNCTION("""COMPUTED_VALUE"""),44706)</f>
        <v>44706</v>
      </c>
    </row>
    <row r="760" spans="1:10" x14ac:dyDescent="0.25">
      <c r="A760" s="1" t="str">
        <f ca="1">IFERROR(__xludf.DUMMYFUNCTION("""COMPUTED_VALUE"""),"KörösTSE")</f>
        <v>KörösTSE</v>
      </c>
      <c r="B760" s="1" t="str">
        <f ca="1">IFERROR(__xludf.DUMMYFUNCTION("""COMPUTED_VALUE"""),"Schneider Venzel")</f>
        <v>Schneider Venzel</v>
      </c>
      <c r="C760" s="1"/>
      <c r="D760" s="1" t="str">
        <f ca="1">IFERROR(__xludf.DUMMYFUNCTION("""COMPUTED_VALUE"""),"Férfi")</f>
        <v>Férfi</v>
      </c>
      <c r="E760" s="1"/>
      <c r="F760" s="1">
        <f ca="1">IFERROR(__xludf.DUMMYFUNCTION("""COMPUTED_VALUE"""),2006)</f>
        <v>2006</v>
      </c>
      <c r="G760" s="1">
        <f ca="1">IFERROR(__xludf.DUMMYFUNCTION("""COMPUTED_VALUE"""),4624)</f>
        <v>4624</v>
      </c>
      <c r="H760" s="1" t="str">
        <f ca="1">IFERROR(__xludf.DUMMYFUNCTION("""COMPUTED_VALUE"""),"MTLSZ004624A21")</f>
        <v>MTLSZ004624A21</v>
      </c>
      <c r="I760" s="2">
        <f ca="1">IFERROR(__xludf.DUMMYFUNCTION("""COMPUTED_VALUE"""),44342)</f>
        <v>44342</v>
      </c>
      <c r="J760" s="2">
        <f ca="1">IFERROR(__xludf.DUMMYFUNCTION("""COMPUTED_VALUE"""),44706)</f>
        <v>44706</v>
      </c>
    </row>
    <row r="761" spans="1:10" x14ac:dyDescent="0.25">
      <c r="A761" s="1" t="str">
        <f ca="1">IFERROR(__xludf.DUMMYFUNCTION("""COMPUTED_VALUE"""),"KörösTSE")</f>
        <v>KörösTSE</v>
      </c>
      <c r="B761" s="1" t="str">
        <f ca="1">IFERROR(__xludf.DUMMYFUNCTION("""COMPUTED_VALUE"""),"Szatmári Martin")</f>
        <v>Szatmári Martin</v>
      </c>
      <c r="C761" s="1"/>
      <c r="D761" s="1" t="str">
        <f ca="1">IFERROR(__xludf.DUMMYFUNCTION("""COMPUTED_VALUE"""),"Férfi")</f>
        <v>Férfi</v>
      </c>
      <c r="E761" s="1"/>
      <c r="F761" s="1">
        <f ca="1">IFERROR(__xludf.DUMMYFUNCTION("""COMPUTED_VALUE"""),2006)</f>
        <v>2006</v>
      </c>
      <c r="G761" s="1">
        <f ca="1">IFERROR(__xludf.DUMMYFUNCTION("""COMPUTED_VALUE"""),4618)</f>
        <v>4618</v>
      </c>
      <c r="H761" s="1" t="str">
        <f ca="1">IFERROR(__xludf.DUMMYFUNCTION("""COMPUTED_VALUE"""),"MTLSZ004618A21")</f>
        <v>MTLSZ004618A21</v>
      </c>
      <c r="I761" s="2">
        <f ca="1">IFERROR(__xludf.DUMMYFUNCTION("""COMPUTED_VALUE"""),44342)</f>
        <v>44342</v>
      </c>
      <c r="J761" s="2">
        <f ca="1">IFERROR(__xludf.DUMMYFUNCTION("""COMPUTED_VALUE"""),44706)</f>
        <v>44706</v>
      </c>
    </row>
    <row r="762" spans="1:10" x14ac:dyDescent="0.25">
      <c r="A762" s="1" t="str">
        <f ca="1">IFERROR(__xludf.DUMMYFUNCTION("""COMPUTED_VALUE"""),"KörösTSE")</f>
        <v>KörösTSE</v>
      </c>
      <c r="B762" s="1" t="str">
        <f ca="1">IFERROR(__xludf.DUMMYFUNCTION("""COMPUTED_VALUE"""),"Uhrin Árpád")</f>
        <v>Uhrin Árpád</v>
      </c>
      <c r="C762" s="1"/>
      <c r="D762" s="1" t="str">
        <f ca="1">IFERROR(__xludf.DUMMYFUNCTION("""COMPUTED_VALUE"""),"Férfi")</f>
        <v>Férfi</v>
      </c>
      <c r="E762" s="1"/>
      <c r="F762" s="1">
        <f ca="1">IFERROR(__xludf.DUMMYFUNCTION("""COMPUTED_VALUE"""),1976)</f>
        <v>1976</v>
      </c>
      <c r="G762" s="1">
        <f ca="1">IFERROR(__xludf.DUMMYFUNCTION("""COMPUTED_VALUE"""),4622)</f>
        <v>4622</v>
      </c>
      <c r="H762" s="1" t="str">
        <f ca="1">IFERROR(__xludf.DUMMYFUNCTION("""COMPUTED_VALUE"""),"MTLSZ004622A21")</f>
        <v>MTLSZ004622A21</v>
      </c>
      <c r="I762" s="2">
        <f ca="1">IFERROR(__xludf.DUMMYFUNCTION("""COMPUTED_VALUE"""),44342)</f>
        <v>44342</v>
      </c>
      <c r="J762" s="2">
        <f ca="1">IFERROR(__xludf.DUMMYFUNCTION("""COMPUTED_VALUE"""),44706)</f>
        <v>44706</v>
      </c>
    </row>
    <row r="763" spans="1:10" x14ac:dyDescent="0.25">
      <c r="A763" s="1" t="str">
        <f ca="1">IFERROR(__xludf.DUMMYFUNCTION("""COMPUTED_VALUE"""),"KörösTSE")</f>
        <v>KörösTSE</v>
      </c>
      <c r="B763" s="1" t="str">
        <f ca="1">IFERROR(__xludf.DUMMYFUNCTION("""COMPUTED_VALUE"""),"Zsiros Gergely")</f>
        <v>Zsiros Gergely</v>
      </c>
      <c r="C763" s="1"/>
      <c r="D763" s="1" t="str">
        <f ca="1">IFERROR(__xludf.DUMMYFUNCTION("""COMPUTED_VALUE"""),"Férfi")</f>
        <v>Férfi</v>
      </c>
      <c r="E763" s="1"/>
      <c r="F763" s="1">
        <f ca="1">IFERROR(__xludf.DUMMYFUNCTION("""COMPUTED_VALUE"""),2012)</f>
        <v>2012</v>
      </c>
      <c r="G763" s="1">
        <f ca="1">IFERROR(__xludf.DUMMYFUNCTION("""COMPUTED_VALUE"""),4620)</f>
        <v>4620</v>
      </c>
      <c r="H763" s="1" t="str">
        <f ca="1">IFERROR(__xludf.DUMMYFUNCTION("""COMPUTED_VALUE"""),"MTLSZ004620A21")</f>
        <v>MTLSZ004620A21</v>
      </c>
      <c r="I763" s="2">
        <f ca="1">IFERROR(__xludf.DUMMYFUNCTION("""COMPUTED_VALUE"""),44342)</f>
        <v>44342</v>
      </c>
      <c r="J763" s="2">
        <f ca="1">IFERROR(__xludf.DUMMYFUNCTION("""COMPUTED_VALUE"""),44706)</f>
        <v>44706</v>
      </c>
    </row>
    <row r="764" spans="1:10" x14ac:dyDescent="0.25">
      <c r="A764" s="1" t="str">
        <f ca="1">IFERROR(__xludf.DUMMYFUNCTION("""COMPUTED_VALUE"""),"Talentum TSE")</f>
        <v>Talentum TSE</v>
      </c>
      <c r="B764" s="1" t="str">
        <f ca="1">IFERROR(__xludf.DUMMYFUNCTION("""COMPUTED_VALUE"""),"Csányi Tamás")</f>
        <v>Csányi Tamás</v>
      </c>
      <c r="C764" s="1"/>
      <c r="D764" s="1" t="str">
        <f ca="1">IFERROR(__xludf.DUMMYFUNCTION("""COMPUTED_VALUE"""),"Férfi")</f>
        <v>Férfi</v>
      </c>
      <c r="E764" s="1"/>
      <c r="F764" s="1">
        <f ca="1">IFERROR(__xludf.DUMMYFUNCTION("""COMPUTED_VALUE"""),2012)</f>
        <v>2012</v>
      </c>
      <c r="G764" s="1">
        <f ca="1">IFERROR(__xludf.DUMMYFUNCTION("""COMPUTED_VALUE"""),4625)</f>
        <v>4625</v>
      </c>
      <c r="H764" s="1" t="str">
        <f ca="1">IFERROR(__xludf.DUMMYFUNCTION("""COMPUTED_VALUE"""),"MTLSZ004625A21")</f>
        <v>MTLSZ004625A21</v>
      </c>
      <c r="I764" s="2">
        <f ca="1">IFERROR(__xludf.DUMMYFUNCTION("""COMPUTED_VALUE"""),44342)</f>
        <v>44342</v>
      </c>
      <c r="J764" s="2">
        <f ca="1">IFERROR(__xludf.DUMMYFUNCTION("""COMPUTED_VALUE"""),44706)</f>
        <v>44706</v>
      </c>
    </row>
    <row r="765" spans="1:10" x14ac:dyDescent="0.25">
      <c r="A765" s="1" t="str">
        <f ca="1">IFERROR(__xludf.DUMMYFUNCTION("""COMPUTED_VALUE"""),"Danubius KSE")</f>
        <v>Danubius KSE</v>
      </c>
      <c r="B765" s="1" t="str">
        <f ca="1">IFERROR(__xludf.DUMMYFUNCTION("""COMPUTED_VALUE"""),"Dudás Marcella")</f>
        <v>Dudás Marcella</v>
      </c>
      <c r="C765" s="1"/>
      <c r="D765" s="1" t="str">
        <f ca="1">IFERROR(__xludf.DUMMYFUNCTION("""COMPUTED_VALUE"""),"Nő")</f>
        <v>Nő</v>
      </c>
      <c r="E765" s="1"/>
      <c r="F765" s="1">
        <f ca="1">IFERROR(__xludf.DUMMYFUNCTION("""COMPUTED_VALUE"""),1994)</f>
        <v>1994</v>
      </c>
      <c r="G765" s="1">
        <f ca="1">IFERROR(__xludf.DUMMYFUNCTION("""COMPUTED_VALUE"""),4614)</f>
        <v>4614</v>
      </c>
      <c r="H765" s="1" t="str">
        <f ca="1">IFERROR(__xludf.DUMMYFUNCTION("""COMPUTED_VALUE"""),"MTLSZ004614A21")</f>
        <v>MTLSZ004614A21</v>
      </c>
      <c r="I765" s="2">
        <f ca="1">IFERROR(__xludf.DUMMYFUNCTION("""COMPUTED_VALUE"""),44341)</f>
        <v>44341</v>
      </c>
      <c r="J765" s="2">
        <f ca="1">IFERROR(__xludf.DUMMYFUNCTION("""COMPUTED_VALUE"""),44705)</f>
        <v>44705</v>
      </c>
    </row>
    <row r="766" spans="1:10" x14ac:dyDescent="0.25">
      <c r="A766" s="1" t="str">
        <f ca="1">IFERROR(__xludf.DUMMYFUNCTION("""COMPUTED_VALUE"""),"Danubius KSE")</f>
        <v>Danubius KSE</v>
      </c>
      <c r="B766" s="1" t="str">
        <f ca="1">IFERROR(__xludf.DUMMYFUNCTION("""COMPUTED_VALUE"""),"Fehérváriné Bepő-Gál Alexandra")</f>
        <v>Fehérváriné Bepő-Gál Alexandra</v>
      </c>
      <c r="C766" s="1"/>
      <c r="D766" s="1" t="str">
        <f ca="1">IFERROR(__xludf.DUMMYFUNCTION("""COMPUTED_VALUE"""),"Nő")</f>
        <v>Nő</v>
      </c>
      <c r="E766" s="1"/>
      <c r="F766" s="1">
        <f ca="1">IFERROR(__xludf.DUMMYFUNCTION("""COMPUTED_VALUE"""),1991)</f>
        <v>1991</v>
      </c>
      <c r="G766" s="1">
        <f ca="1">IFERROR(__xludf.DUMMYFUNCTION("""COMPUTED_VALUE"""),4612)</f>
        <v>4612</v>
      </c>
      <c r="H766" s="1" t="str">
        <f ca="1">IFERROR(__xludf.DUMMYFUNCTION("""COMPUTED_VALUE"""),"MTLSZ004612A21")</f>
        <v>MTLSZ004612A21</v>
      </c>
      <c r="I766" s="2">
        <f ca="1">IFERROR(__xludf.DUMMYFUNCTION("""COMPUTED_VALUE"""),44341)</f>
        <v>44341</v>
      </c>
      <c r="J766" s="2">
        <f ca="1">IFERROR(__xludf.DUMMYFUNCTION("""COMPUTED_VALUE"""),44705)</f>
        <v>44705</v>
      </c>
    </row>
    <row r="767" spans="1:10" x14ac:dyDescent="0.25">
      <c r="A767" s="1" t="str">
        <f ca="1">IFERROR(__xludf.DUMMYFUNCTION("""COMPUTED_VALUE"""),"Danubius KSE")</f>
        <v>Danubius KSE</v>
      </c>
      <c r="B767" s="1" t="str">
        <f ca="1">IFERROR(__xludf.DUMMYFUNCTION("""COMPUTED_VALUE"""),"Huszár Csilla")</f>
        <v>Huszár Csilla</v>
      </c>
      <c r="C767" s="1"/>
      <c r="D767" s="1" t="str">
        <f ca="1">IFERROR(__xludf.DUMMYFUNCTION("""COMPUTED_VALUE"""),"Nő")</f>
        <v>Nő</v>
      </c>
      <c r="E767" s="1"/>
      <c r="F767" s="1">
        <f ca="1">IFERROR(__xludf.DUMMYFUNCTION("""COMPUTED_VALUE"""),1993)</f>
        <v>1993</v>
      </c>
      <c r="G767" s="1">
        <f ca="1">IFERROR(__xludf.DUMMYFUNCTION("""COMPUTED_VALUE"""),4608)</f>
        <v>4608</v>
      </c>
      <c r="H767" s="1" t="str">
        <f ca="1">IFERROR(__xludf.DUMMYFUNCTION("""COMPUTED_VALUE"""),"MTLSZ004608A21")</f>
        <v>MTLSZ004608A21</v>
      </c>
      <c r="I767" s="2">
        <f ca="1">IFERROR(__xludf.DUMMYFUNCTION("""COMPUTED_VALUE"""),44341)</f>
        <v>44341</v>
      </c>
      <c r="J767" s="2">
        <f ca="1">IFERROR(__xludf.DUMMYFUNCTION("""COMPUTED_VALUE"""),44705)</f>
        <v>44705</v>
      </c>
    </row>
    <row r="768" spans="1:10" x14ac:dyDescent="0.25">
      <c r="A768" s="1" t="str">
        <f ca="1">IFERROR(__xludf.DUMMYFUNCTION("""COMPUTED_VALUE"""),"Danubius KSE")</f>
        <v>Danubius KSE</v>
      </c>
      <c r="B768" s="1" t="str">
        <f ca="1">IFERROR(__xludf.DUMMYFUNCTION("""COMPUTED_VALUE"""),"Huszár Tamás")</f>
        <v>Huszár Tamás</v>
      </c>
      <c r="C768" s="1"/>
      <c r="D768" s="1" t="str">
        <f ca="1">IFERROR(__xludf.DUMMYFUNCTION("""COMPUTED_VALUE"""),"Férfi")</f>
        <v>Férfi</v>
      </c>
      <c r="E768" s="1"/>
      <c r="F768" s="1">
        <f ca="1">IFERROR(__xludf.DUMMYFUNCTION("""COMPUTED_VALUE"""),1962)</f>
        <v>1962</v>
      </c>
      <c r="G768" s="1">
        <f ca="1">IFERROR(__xludf.DUMMYFUNCTION("""COMPUTED_VALUE"""),4610)</f>
        <v>4610</v>
      </c>
      <c r="H768" s="1" t="str">
        <f ca="1">IFERROR(__xludf.DUMMYFUNCTION("""COMPUTED_VALUE"""),"MTLSZ004610A21")</f>
        <v>MTLSZ004610A21</v>
      </c>
      <c r="I768" s="2">
        <f ca="1">IFERROR(__xludf.DUMMYFUNCTION("""COMPUTED_VALUE"""),44341)</f>
        <v>44341</v>
      </c>
      <c r="J768" s="2">
        <f ca="1">IFERROR(__xludf.DUMMYFUNCTION("""COMPUTED_VALUE"""),44705)</f>
        <v>44705</v>
      </c>
    </row>
    <row r="769" spans="1:10" x14ac:dyDescent="0.25">
      <c r="A769" s="1" t="str">
        <f ca="1">IFERROR(__xludf.DUMMYFUNCTION("""COMPUTED_VALUE"""),"Danubius KSE")</f>
        <v>Danubius KSE</v>
      </c>
      <c r="B769" s="1" t="str">
        <f ca="1">IFERROR(__xludf.DUMMYFUNCTION("""COMPUTED_VALUE"""),"Huszár Tamásné")</f>
        <v>Huszár Tamásné</v>
      </c>
      <c r="C769" s="1"/>
      <c r="D769" s="1" t="str">
        <f ca="1">IFERROR(__xludf.DUMMYFUNCTION("""COMPUTED_VALUE"""),"Nő")</f>
        <v>Nő</v>
      </c>
      <c r="E769" s="1"/>
      <c r="F769" s="1">
        <f ca="1">IFERROR(__xludf.DUMMYFUNCTION("""COMPUTED_VALUE"""),1962)</f>
        <v>1962</v>
      </c>
      <c r="G769" s="1">
        <f ca="1">IFERROR(__xludf.DUMMYFUNCTION("""COMPUTED_VALUE"""),4611)</f>
        <v>4611</v>
      </c>
      <c r="H769" s="1" t="str">
        <f ca="1">IFERROR(__xludf.DUMMYFUNCTION("""COMPUTED_VALUE"""),"MTLSZ004611A21")</f>
        <v>MTLSZ004611A21</v>
      </c>
      <c r="I769" s="2">
        <f ca="1">IFERROR(__xludf.DUMMYFUNCTION("""COMPUTED_VALUE"""),44341)</f>
        <v>44341</v>
      </c>
      <c r="J769" s="2">
        <f ca="1">IFERROR(__xludf.DUMMYFUNCTION("""COMPUTED_VALUE"""),44705)</f>
        <v>44705</v>
      </c>
    </row>
    <row r="770" spans="1:10" x14ac:dyDescent="0.25">
      <c r="A770" s="1" t="str">
        <f ca="1">IFERROR(__xludf.DUMMYFUNCTION("""COMPUTED_VALUE"""),"Danubius KSE")</f>
        <v>Danubius KSE</v>
      </c>
      <c r="B770" s="1" t="str">
        <f ca="1">IFERROR(__xludf.DUMMYFUNCTION("""COMPUTED_VALUE"""),"Keller Anita")</f>
        <v>Keller Anita</v>
      </c>
      <c r="C770" s="1"/>
      <c r="D770" s="1" t="str">
        <f ca="1">IFERROR(__xludf.DUMMYFUNCTION("""COMPUTED_VALUE"""),"Nő")</f>
        <v>Nő</v>
      </c>
      <c r="E770" s="1"/>
      <c r="F770" s="1">
        <f ca="1">IFERROR(__xludf.DUMMYFUNCTION("""COMPUTED_VALUE"""),1989)</f>
        <v>1989</v>
      </c>
      <c r="G770" s="1">
        <f ca="1">IFERROR(__xludf.DUMMYFUNCTION("""COMPUTED_VALUE"""),4613)</f>
        <v>4613</v>
      </c>
      <c r="H770" s="1" t="str">
        <f ca="1">IFERROR(__xludf.DUMMYFUNCTION("""COMPUTED_VALUE"""),"MTLSZ004613A21")</f>
        <v>MTLSZ004613A21</v>
      </c>
      <c r="I770" s="2">
        <f ca="1">IFERROR(__xludf.DUMMYFUNCTION("""COMPUTED_VALUE"""),44341)</f>
        <v>44341</v>
      </c>
      <c r="J770" s="2">
        <f ca="1">IFERROR(__xludf.DUMMYFUNCTION("""COMPUTED_VALUE"""),44705)</f>
        <v>44705</v>
      </c>
    </row>
    <row r="771" spans="1:10" x14ac:dyDescent="0.25">
      <c r="A771" s="1" t="str">
        <f ca="1">IFERROR(__xludf.DUMMYFUNCTION("""COMPUTED_VALUE"""),"Danubius KSE")</f>
        <v>Danubius KSE</v>
      </c>
      <c r="B771" s="1" t="str">
        <f ca="1">IFERROR(__xludf.DUMMYFUNCTION("""COMPUTED_VALUE"""),"Szalontai Gábor")</f>
        <v>Szalontai Gábor</v>
      </c>
      <c r="C771" s="1"/>
      <c r="D771" s="1" t="str">
        <f ca="1">IFERROR(__xludf.DUMMYFUNCTION("""COMPUTED_VALUE"""),"Férfi")</f>
        <v>Férfi</v>
      </c>
      <c r="E771" s="1"/>
      <c r="F771" s="1">
        <f ca="1">IFERROR(__xludf.DUMMYFUNCTION("""COMPUTED_VALUE"""),1977)</f>
        <v>1977</v>
      </c>
      <c r="G771" s="1">
        <f ca="1">IFERROR(__xludf.DUMMYFUNCTION("""COMPUTED_VALUE"""),4609)</f>
        <v>4609</v>
      </c>
      <c r="H771" s="1" t="str">
        <f ca="1">IFERROR(__xludf.DUMMYFUNCTION("""COMPUTED_VALUE"""),"MTLSZ004609A21")</f>
        <v>MTLSZ004609A21</v>
      </c>
      <c r="I771" s="2">
        <f ca="1">IFERROR(__xludf.DUMMYFUNCTION("""COMPUTED_VALUE"""),44341)</f>
        <v>44341</v>
      </c>
      <c r="J771" s="2">
        <f ca="1">IFERROR(__xludf.DUMMYFUNCTION("""COMPUTED_VALUE"""),44705)</f>
        <v>44705</v>
      </c>
    </row>
    <row r="772" spans="1:10" x14ac:dyDescent="0.25">
      <c r="A772" s="1" t="str">
        <f ca="1">IFERROR(__xludf.DUMMYFUNCTION("""COMPUTED_VALUE"""),"Érdi VSE")</f>
        <v>Érdi VSE</v>
      </c>
      <c r="B772" s="1" t="str">
        <f ca="1">IFERROR(__xludf.DUMMYFUNCTION("""COMPUTED_VALUE"""),"Dudás Laura")</f>
        <v>Dudás Laura</v>
      </c>
      <c r="C772" s="1"/>
      <c r="D772" s="1" t="str">
        <f ca="1">IFERROR(__xludf.DUMMYFUNCTION("""COMPUTED_VALUE"""),"Nő")</f>
        <v>Nő</v>
      </c>
      <c r="E772" s="1"/>
      <c r="F772" s="1">
        <f ca="1">IFERROR(__xludf.DUMMYFUNCTION("""COMPUTED_VALUE"""),2011)</f>
        <v>2011</v>
      </c>
      <c r="G772" s="1">
        <f ca="1">IFERROR(__xludf.DUMMYFUNCTION("""COMPUTED_VALUE"""),4615)</f>
        <v>4615</v>
      </c>
      <c r="H772" s="1" t="str">
        <f ca="1">IFERROR(__xludf.DUMMYFUNCTION("""COMPUTED_VALUE"""),"MTLSZ004615A21")</f>
        <v>MTLSZ004615A21</v>
      </c>
      <c r="I772" s="2">
        <f ca="1">IFERROR(__xludf.DUMMYFUNCTION("""COMPUTED_VALUE"""),44341)</f>
        <v>44341</v>
      </c>
      <c r="J772" s="2">
        <f ca="1">IFERROR(__xludf.DUMMYFUNCTION("""COMPUTED_VALUE"""),44705)</f>
        <v>44705</v>
      </c>
    </row>
    <row r="773" spans="1:10" x14ac:dyDescent="0.25">
      <c r="A773" s="1" t="str">
        <f ca="1">IFERROR(__xludf.DUMMYFUNCTION("""COMPUTED_VALUE"""),"Érdi VSE")</f>
        <v>Érdi VSE</v>
      </c>
      <c r="B773" s="1" t="str">
        <f ca="1">IFERROR(__xludf.DUMMYFUNCTION("""COMPUTED_VALUE"""),"Horváth Adrián")</f>
        <v>Horváth Adrián</v>
      </c>
      <c r="C773" s="1"/>
      <c r="D773" s="1" t="str">
        <f ca="1">IFERROR(__xludf.DUMMYFUNCTION("""COMPUTED_VALUE"""),"Férfi")</f>
        <v>Férfi</v>
      </c>
      <c r="E773" s="1"/>
      <c r="F773" s="1">
        <f ca="1">IFERROR(__xludf.DUMMYFUNCTION("""COMPUTED_VALUE"""),2011)</f>
        <v>2011</v>
      </c>
      <c r="G773" s="1">
        <f ca="1">IFERROR(__xludf.DUMMYFUNCTION("""COMPUTED_VALUE"""),4617)</f>
        <v>4617</v>
      </c>
      <c r="H773" s="1" t="str">
        <f ca="1">IFERROR(__xludf.DUMMYFUNCTION("""COMPUTED_VALUE"""),"MTLSZ004617A21")</f>
        <v>MTLSZ004617A21</v>
      </c>
      <c r="I773" s="2">
        <f ca="1">IFERROR(__xludf.DUMMYFUNCTION("""COMPUTED_VALUE"""),44341)</f>
        <v>44341</v>
      </c>
      <c r="J773" s="2">
        <f ca="1">IFERROR(__xludf.DUMMYFUNCTION("""COMPUTED_VALUE"""),44705)</f>
        <v>44705</v>
      </c>
    </row>
    <row r="774" spans="1:10" x14ac:dyDescent="0.25">
      <c r="A774" s="1" t="str">
        <f ca="1">IFERROR(__xludf.DUMMYFUNCTION("""COMPUTED_VALUE"""),"Érdi VSE")</f>
        <v>Érdi VSE</v>
      </c>
      <c r="B774" s="1" t="str">
        <f ca="1">IFERROR(__xludf.DUMMYFUNCTION("""COMPUTED_VALUE"""),"Szajki Bence")</f>
        <v>Szajki Bence</v>
      </c>
      <c r="C774" s="1"/>
      <c r="D774" s="1" t="str">
        <f ca="1">IFERROR(__xludf.DUMMYFUNCTION("""COMPUTED_VALUE"""),"Férfi")</f>
        <v>Férfi</v>
      </c>
      <c r="E774" s="1"/>
      <c r="F774" s="1">
        <f ca="1">IFERROR(__xludf.DUMMYFUNCTION("""COMPUTED_VALUE"""),2009)</f>
        <v>2009</v>
      </c>
      <c r="G774" s="1">
        <f ca="1">IFERROR(__xludf.DUMMYFUNCTION("""COMPUTED_VALUE"""),4616)</f>
        <v>4616</v>
      </c>
      <c r="H774" s="1" t="str">
        <f ca="1">IFERROR(__xludf.DUMMYFUNCTION("""COMPUTED_VALUE"""),"MTLSZ004616A21")</f>
        <v>MTLSZ004616A21</v>
      </c>
      <c r="I774" s="2">
        <f ca="1">IFERROR(__xludf.DUMMYFUNCTION("""COMPUTED_VALUE"""),44341)</f>
        <v>44341</v>
      </c>
      <c r="J774" s="2">
        <f ca="1">IFERROR(__xludf.DUMMYFUNCTION("""COMPUTED_VALUE"""),44705)</f>
        <v>44705</v>
      </c>
    </row>
    <row r="775" spans="1:10" x14ac:dyDescent="0.25">
      <c r="A775" s="1" t="str">
        <f ca="1">IFERROR(__xludf.DUMMYFUNCTION("""COMPUTED_VALUE"""),"Talentum TSE")</f>
        <v>Talentum TSE</v>
      </c>
      <c r="B775" s="1" t="str">
        <f ca="1">IFERROR(__xludf.DUMMYFUNCTION("""COMPUTED_VALUE"""),"Tátrai Gergely")</f>
        <v>Tátrai Gergely</v>
      </c>
      <c r="C775" s="1"/>
      <c r="D775" s="1" t="str">
        <f ca="1">IFERROR(__xludf.DUMMYFUNCTION("""COMPUTED_VALUE"""),"Férfi")</f>
        <v>Férfi</v>
      </c>
      <c r="E775" s="1"/>
      <c r="F775" s="1">
        <f ca="1">IFERROR(__xludf.DUMMYFUNCTION("""COMPUTED_VALUE"""),2010)</f>
        <v>2010</v>
      </c>
      <c r="G775" s="1">
        <f ca="1">IFERROR(__xludf.DUMMYFUNCTION("""COMPUTED_VALUE"""),4607)</f>
        <v>4607</v>
      </c>
      <c r="H775" s="1" t="str">
        <f ca="1">IFERROR(__xludf.DUMMYFUNCTION("""COMPUTED_VALUE"""),"MTLSZ004607A21")</f>
        <v>MTLSZ004607A21</v>
      </c>
      <c r="I775" s="2">
        <f ca="1">IFERROR(__xludf.DUMMYFUNCTION("""COMPUTED_VALUE"""),44338)</f>
        <v>44338</v>
      </c>
      <c r="J775" s="2">
        <f ca="1">IFERROR(__xludf.DUMMYFUNCTION("""COMPUTED_VALUE"""),44702)</f>
        <v>44702</v>
      </c>
    </row>
    <row r="776" spans="1:10" x14ac:dyDescent="0.25">
      <c r="A776" s="1" t="str">
        <f ca="1">IFERROR(__xludf.DUMMYFUNCTION("""COMPUTED_VALUE"""),"T(r)ollas SE")</f>
        <v>T(r)ollas SE</v>
      </c>
      <c r="B776" s="1" t="str">
        <f ca="1">IFERROR(__xludf.DUMMYFUNCTION("""COMPUTED_VALUE"""),"Keller Anna")</f>
        <v>Keller Anna</v>
      </c>
      <c r="C776" s="1"/>
      <c r="D776" s="1" t="str">
        <f ca="1">IFERROR(__xludf.DUMMYFUNCTION("""COMPUTED_VALUE"""),"Nő")</f>
        <v>Nő</v>
      </c>
      <c r="E776" s="1"/>
      <c r="F776" s="1">
        <f ca="1">IFERROR(__xludf.DUMMYFUNCTION("""COMPUTED_VALUE"""),1987)</f>
        <v>1987</v>
      </c>
      <c r="G776" s="1">
        <f ca="1">IFERROR(__xludf.DUMMYFUNCTION("""COMPUTED_VALUE"""),3160)</f>
        <v>3160</v>
      </c>
      <c r="H776" s="1" t="str">
        <f ca="1">IFERROR(__xludf.DUMMYFUNCTION("""COMPUTED_VALUE"""),"MTLSZ003160A21")</f>
        <v>MTLSZ003160A21</v>
      </c>
      <c r="I776" s="2">
        <f ca="1">IFERROR(__xludf.DUMMYFUNCTION("""COMPUTED_VALUE"""),44337)</f>
        <v>44337</v>
      </c>
      <c r="J776" s="2">
        <f ca="1">IFERROR(__xludf.DUMMYFUNCTION("""COMPUTED_VALUE"""),44701)</f>
        <v>44701</v>
      </c>
    </row>
    <row r="777" spans="1:10" x14ac:dyDescent="0.25">
      <c r="A777" s="1" t="str">
        <f ca="1">IFERROR(__xludf.DUMMYFUNCTION("""COMPUTED_VALUE"""),"T(r)ollas SE")</f>
        <v>T(r)ollas SE</v>
      </c>
      <c r="B777" s="1" t="str">
        <f ca="1">IFERROR(__xludf.DUMMYFUNCTION("""COMPUTED_VALUE"""),"Keller Gábor")</f>
        <v>Keller Gábor</v>
      </c>
      <c r="C777" s="1"/>
      <c r="D777" s="1" t="str">
        <f ca="1">IFERROR(__xludf.DUMMYFUNCTION("""COMPUTED_VALUE"""),"Férfi")</f>
        <v>Férfi</v>
      </c>
      <c r="E777" s="1"/>
      <c r="F777" s="1">
        <f ca="1">IFERROR(__xludf.DUMMYFUNCTION("""COMPUTED_VALUE"""),1992)</f>
        <v>1992</v>
      </c>
      <c r="G777" s="1">
        <f ca="1">IFERROR(__xludf.DUMMYFUNCTION("""COMPUTED_VALUE"""),2832)</f>
        <v>2832</v>
      </c>
      <c r="H777" s="1" t="str">
        <f ca="1">IFERROR(__xludf.DUMMYFUNCTION("""COMPUTED_VALUE"""),"MTLSZ002832A21")</f>
        <v>MTLSZ002832A21</v>
      </c>
      <c r="I777" s="2">
        <f ca="1">IFERROR(__xludf.DUMMYFUNCTION("""COMPUTED_VALUE"""),44337)</f>
        <v>44337</v>
      </c>
      <c r="J777" s="2">
        <f ca="1">IFERROR(__xludf.DUMMYFUNCTION("""COMPUTED_VALUE"""),44701)</f>
        <v>44701</v>
      </c>
    </row>
    <row r="778" spans="1:10" x14ac:dyDescent="0.25">
      <c r="A778" s="1" t="str">
        <f ca="1">IFERROR(__xludf.DUMMYFUNCTION("""COMPUTED_VALUE"""),"T(r)ollas SE")</f>
        <v>T(r)ollas SE</v>
      </c>
      <c r="B778" s="1" t="str">
        <f ca="1">IFERROR(__xludf.DUMMYFUNCTION("""COMPUTED_VALUE"""),"Treszler Cintia")</f>
        <v>Treszler Cintia</v>
      </c>
      <c r="C778" s="1"/>
      <c r="D778" s="1" t="str">
        <f ca="1">IFERROR(__xludf.DUMMYFUNCTION("""COMPUTED_VALUE"""),"Nő")</f>
        <v>Nő</v>
      </c>
      <c r="E778" s="1"/>
      <c r="F778" s="1">
        <f ca="1">IFERROR(__xludf.DUMMYFUNCTION("""COMPUTED_VALUE"""),2009)</f>
        <v>2009</v>
      </c>
      <c r="G778" s="1">
        <f ca="1">IFERROR(__xludf.DUMMYFUNCTION("""COMPUTED_VALUE"""),3503)</f>
        <v>3503</v>
      </c>
      <c r="H778" s="1" t="str">
        <f ca="1">IFERROR(__xludf.DUMMYFUNCTION("""COMPUTED_VALUE"""),"MTLSZ003503A21")</f>
        <v>MTLSZ003503A21</v>
      </c>
      <c r="I778" s="2">
        <f ca="1">IFERROR(__xludf.DUMMYFUNCTION("""COMPUTED_VALUE"""),44337)</f>
        <v>44337</v>
      </c>
      <c r="J778" s="2">
        <f ca="1">IFERROR(__xludf.DUMMYFUNCTION("""COMPUTED_VALUE"""),44701)</f>
        <v>44701</v>
      </c>
    </row>
    <row r="779" spans="1:10" x14ac:dyDescent="0.25">
      <c r="A779" s="1" t="str">
        <f ca="1">IFERROR(__xludf.DUMMYFUNCTION("""COMPUTED_VALUE"""),"T(r)ollas SE")</f>
        <v>T(r)ollas SE</v>
      </c>
      <c r="B779" s="1" t="str">
        <f ca="1">IFERROR(__xludf.DUMMYFUNCTION("""COMPUTED_VALUE"""),"Vallurupalli Jayanth")</f>
        <v>Vallurupalli Jayanth</v>
      </c>
      <c r="C779" s="1"/>
      <c r="D779" s="1" t="str">
        <f ca="1">IFERROR(__xludf.DUMMYFUNCTION("""COMPUTED_VALUE"""),"Férfi")</f>
        <v>Férfi</v>
      </c>
      <c r="E779" s="1"/>
      <c r="F779" s="1">
        <f ca="1">IFERROR(__xludf.DUMMYFUNCTION("""COMPUTED_VALUE"""),1995)</f>
        <v>1995</v>
      </c>
      <c r="G779" s="1">
        <f ca="1">IFERROR(__xludf.DUMMYFUNCTION("""COMPUTED_VALUE"""),4606)</f>
        <v>4606</v>
      </c>
      <c r="H779" s="1" t="str">
        <f ca="1">IFERROR(__xludf.DUMMYFUNCTION("""COMPUTED_VALUE"""),"MTLSZ004606A21")</f>
        <v>MTLSZ004606A21</v>
      </c>
      <c r="I779" s="2">
        <f ca="1">IFERROR(__xludf.DUMMYFUNCTION("""COMPUTED_VALUE"""),44337)</f>
        <v>44337</v>
      </c>
      <c r="J779" s="2">
        <f ca="1">IFERROR(__xludf.DUMMYFUNCTION("""COMPUTED_VALUE"""),44701)</f>
        <v>44701</v>
      </c>
    </row>
    <row r="780" spans="1:10" x14ac:dyDescent="0.25">
      <c r="A780" s="1" t="str">
        <f ca="1">IFERROR(__xludf.DUMMYFUNCTION("""COMPUTED_VALUE"""),"BEAC")</f>
        <v>BEAC</v>
      </c>
      <c r="B780" s="1" t="str">
        <f ca="1">IFERROR(__xludf.DUMMYFUNCTION("""COMPUTED_VALUE"""),"Szabó Edina")</f>
        <v>Szabó Edina</v>
      </c>
      <c r="C780" s="1"/>
      <c r="D780" s="1" t="str">
        <f ca="1">IFERROR(__xludf.DUMMYFUNCTION("""COMPUTED_VALUE"""),"Nő")</f>
        <v>Nő</v>
      </c>
      <c r="E780" s="1"/>
      <c r="F780" s="1">
        <f ca="1">IFERROR(__xludf.DUMMYFUNCTION("""COMPUTED_VALUE"""),1976)</f>
        <v>1976</v>
      </c>
      <c r="G780" s="1">
        <f ca="1">IFERROR(__xludf.DUMMYFUNCTION("""COMPUTED_VALUE"""),886)</f>
        <v>886</v>
      </c>
      <c r="H780" s="1" t="str">
        <f ca="1">IFERROR(__xludf.DUMMYFUNCTION("""COMPUTED_VALUE"""),"MTLSZ000886A21")</f>
        <v>MTLSZ000886A21</v>
      </c>
      <c r="I780" s="2">
        <f ca="1">IFERROR(__xludf.DUMMYFUNCTION("""COMPUTED_VALUE"""),44335)</f>
        <v>44335</v>
      </c>
      <c r="J780" s="2">
        <f ca="1">IFERROR(__xludf.DUMMYFUNCTION("""COMPUTED_VALUE"""),44699)</f>
        <v>44699</v>
      </c>
    </row>
    <row r="781" spans="1:10" x14ac:dyDescent="0.25">
      <c r="A781" s="1" t="str">
        <f ca="1">IFERROR(__xludf.DUMMYFUNCTION("""COMPUTED_VALUE"""),"Életmód SE")</f>
        <v>Életmód SE</v>
      </c>
      <c r="B781" s="1" t="str">
        <f ca="1">IFERROR(__xludf.DUMMYFUNCTION("""COMPUTED_VALUE"""),"Aucsó István")</f>
        <v>Aucsó István</v>
      </c>
      <c r="C781" s="1"/>
      <c r="D781" s="1" t="str">
        <f ca="1">IFERROR(__xludf.DUMMYFUNCTION("""COMPUTED_VALUE"""),"Férfi")</f>
        <v>Férfi</v>
      </c>
      <c r="E781" s="1"/>
      <c r="F781" s="1">
        <f ca="1">IFERROR(__xludf.DUMMYFUNCTION("""COMPUTED_VALUE"""),1995)</f>
        <v>1995</v>
      </c>
      <c r="G781" s="1">
        <f ca="1">IFERROR(__xludf.DUMMYFUNCTION("""COMPUTED_VALUE"""),4604)</f>
        <v>4604</v>
      </c>
      <c r="H781" s="1" t="str">
        <f ca="1">IFERROR(__xludf.DUMMYFUNCTION("""COMPUTED_VALUE"""),"MTLSZ004604A21")</f>
        <v>MTLSZ004604A21</v>
      </c>
      <c r="I781" s="2">
        <f ca="1">IFERROR(__xludf.DUMMYFUNCTION("""COMPUTED_VALUE"""),44335)</f>
        <v>44335</v>
      </c>
      <c r="J781" s="2">
        <f ca="1">IFERROR(__xludf.DUMMYFUNCTION("""COMPUTED_VALUE"""),44699)</f>
        <v>44699</v>
      </c>
    </row>
    <row r="782" spans="1:10" x14ac:dyDescent="0.25">
      <c r="A782" s="1" t="str">
        <f ca="1">IFERROR(__xludf.DUMMYFUNCTION("""COMPUTED_VALUE"""),"Életmód SE")</f>
        <v>Életmód SE</v>
      </c>
      <c r="B782" s="1" t="str">
        <f ca="1">IFERROR(__xludf.DUMMYFUNCTION("""COMPUTED_VALUE"""),"Szalisznyó Zita")</f>
        <v>Szalisznyó Zita</v>
      </c>
      <c r="C782" s="1"/>
      <c r="D782" s="1" t="str">
        <f ca="1">IFERROR(__xludf.DUMMYFUNCTION("""COMPUTED_VALUE"""),"Nő")</f>
        <v>Nő</v>
      </c>
      <c r="E782" s="1"/>
      <c r="F782" s="1">
        <f ca="1">IFERROR(__xludf.DUMMYFUNCTION("""COMPUTED_VALUE"""),1979)</f>
        <v>1979</v>
      </c>
      <c r="G782" s="1">
        <f ca="1">IFERROR(__xludf.DUMMYFUNCTION("""COMPUTED_VALUE"""),4605)</f>
        <v>4605</v>
      </c>
      <c r="H782" s="1" t="str">
        <f ca="1">IFERROR(__xludf.DUMMYFUNCTION("""COMPUTED_VALUE"""),"MTLSZ004605A21")</f>
        <v>MTLSZ004605A21</v>
      </c>
      <c r="I782" s="2">
        <f ca="1">IFERROR(__xludf.DUMMYFUNCTION("""COMPUTED_VALUE"""),44335)</f>
        <v>44335</v>
      </c>
      <c r="J782" s="2">
        <f ca="1">IFERROR(__xludf.DUMMYFUNCTION("""COMPUTED_VALUE"""),44699)</f>
        <v>44699</v>
      </c>
    </row>
    <row r="783" spans="1:10" x14ac:dyDescent="0.25">
      <c r="A783" s="1" t="str">
        <f ca="1">IFERROR(__xludf.DUMMYFUNCTION("""COMPUTED_VALUE"""),"Talentum TSE")</f>
        <v>Talentum TSE</v>
      </c>
      <c r="B783" s="1" t="str">
        <f ca="1">IFERROR(__xludf.DUMMYFUNCTION("""COMPUTED_VALUE"""),"Daczi Zsombor")</f>
        <v>Daczi Zsombor</v>
      </c>
      <c r="C783" s="1"/>
      <c r="D783" s="1" t="str">
        <f ca="1">IFERROR(__xludf.DUMMYFUNCTION("""COMPUTED_VALUE"""),"Férfi")</f>
        <v>Férfi</v>
      </c>
      <c r="E783" s="1"/>
      <c r="F783" s="1">
        <f ca="1">IFERROR(__xludf.DUMMYFUNCTION("""COMPUTED_VALUE"""),2014)</f>
        <v>2014</v>
      </c>
      <c r="G783" s="1">
        <f ca="1">IFERROR(__xludf.DUMMYFUNCTION("""COMPUTED_VALUE"""),4603)</f>
        <v>4603</v>
      </c>
      <c r="H783" s="1" t="str">
        <f ca="1">IFERROR(__xludf.DUMMYFUNCTION("""COMPUTED_VALUE"""),"MTLSZ004603A21")</f>
        <v>MTLSZ004603A21</v>
      </c>
      <c r="I783" s="2">
        <f ca="1">IFERROR(__xludf.DUMMYFUNCTION("""COMPUTED_VALUE"""),44334)</f>
        <v>44334</v>
      </c>
      <c r="J783" s="2">
        <f ca="1">IFERROR(__xludf.DUMMYFUNCTION("""COMPUTED_VALUE"""),44698)</f>
        <v>44698</v>
      </c>
    </row>
    <row r="784" spans="1:10" x14ac:dyDescent="0.25">
      <c r="A784" s="1" t="str">
        <f ca="1">IFERROR(__xludf.DUMMYFUNCTION("""COMPUTED_VALUE"""),"Verőcei DE")</f>
        <v>Verőcei DE</v>
      </c>
      <c r="B784" s="1" t="str">
        <f ca="1">IFERROR(__xludf.DUMMYFUNCTION("""COMPUTED_VALUE"""),"Csóvári-Katona Boróka")</f>
        <v>Csóvári-Katona Boróka</v>
      </c>
      <c r="C784" s="1"/>
      <c r="D784" s="1" t="str">
        <f ca="1">IFERROR(__xludf.DUMMYFUNCTION("""COMPUTED_VALUE"""),"Nő")</f>
        <v>Nő</v>
      </c>
      <c r="E784" s="1"/>
      <c r="F784" s="1">
        <f ca="1">IFERROR(__xludf.DUMMYFUNCTION("""COMPUTED_VALUE"""),2011)</f>
        <v>2011</v>
      </c>
      <c r="G784" s="1">
        <f ca="1">IFERROR(__xludf.DUMMYFUNCTION("""COMPUTED_VALUE"""),4601)</f>
        <v>4601</v>
      </c>
      <c r="H784" s="1" t="str">
        <f ca="1">IFERROR(__xludf.DUMMYFUNCTION("""COMPUTED_VALUE"""),"MTLSZ004601A21")</f>
        <v>MTLSZ004601A21</v>
      </c>
      <c r="I784" s="2">
        <f ca="1">IFERROR(__xludf.DUMMYFUNCTION("""COMPUTED_VALUE"""),44334)</f>
        <v>44334</v>
      </c>
      <c r="J784" s="2">
        <f ca="1">IFERROR(__xludf.DUMMYFUNCTION("""COMPUTED_VALUE"""),44698)</f>
        <v>44698</v>
      </c>
    </row>
    <row r="785" spans="1:10" x14ac:dyDescent="0.25">
      <c r="A785" s="1" t="str">
        <f ca="1">IFERROR(__xludf.DUMMYFUNCTION("""COMPUTED_VALUE"""),"Verőcei DE")</f>
        <v>Verőcei DE</v>
      </c>
      <c r="B785" s="1" t="str">
        <f ca="1">IFERROR(__xludf.DUMMYFUNCTION("""COMPUTED_VALUE"""),"Csóvári-Katona Flóra")</f>
        <v>Csóvári-Katona Flóra</v>
      </c>
      <c r="C785" s="1"/>
      <c r="D785" s="1" t="str">
        <f ca="1">IFERROR(__xludf.DUMMYFUNCTION("""COMPUTED_VALUE"""),"Nő")</f>
        <v>Nő</v>
      </c>
      <c r="E785" s="1"/>
      <c r="F785" s="1">
        <f ca="1">IFERROR(__xludf.DUMMYFUNCTION("""COMPUTED_VALUE"""),2007)</f>
        <v>2007</v>
      </c>
      <c r="G785" s="1">
        <f ca="1">IFERROR(__xludf.DUMMYFUNCTION("""COMPUTED_VALUE"""),4600)</f>
        <v>4600</v>
      </c>
      <c r="H785" s="1" t="str">
        <f ca="1">IFERROR(__xludf.DUMMYFUNCTION("""COMPUTED_VALUE"""),"MTLSZ004600A21")</f>
        <v>MTLSZ004600A21</v>
      </c>
      <c r="I785" s="2">
        <f ca="1">IFERROR(__xludf.DUMMYFUNCTION("""COMPUTED_VALUE"""),44334)</f>
        <v>44334</v>
      </c>
      <c r="J785" s="2">
        <f ca="1">IFERROR(__xludf.DUMMYFUNCTION("""COMPUTED_VALUE"""),44698)</f>
        <v>44698</v>
      </c>
    </row>
    <row r="786" spans="1:10" x14ac:dyDescent="0.25">
      <c r="A786" s="1" t="str">
        <f ca="1">IFERROR(__xludf.DUMMYFUNCTION("""COMPUTED_VALUE"""),"Életmód SE")</f>
        <v>Életmód SE</v>
      </c>
      <c r="B786" s="1" t="str">
        <f ca="1">IFERROR(__xludf.DUMMYFUNCTION("""COMPUTED_VALUE"""),"Olasz Zsanett")</f>
        <v>Olasz Zsanett</v>
      </c>
      <c r="C786" s="1"/>
      <c r="D786" s="1" t="str">
        <f ca="1">IFERROR(__xludf.DUMMYFUNCTION("""COMPUTED_VALUE"""),"Nő")</f>
        <v>Nő</v>
      </c>
      <c r="E786" s="1"/>
      <c r="F786" s="1">
        <f ca="1">IFERROR(__xludf.DUMMYFUNCTION("""COMPUTED_VALUE"""),1994)</f>
        <v>1994</v>
      </c>
      <c r="G786" s="1">
        <f ca="1">IFERROR(__xludf.DUMMYFUNCTION("""COMPUTED_VALUE"""),4599)</f>
        <v>4599</v>
      </c>
      <c r="H786" s="1" t="str">
        <f ca="1">IFERROR(__xludf.DUMMYFUNCTION("""COMPUTED_VALUE"""),"MTLSZ004599A21")</f>
        <v>MTLSZ004599A21</v>
      </c>
      <c r="I786" s="2">
        <f ca="1">IFERROR(__xludf.DUMMYFUNCTION("""COMPUTED_VALUE"""),44333)</f>
        <v>44333</v>
      </c>
      <c r="J786" s="2">
        <f ca="1">IFERROR(__xludf.DUMMYFUNCTION("""COMPUTED_VALUE"""),44697)</f>
        <v>44697</v>
      </c>
    </row>
    <row r="787" spans="1:10" x14ac:dyDescent="0.25">
      <c r="A787" s="1" t="str">
        <f ca="1">IFERROR(__xludf.DUMMYFUNCTION("""COMPUTED_VALUE"""),"Honvéd Auróra SE")</f>
        <v>Honvéd Auróra SE</v>
      </c>
      <c r="B787" s="1" t="str">
        <f ca="1">IFERROR(__xludf.DUMMYFUNCTION("""COMPUTED_VALUE"""),"Balogh László")</f>
        <v>Balogh László</v>
      </c>
      <c r="C787" s="1"/>
      <c r="D787" s="1" t="str">
        <f ca="1">IFERROR(__xludf.DUMMYFUNCTION("""COMPUTED_VALUE"""),"Férfi")</f>
        <v>Férfi</v>
      </c>
      <c r="E787" s="1"/>
      <c r="F787" s="1">
        <f ca="1">IFERROR(__xludf.DUMMYFUNCTION("""COMPUTED_VALUE"""),1960)</f>
        <v>1960</v>
      </c>
      <c r="G787" s="1">
        <f ca="1">IFERROR(__xludf.DUMMYFUNCTION("""COMPUTED_VALUE"""),2011)</f>
        <v>2011</v>
      </c>
      <c r="H787" s="1" t="str">
        <f ca="1">IFERROR(__xludf.DUMMYFUNCTION("""COMPUTED_VALUE"""),"MTLSZ002011A21")</f>
        <v>MTLSZ002011A21</v>
      </c>
      <c r="I787" s="2">
        <f ca="1">IFERROR(__xludf.DUMMYFUNCTION("""COMPUTED_VALUE"""),44333)</f>
        <v>44333</v>
      </c>
      <c r="J787" s="2">
        <f ca="1">IFERROR(__xludf.DUMMYFUNCTION("""COMPUTED_VALUE"""),44697)</f>
        <v>44697</v>
      </c>
    </row>
    <row r="788" spans="1:10" x14ac:dyDescent="0.25">
      <c r="A788" s="1" t="str">
        <f ca="1">IFERROR(__xludf.DUMMYFUNCTION("""COMPUTED_VALUE"""),"MEAFC")</f>
        <v>MEAFC</v>
      </c>
      <c r="B788" s="1" t="str">
        <f ca="1">IFERROR(__xludf.DUMMYFUNCTION("""COMPUTED_VALUE"""),"Eszlári Zita")</f>
        <v>Eszlári Zita</v>
      </c>
      <c r="C788" s="1"/>
      <c r="D788" s="1" t="str">
        <f ca="1">IFERROR(__xludf.DUMMYFUNCTION("""COMPUTED_VALUE"""),"Nő")</f>
        <v>Nő</v>
      </c>
      <c r="E788" s="1"/>
      <c r="F788" s="1">
        <f ca="1">IFERROR(__xludf.DUMMYFUNCTION("""COMPUTED_VALUE"""),1972)</f>
        <v>1972</v>
      </c>
      <c r="G788" s="1">
        <f ca="1">IFERROR(__xludf.DUMMYFUNCTION("""COMPUTED_VALUE"""),4588)</f>
        <v>4588</v>
      </c>
      <c r="H788" s="1" t="str">
        <f ca="1">IFERROR(__xludf.DUMMYFUNCTION("""COMPUTED_VALUE"""),"MTLSZ004588A21")</f>
        <v>MTLSZ004588A21</v>
      </c>
      <c r="I788" s="2">
        <f ca="1">IFERROR(__xludf.DUMMYFUNCTION("""COMPUTED_VALUE"""),44333)</f>
        <v>44333</v>
      </c>
      <c r="J788" s="2">
        <f ca="1">IFERROR(__xludf.DUMMYFUNCTION("""COMPUTED_VALUE"""),44697)</f>
        <v>44697</v>
      </c>
    </row>
    <row r="789" spans="1:10" x14ac:dyDescent="0.25">
      <c r="A789" s="1" t="str">
        <f ca="1">IFERROR(__xludf.DUMMYFUNCTION("""COMPUTED_VALUE"""),"MEAFC")</f>
        <v>MEAFC</v>
      </c>
      <c r="B789" s="1" t="str">
        <f ca="1">IFERROR(__xludf.DUMMYFUNCTION("""COMPUTED_VALUE"""),"Szajky István")</f>
        <v>Szajky István</v>
      </c>
      <c r="C789" s="1"/>
      <c r="D789" s="1" t="str">
        <f ca="1">IFERROR(__xludf.DUMMYFUNCTION("""COMPUTED_VALUE"""),"Férfi")</f>
        <v>Férfi</v>
      </c>
      <c r="E789" s="1"/>
      <c r="F789" s="1">
        <f ca="1">IFERROR(__xludf.DUMMYFUNCTION("""COMPUTED_VALUE"""),2012)</f>
        <v>2012</v>
      </c>
      <c r="G789" s="1">
        <f ca="1">IFERROR(__xludf.DUMMYFUNCTION("""COMPUTED_VALUE"""),4587)</f>
        <v>4587</v>
      </c>
      <c r="H789" s="1" t="str">
        <f ca="1">IFERROR(__xludf.DUMMYFUNCTION("""COMPUTED_VALUE"""),"MTLSZ004587A21")</f>
        <v>MTLSZ004587A21</v>
      </c>
      <c r="I789" s="2">
        <f ca="1">IFERROR(__xludf.DUMMYFUNCTION("""COMPUTED_VALUE"""),44333)</f>
        <v>44333</v>
      </c>
      <c r="J789" s="2">
        <f ca="1">IFERROR(__xludf.DUMMYFUNCTION("""COMPUTED_VALUE"""),44697)</f>
        <v>44697</v>
      </c>
    </row>
    <row r="790" spans="1:10" x14ac:dyDescent="0.25">
      <c r="A790" s="1" t="str">
        <f ca="1">IFERROR(__xludf.DUMMYFUNCTION("""COMPUTED_VALUE"""),"MEAFC")</f>
        <v>MEAFC</v>
      </c>
      <c r="B790" s="1" t="str">
        <f ca="1">IFERROR(__xludf.DUMMYFUNCTION("""COMPUTED_VALUE"""),"Vékony Sándor")</f>
        <v>Vékony Sándor</v>
      </c>
      <c r="C790" s="1"/>
      <c r="D790" s="1" t="str">
        <f ca="1">IFERROR(__xludf.DUMMYFUNCTION("""COMPUTED_VALUE"""),"Férfi")</f>
        <v>Férfi</v>
      </c>
      <c r="E790" s="1"/>
      <c r="F790" s="1">
        <f ca="1">IFERROR(__xludf.DUMMYFUNCTION("""COMPUTED_VALUE"""),1962)</f>
        <v>1962</v>
      </c>
      <c r="G790" s="1">
        <f ca="1">IFERROR(__xludf.DUMMYFUNCTION("""COMPUTED_VALUE"""),4589)</f>
        <v>4589</v>
      </c>
      <c r="H790" s="1" t="str">
        <f ca="1">IFERROR(__xludf.DUMMYFUNCTION("""COMPUTED_VALUE"""),"MTLSZ004589A21")</f>
        <v>MTLSZ004589A21</v>
      </c>
      <c r="I790" s="2">
        <f ca="1">IFERROR(__xludf.DUMMYFUNCTION("""COMPUTED_VALUE"""),44333)</f>
        <v>44333</v>
      </c>
      <c r="J790" s="2">
        <f ca="1">IFERROR(__xludf.DUMMYFUNCTION("""COMPUTED_VALUE"""),44697)</f>
        <v>44697</v>
      </c>
    </row>
    <row r="791" spans="1:10" x14ac:dyDescent="0.25">
      <c r="A791" s="1" t="str">
        <f ca="1">IFERROR(__xludf.DUMMYFUNCTION("""COMPUTED_VALUE"""),"Reac SE")</f>
        <v>Reac SE</v>
      </c>
      <c r="B791" s="1" t="str">
        <f ca="1">IFERROR(__xludf.DUMMYFUNCTION("""COMPUTED_VALUE"""),"Törőcsik Evelin")</f>
        <v>Törőcsik Evelin</v>
      </c>
      <c r="C791" s="1"/>
      <c r="D791" s="1" t="str">
        <f ca="1">IFERROR(__xludf.DUMMYFUNCTION("""COMPUTED_VALUE"""),"Nő")</f>
        <v>Nő</v>
      </c>
      <c r="E791" s="1"/>
      <c r="F791" s="1">
        <f ca="1">IFERROR(__xludf.DUMMYFUNCTION("""COMPUTED_VALUE"""),1992)</f>
        <v>1992</v>
      </c>
      <c r="G791" s="1">
        <f ca="1">IFERROR(__xludf.DUMMYFUNCTION("""COMPUTED_VALUE"""),1068)</f>
        <v>1068</v>
      </c>
      <c r="H791" s="1" t="str">
        <f ca="1">IFERROR(__xludf.DUMMYFUNCTION("""COMPUTED_VALUE"""),"MTLSZ001068A21")</f>
        <v>MTLSZ001068A21</v>
      </c>
      <c r="I791" s="2">
        <f ca="1">IFERROR(__xludf.DUMMYFUNCTION("""COMPUTED_VALUE"""),44333)</f>
        <v>44333</v>
      </c>
      <c r="J791" s="2">
        <f ca="1">IFERROR(__xludf.DUMMYFUNCTION("""COMPUTED_VALUE"""),44697)</f>
        <v>44697</v>
      </c>
    </row>
    <row r="792" spans="1:10" x14ac:dyDescent="0.25">
      <c r="A792" s="1" t="str">
        <f ca="1">IFERROR(__xludf.DUMMYFUNCTION("""COMPUTED_VALUE"""),"Szegedi TSE")</f>
        <v>Szegedi TSE</v>
      </c>
      <c r="B792" s="1" t="str">
        <f ca="1">IFERROR(__xludf.DUMMYFUNCTION("""COMPUTED_VALUE"""),"Fekete Carmen")</f>
        <v>Fekete Carmen</v>
      </c>
      <c r="C792" s="1"/>
      <c r="D792" s="1" t="str">
        <f ca="1">IFERROR(__xludf.DUMMYFUNCTION("""COMPUTED_VALUE"""),"Nő")</f>
        <v>Nő</v>
      </c>
      <c r="E792" s="1"/>
      <c r="F792" s="1">
        <f ca="1">IFERROR(__xludf.DUMMYFUNCTION("""COMPUTED_VALUE"""),1969)</f>
        <v>1969</v>
      </c>
      <c r="G792" s="1">
        <f ca="1">IFERROR(__xludf.DUMMYFUNCTION("""COMPUTED_VALUE"""),4586)</f>
        <v>4586</v>
      </c>
      <c r="H792" s="1" t="str">
        <f ca="1">IFERROR(__xludf.DUMMYFUNCTION("""COMPUTED_VALUE"""),"MTLSZ004586A21")</f>
        <v>MTLSZ004586A21</v>
      </c>
      <c r="I792" s="2">
        <f ca="1">IFERROR(__xludf.DUMMYFUNCTION("""COMPUTED_VALUE"""),44333)</f>
        <v>44333</v>
      </c>
      <c r="J792" s="2">
        <f ca="1">IFERROR(__xludf.DUMMYFUNCTION("""COMPUTED_VALUE"""),44697)</f>
        <v>44697</v>
      </c>
    </row>
    <row r="793" spans="1:10" x14ac:dyDescent="0.25">
      <c r="A793" s="1" t="str">
        <f ca="1">IFERROR(__xludf.DUMMYFUNCTION("""COMPUTED_VALUE"""),"VSD")</f>
        <v>VSD</v>
      </c>
      <c r="B793" s="1" t="str">
        <f ca="1">IFERROR(__xludf.DUMMYFUNCTION("""COMPUTED_VALUE"""),"Csépai Miklós")</f>
        <v>Csépai Miklós</v>
      </c>
      <c r="C793" s="1"/>
      <c r="D793" s="1" t="str">
        <f ca="1">IFERROR(__xludf.DUMMYFUNCTION("""COMPUTED_VALUE"""),"Férfi")</f>
        <v>Férfi</v>
      </c>
      <c r="E793" s="1"/>
      <c r="F793" s="1">
        <f ca="1">IFERROR(__xludf.DUMMYFUNCTION("""COMPUTED_VALUE"""),1997)</f>
        <v>1997</v>
      </c>
      <c r="G793" s="1">
        <f ca="1">IFERROR(__xludf.DUMMYFUNCTION("""COMPUTED_VALUE"""),4595)</f>
        <v>4595</v>
      </c>
      <c r="H793" s="1" t="str">
        <f ca="1">IFERROR(__xludf.DUMMYFUNCTION("""COMPUTED_VALUE"""),"MTLSZ004595A21")</f>
        <v>MTLSZ004595A21</v>
      </c>
      <c r="I793" s="2">
        <f ca="1">IFERROR(__xludf.DUMMYFUNCTION("""COMPUTED_VALUE"""),44333)</f>
        <v>44333</v>
      </c>
      <c r="J793" s="2">
        <f ca="1">IFERROR(__xludf.DUMMYFUNCTION("""COMPUTED_VALUE"""),44697)</f>
        <v>44697</v>
      </c>
    </row>
    <row r="794" spans="1:10" x14ac:dyDescent="0.25">
      <c r="A794" s="1" t="str">
        <f ca="1">IFERROR(__xludf.DUMMYFUNCTION("""COMPUTED_VALUE"""),"VSD")</f>
        <v>VSD</v>
      </c>
      <c r="B794" s="1" t="str">
        <f ca="1">IFERROR(__xludf.DUMMYFUNCTION("""COMPUTED_VALUE"""),"Gulyás Erika")</f>
        <v>Gulyás Erika</v>
      </c>
      <c r="C794" s="1"/>
      <c r="D794" s="1" t="str">
        <f ca="1">IFERROR(__xludf.DUMMYFUNCTION("""COMPUTED_VALUE"""),"Nő")</f>
        <v>Nő</v>
      </c>
      <c r="E794" s="1"/>
      <c r="F794" s="1">
        <f ca="1">IFERROR(__xludf.DUMMYFUNCTION("""COMPUTED_VALUE"""),1967)</f>
        <v>1967</v>
      </c>
      <c r="G794" s="1">
        <f ca="1">IFERROR(__xludf.DUMMYFUNCTION("""COMPUTED_VALUE"""),4597)</f>
        <v>4597</v>
      </c>
      <c r="H794" s="1" t="str">
        <f ca="1">IFERROR(__xludf.DUMMYFUNCTION("""COMPUTED_VALUE"""),"MTLSZ004597A21")</f>
        <v>MTLSZ004597A21</v>
      </c>
      <c r="I794" s="2">
        <f ca="1">IFERROR(__xludf.DUMMYFUNCTION("""COMPUTED_VALUE"""),44333)</f>
        <v>44333</v>
      </c>
      <c r="J794" s="2">
        <f ca="1">IFERROR(__xludf.DUMMYFUNCTION("""COMPUTED_VALUE"""),44697)</f>
        <v>44697</v>
      </c>
    </row>
    <row r="795" spans="1:10" x14ac:dyDescent="0.25">
      <c r="A795" s="1" t="str">
        <f ca="1">IFERROR(__xludf.DUMMYFUNCTION("""COMPUTED_VALUE"""),"VSD")</f>
        <v>VSD</v>
      </c>
      <c r="B795" s="1" t="str">
        <f ca="1">IFERROR(__xludf.DUMMYFUNCTION("""COMPUTED_VALUE"""),"Hajdú Tamás")</f>
        <v>Hajdú Tamás</v>
      </c>
      <c r="C795" s="1"/>
      <c r="D795" s="1" t="str">
        <f ca="1">IFERROR(__xludf.DUMMYFUNCTION("""COMPUTED_VALUE"""),"Férfi")</f>
        <v>Férfi</v>
      </c>
      <c r="E795" s="1"/>
      <c r="F795" s="1">
        <f ca="1">IFERROR(__xludf.DUMMYFUNCTION("""COMPUTED_VALUE"""),1977)</f>
        <v>1977</v>
      </c>
      <c r="G795" s="1">
        <f ca="1">IFERROR(__xludf.DUMMYFUNCTION("""COMPUTED_VALUE"""),4598)</f>
        <v>4598</v>
      </c>
      <c r="H795" s="1" t="str">
        <f ca="1">IFERROR(__xludf.DUMMYFUNCTION("""COMPUTED_VALUE"""),"MTLSZ004598A21")</f>
        <v>MTLSZ004598A21</v>
      </c>
      <c r="I795" s="2">
        <f ca="1">IFERROR(__xludf.DUMMYFUNCTION("""COMPUTED_VALUE"""),44333)</f>
        <v>44333</v>
      </c>
      <c r="J795" s="2">
        <f ca="1">IFERROR(__xludf.DUMMYFUNCTION("""COMPUTED_VALUE"""),44697)</f>
        <v>44697</v>
      </c>
    </row>
    <row r="796" spans="1:10" x14ac:dyDescent="0.25">
      <c r="A796" s="1" t="str">
        <f ca="1">IFERROR(__xludf.DUMMYFUNCTION("""COMPUTED_VALUE"""),"VSD")</f>
        <v>VSD</v>
      </c>
      <c r="B796" s="1" t="str">
        <f ca="1">IFERROR(__xludf.DUMMYFUNCTION("""COMPUTED_VALUE"""),"Kubányi Gergely")</f>
        <v>Kubányi Gergely</v>
      </c>
      <c r="C796" s="1"/>
      <c r="D796" s="1" t="str">
        <f ca="1">IFERROR(__xludf.DUMMYFUNCTION("""COMPUTED_VALUE"""),"Férfi")</f>
        <v>Férfi</v>
      </c>
      <c r="E796" s="1"/>
      <c r="F796" s="1">
        <f ca="1">IFERROR(__xludf.DUMMYFUNCTION("""COMPUTED_VALUE"""),1970)</f>
        <v>1970</v>
      </c>
      <c r="G796" s="1">
        <f ca="1">IFERROR(__xludf.DUMMYFUNCTION("""COMPUTED_VALUE"""),4592)</f>
        <v>4592</v>
      </c>
      <c r="H796" s="1" t="str">
        <f ca="1">IFERROR(__xludf.DUMMYFUNCTION("""COMPUTED_VALUE"""),"MTLSZ004592A21")</f>
        <v>MTLSZ004592A21</v>
      </c>
      <c r="I796" s="2">
        <f ca="1">IFERROR(__xludf.DUMMYFUNCTION("""COMPUTED_VALUE"""),44333)</f>
        <v>44333</v>
      </c>
      <c r="J796" s="2">
        <f ca="1">IFERROR(__xludf.DUMMYFUNCTION("""COMPUTED_VALUE"""),44697)</f>
        <v>44697</v>
      </c>
    </row>
    <row r="797" spans="1:10" x14ac:dyDescent="0.25">
      <c r="A797" s="1" t="str">
        <f ca="1">IFERROR(__xludf.DUMMYFUNCTION("""COMPUTED_VALUE"""),"VSD")</f>
        <v>VSD</v>
      </c>
      <c r="B797" s="1" t="str">
        <f ca="1">IFERROR(__xludf.DUMMYFUNCTION("""COMPUTED_VALUE"""),"Ládi László")</f>
        <v>Ládi László</v>
      </c>
      <c r="C797" s="1"/>
      <c r="D797" s="1" t="str">
        <f ca="1">IFERROR(__xludf.DUMMYFUNCTION("""COMPUTED_VALUE"""),"Férfi")</f>
        <v>Férfi</v>
      </c>
      <c r="E797" s="1"/>
      <c r="F797" s="1">
        <f ca="1">IFERROR(__xludf.DUMMYFUNCTION("""COMPUTED_VALUE"""),1951)</f>
        <v>1951</v>
      </c>
      <c r="G797" s="1">
        <f ca="1">IFERROR(__xludf.DUMMYFUNCTION("""COMPUTED_VALUE"""),4593)</f>
        <v>4593</v>
      </c>
      <c r="H797" s="1" t="str">
        <f ca="1">IFERROR(__xludf.DUMMYFUNCTION("""COMPUTED_VALUE"""),"MTLSZ004593A21")</f>
        <v>MTLSZ004593A21</v>
      </c>
      <c r="I797" s="2">
        <f ca="1">IFERROR(__xludf.DUMMYFUNCTION("""COMPUTED_VALUE"""),44333)</f>
        <v>44333</v>
      </c>
      <c r="J797" s="2">
        <f ca="1">IFERROR(__xludf.DUMMYFUNCTION("""COMPUTED_VALUE"""),44697)</f>
        <v>44697</v>
      </c>
    </row>
    <row r="798" spans="1:10" x14ac:dyDescent="0.25">
      <c r="A798" s="1" t="str">
        <f ca="1">IFERROR(__xludf.DUMMYFUNCTION("""COMPUTED_VALUE"""),"VSD")</f>
        <v>VSD</v>
      </c>
      <c r="B798" s="1" t="str">
        <f ca="1">IFERROR(__xludf.DUMMYFUNCTION("""COMPUTED_VALUE"""),"Niedermayer Ferenc")</f>
        <v>Niedermayer Ferenc</v>
      </c>
      <c r="C798" s="1"/>
      <c r="D798" s="1" t="str">
        <f ca="1">IFERROR(__xludf.DUMMYFUNCTION("""COMPUTED_VALUE"""),"Férfi")</f>
        <v>Férfi</v>
      </c>
      <c r="E798" s="1"/>
      <c r="F798" s="1">
        <f ca="1">IFERROR(__xludf.DUMMYFUNCTION("""COMPUTED_VALUE"""),1971)</f>
        <v>1971</v>
      </c>
      <c r="G798" s="1">
        <f ca="1">IFERROR(__xludf.DUMMYFUNCTION("""COMPUTED_VALUE"""),4591)</f>
        <v>4591</v>
      </c>
      <c r="H798" s="1" t="str">
        <f ca="1">IFERROR(__xludf.DUMMYFUNCTION("""COMPUTED_VALUE"""),"MTLSZ004591A21")</f>
        <v>MTLSZ004591A21</v>
      </c>
      <c r="I798" s="2">
        <f ca="1">IFERROR(__xludf.DUMMYFUNCTION("""COMPUTED_VALUE"""),44333)</f>
        <v>44333</v>
      </c>
      <c r="J798" s="2">
        <f ca="1">IFERROR(__xludf.DUMMYFUNCTION("""COMPUTED_VALUE"""),44697)</f>
        <v>44697</v>
      </c>
    </row>
    <row r="799" spans="1:10" x14ac:dyDescent="0.25">
      <c r="A799" s="1" t="str">
        <f ca="1">IFERROR(__xludf.DUMMYFUNCTION("""COMPUTED_VALUE"""),"VSD")</f>
        <v>VSD</v>
      </c>
      <c r="B799" s="1" t="str">
        <f ca="1">IFERROR(__xludf.DUMMYFUNCTION("""COMPUTED_VALUE"""),"Osztrovszki Levente")</f>
        <v>Osztrovszki Levente</v>
      </c>
      <c r="C799" s="1"/>
      <c r="D799" s="1" t="str">
        <f ca="1">IFERROR(__xludf.DUMMYFUNCTION("""COMPUTED_VALUE"""),"Férfi")</f>
        <v>Férfi</v>
      </c>
      <c r="E799" s="1"/>
      <c r="F799" s="1">
        <f ca="1">IFERROR(__xludf.DUMMYFUNCTION("""COMPUTED_VALUE"""),1967)</f>
        <v>1967</v>
      </c>
      <c r="G799" s="1">
        <f ca="1">IFERROR(__xludf.DUMMYFUNCTION("""COMPUTED_VALUE"""),4594)</f>
        <v>4594</v>
      </c>
      <c r="H799" s="1" t="str">
        <f ca="1">IFERROR(__xludf.DUMMYFUNCTION("""COMPUTED_VALUE"""),"MTLSZ004594A21")</f>
        <v>MTLSZ004594A21</v>
      </c>
      <c r="I799" s="2">
        <f ca="1">IFERROR(__xludf.DUMMYFUNCTION("""COMPUTED_VALUE"""),44333)</f>
        <v>44333</v>
      </c>
      <c r="J799" s="2">
        <f ca="1">IFERROR(__xludf.DUMMYFUNCTION("""COMPUTED_VALUE"""),44697)</f>
        <v>44697</v>
      </c>
    </row>
    <row r="800" spans="1:10" x14ac:dyDescent="0.25">
      <c r="A800" s="1" t="str">
        <f ca="1">IFERROR(__xludf.DUMMYFUNCTION("""COMPUTED_VALUE"""),"VSD")</f>
        <v>VSD</v>
      </c>
      <c r="B800" s="1" t="str">
        <f ca="1">IFERROR(__xludf.DUMMYFUNCTION("""COMPUTED_VALUE"""),"Szabó András")</f>
        <v>Szabó András</v>
      </c>
      <c r="C800" s="1"/>
      <c r="D800" s="1" t="str">
        <f ca="1">IFERROR(__xludf.DUMMYFUNCTION("""COMPUTED_VALUE"""),"Férfi")</f>
        <v>Férfi</v>
      </c>
      <c r="E800" s="1"/>
      <c r="F800" s="1">
        <f ca="1">IFERROR(__xludf.DUMMYFUNCTION("""COMPUTED_VALUE"""),1973)</f>
        <v>1973</v>
      </c>
      <c r="G800" s="1">
        <f ca="1">IFERROR(__xludf.DUMMYFUNCTION("""COMPUTED_VALUE"""),4596)</f>
        <v>4596</v>
      </c>
      <c r="H800" s="1" t="str">
        <f ca="1">IFERROR(__xludf.DUMMYFUNCTION("""COMPUTED_VALUE"""),"MTLSZ004596A21")</f>
        <v>MTLSZ004596A21</v>
      </c>
      <c r="I800" s="2">
        <f ca="1">IFERROR(__xludf.DUMMYFUNCTION("""COMPUTED_VALUE"""),44333)</f>
        <v>44333</v>
      </c>
      <c r="J800" s="2">
        <f ca="1">IFERROR(__xludf.DUMMYFUNCTION("""COMPUTED_VALUE"""),44697)</f>
        <v>44697</v>
      </c>
    </row>
    <row r="801" spans="1:10" x14ac:dyDescent="0.25">
      <c r="A801" s="1" t="str">
        <f ca="1">IFERROR(__xludf.DUMMYFUNCTION("""COMPUTED_VALUE"""),"VSD")</f>
        <v>VSD</v>
      </c>
      <c r="B801" s="1" t="str">
        <f ca="1">IFERROR(__xludf.DUMMYFUNCTION("""COMPUTED_VALUE"""),"Vaszkó Szabolcs Dr.")</f>
        <v>Vaszkó Szabolcs Dr.</v>
      </c>
      <c r="C801" s="1"/>
      <c r="D801" s="1" t="str">
        <f ca="1">IFERROR(__xludf.DUMMYFUNCTION("""COMPUTED_VALUE"""),"Férfi")</f>
        <v>Férfi</v>
      </c>
      <c r="E801" s="1"/>
      <c r="F801" s="1">
        <f ca="1">IFERROR(__xludf.DUMMYFUNCTION("""COMPUTED_VALUE"""),1973)</f>
        <v>1973</v>
      </c>
      <c r="G801" s="1">
        <f ca="1">IFERROR(__xludf.DUMMYFUNCTION("""COMPUTED_VALUE"""),4590)</f>
        <v>4590</v>
      </c>
      <c r="H801" s="1" t="str">
        <f ca="1">IFERROR(__xludf.DUMMYFUNCTION("""COMPUTED_VALUE"""),"MTLSZ004590A21")</f>
        <v>MTLSZ004590A21</v>
      </c>
      <c r="I801" s="2">
        <f ca="1">IFERROR(__xludf.DUMMYFUNCTION("""COMPUTED_VALUE"""),44333)</f>
        <v>44333</v>
      </c>
      <c r="J801" s="2">
        <f ca="1">IFERROR(__xludf.DUMMYFUNCTION("""COMPUTED_VALUE"""),44697)</f>
        <v>44697</v>
      </c>
    </row>
    <row r="802" spans="1:10" x14ac:dyDescent="0.25">
      <c r="A802" s="1" t="str">
        <f ca="1">IFERROR(__xludf.DUMMYFUNCTION("""COMPUTED_VALUE"""),"Ludovika SE")</f>
        <v>Ludovika SE</v>
      </c>
      <c r="B802" s="1" t="str">
        <f ca="1">IFERROR(__xludf.DUMMYFUNCTION("""COMPUTED_VALUE"""),"Gál Roland")</f>
        <v>Gál Roland</v>
      </c>
      <c r="C802" s="1"/>
      <c r="D802" s="1" t="str">
        <f ca="1">IFERROR(__xludf.DUMMYFUNCTION("""COMPUTED_VALUE"""),"Férfi")</f>
        <v>Férfi</v>
      </c>
      <c r="E802" s="1"/>
      <c r="F802" s="1">
        <f ca="1">IFERROR(__xludf.DUMMYFUNCTION("""COMPUTED_VALUE"""),1971)</f>
        <v>1971</v>
      </c>
      <c r="G802" s="1">
        <f ca="1">IFERROR(__xludf.DUMMYFUNCTION("""COMPUTED_VALUE"""),275)</f>
        <v>275</v>
      </c>
      <c r="H802" s="1" t="str">
        <f ca="1">IFERROR(__xludf.DUMMYFUNCTION("""COMPUTED_VALUE"""),"MTLSZ000275A21")</f>
        <v>MTLSZ000275A21</v>
      </c>
      <c r="I802" s="2">
        <f ca="1">IFERROR(__xludf.DUMMYFUNCTION("""COMPUTED_VALUE"""),44328)</f>
        <v>44328</v>
      </c>
      <c r="J802" s="2">
        <f ca="1">IFERROR(__xludf.DUMMYFUNCTION("""COMPUTED_VALUE"""),44692)</f>
        <v>44692</v>
      </c>
    </row>
    <row r="803" spans="1:10" x14ac:dyDescent="0.25">
      <c r="A803" s="1" t="str">
        <f ca="1">IFERROR(__xludf.DUMMYFUNCTION("""COMPUTED_VALUE"""),"Ludovika SE")</f>
        <v>Ludovika SE</v>
      </c>
      <c r="B803" s="1" t="str">
        <f ca="1">IFERROR(__xludf.DUMMYFUNCTION("""COMPUTED_VALUE"""),"Paál Dániel")</f>
        <v>Paál Dániel</v>
      </c>
      <c r="C803" s="1"/>
      <c r="D803" s="1" t="str">
        <f ca="1">IFERROR(__xludf.DUMMYFUNCTION("""COMPUTED_VALUE"""),"Férfi")</f>
        <v>Férfi</v>
      </c>
      <c r="E803" s="1"/>
      <c r="F803" s="1">
        <f ca="1">IFERROR(__xludf.DUMMYFUNCTION("""COMPUTED_VALUE"""),1995)</f>
        <v>1995</v>
      </c>
      <c r="G803" s="1">
        <f ca="1">IFERROR(__xludf.DUMMYFUNCTION("""COMPUTED_VALUE"""),1990)</f>
        <v>1990</v>
      </c>
      <c r="H803" s="1" t="str">
        <f ca="1">IFERROR(__xludf.DUMMYFUNCTION("""COMPUTED_VALUE"""),"MTLSZ001990A21")</f>
        <v>MTLSZ001990A21</v>
      </c>
      <c r="I803" s="2">
        <f ca="1">IFERROR(__xludf.DUMMYFUNCTION("""COMPUTED_VALUE"""),44328)</f>
        <v>44328</v>
      </c>
      <c r="J803" s="2">
        <f ca="1">IFERROR(__xludf.DUMMYFUNCTION("""COMPUTED_VALUE"""),44692)</f>
        <v>44692</v>
      </c>
    </row>
    <row r="804" spans="1:10" x14ac:dyDescent="0.25">
      <c r="A804" s="1" t="str">
        <f ca="1">IFERROR(__xludf.DUMMYFUNCTION("""COMPUTED_VALUE"""),"Talentum TSE")</f>
        <v>Talentum TSE</v>
      </c>
      <c r="B804" s="1" t="str">
        <f ca="1">IFERROR(__xludf.DUMMYFUNCTION("""COMPUTED_VALUE"""),"Keresztes Lilla")</f>
        <v>Keresztes Lilla</v>
      </c>
      <c r="C804" s="1"/>
      <c r="D804" s="1" t="str">
        <f ca="1">IFERROR(__xludf.DUMMYFUNCTION("""COMPUTED_VALUE"""),"Nő")</f>
        <v>Nő</v>
      </c>
      <c r="E804" s="1"/>
      <c r="F804" s="1">
        <f ca="1">IFERROR(__xludf.DUMMYFUNCTION("""COMPUTED_VALUE"""),2002)</f>
        <v>2002</v>
      </c>
      <c r="G804" s="1">
        <f ca="1">IFERROR(__xludf.DUMMYFUNCTION("""COMPUTED_VALUE"""),2925)</f>
        <v>2925</v>
      </c>
      <c r="H804" s="1" t="str">
        <f ca="1">IFERROR(__xludf.DUMMYFUNCTION("""COMPUTED_VALUE"""),"MTLSZ002925A21")</f>
        <v>MTLSZ002925A21</v>
      </c>
      <c r="I804" s="2">
        <f ca="1">IFERROR(__xludf.DUMMYFUNCTION("""COMPUTED_VALUE"""),44328)</f>
        <v>44328</v>
      </c>
      <c r="J804" s="2">
        <f ca="1">IFERROR(__xludf.DUMMYFUNCTION("""COMPUTED_VALUE"""),44692)</f>
        <v>44692</v>
      </c>
    </row>
    <row r="805" spans="1:10" x14ac:dyDescent="0.25">
      <c r="A805" s="1" t="str">
        <f ca="1">IFERROR(__xludf.DUMMYFUNCTION("""COMPUTED_VALUE"""),"Életmód SE")</f>
        <v>Életmód SE</v>
      </c>
      <c r="B805" s="1" t="str">
        <f ca="1">IFERROR(__xludf.DUMMYFUNCTION("""COMPUTED_VALUE"""),"Burján Krisztina")</f>
        <v>Burján Krisztina</v>
      </c>
      <c r="C805" s="1"/>
      <c r="D805" s="1" t="str">
        <f ca="1">IFERROR(__xludf.DUMMYFUNCTION("""COMPUTED_VALUE"""),"Nő")</f>
        <v>Nő</v>
      </c>
      <c r="E805" s="1"/>
      <c r="F805" s="1">
        <f ca="1">IFERROR(__xludf.DUMMYFUNCTION("""COMPUTED_VALUE"""),1999)</f>
        <v>1999</v>
      </c>
      <c r="G805" s="1">
        <f ca="1">IFERROR(__xludf.DUMMYFUNCTION("""COMPUTED_VALUE"""),4582)</f>
        <v>4582</v>
      </c>
      <c r="H805" s="1" t="str">
        <f ca="1">IFERROR(__xludf.DUMMYFUNCTION("""COMPUTED_VALUE"""),"MTLSZ004582A21")</f>
        <v>MTLSZ004582A21</v>
      </c>
      <c r="I805" s="2">
        <f ca="1">IFERROR(__xludf.DUMMYFUNCTION("""COMPUTED_VALUE"""),44327)</f>
        <v>44327</v>
      </c>
      <c r="J805" s="2">
        <f ca="1">IFERROR(__xludf.DUMMYFUNCTION("""COMPUTED_VALUE"""),44691)</f>
        <v>44691</v>
      </c>
    </row>
    <row r="806" spans="1:10" x14ac:dyDescent="0.25">
      <c r="A806" s="1" t="str">
        <f ca="1">IFERROR(__xludf.DUMMYFUNCTION("""COMPUTED_VALUE"""),"Életmód SE")</f>
        <v>Életmód SE</v>
      </c>
      <c r="B806" s="1" t="str">
        <f ca="1">IFERROR(__xludf.DUMMYFUNCTION("""COMPUTED_VALUE"""),"Jani Viktor Ferenc")</f>
        <v>Jani Viktor Ferenc</v>
      </c>
      <c r="C806" s="1"/>
      <c r="D806" s="1" t="str">
        <f ca="1">IFERROR(__xludf.DUMMYFUNCTION("""COMPUTED_VALUE"""),"Férfi")</f>
        <v>Férfi</v>
      </c>
      <c r="E806" s="1"/>
      <c r="F806" s="1">
        <f ca="1">IFERROR(__xludf.DUMMYFUNCTION("""COMPUTED_VALUE"""),1988)</f>
        <v>1988</v>
      </c>
      <c r="G806" s="1">
        <f ca="1">IFERROR(__xludf.DUMMYFUNCTION("""COMPUTED_VALUE"""),408)</f>
        <v>408</v>
      </c>
      <c r="H806" s="1" t="str">
        <f ca="1">IFERROR(__xludf.DUMMYFUNCTION("""COMPUTED_VALUE"""),"MTLSZ000408A21")</f>
        <v>MTLSZ000408A21</v>
      </c>
      <c r="I806" s="2">
        <f ca="1">IFERROR(__xludf.DUMMYFUNCTION("""COMPUTED_VALUE"""),44327)</f>
        <v>44327</v>
      </c>
      <c r="J806" s="2">
        <f ca="1">IFERROR(__xludf.DUMMYFUNCTION("""COMPUTED_VALUE"""),44691)</f>
        <v>44691</v>
      </c>
    </row>
    <row r="807" spans="1:10" x14ac:dyDescent="0.25">
      <c r="A807" s="1" t="str">
        <f ca="1">IFERROR(__xludf.DUMMYFUNCTION("""COMPUTED_VALUE"""),"Életmód SE")</f>
        <v>Életmód SE</v>
      </c>
      <c r="B807" s="1" t="str">
        <f ca="1">IFERROR(__xludf.DUMMYFUNCTION("""COMPUTED_VALUE"""),"Koncz Dávid")</f>
        <v>Koncz Dávid</v>
      </c>
      <c r="C807" s="1"/>
      <c r="D807" s="1" t="str">
        <f ca="1">IFERROR(__xludf.DUMMYFUNCTION("""COMPUTED_VALUE"""),"Férfi")</f>
        <v>Férfi</v>
      </c>
      <c r="E807" s="1"/>
      <c r="F807" s="1">
        <f ca="1">IFERROR(__xludf.DUMMYFUNCTION("""COMPUTED_VALUE"""),1985)</f>
        <v>1985</v>
      </c>
      <c r="G807" s="1">
        <f ca="1">IFERROR(__xludf.DUMMYFUNCTION("""COMPUTED_VALUE"""),3551)</f>
        <v>3551</v>
      </c>
      <c r="H807" s="1" t="str">
        <f ca="1">IFERROR(__xludf.DUMMYFUNCTION("""COMPUTED_VALUE"""),"MTLSZ003551A21")</f>
        <v>MTLSZ003551A21</v>
      </c>
      <c r="I807" s="2">
        <f ca="1">IFERROR(__xludf.DUMMYFUNCTION("""COMPUTED_VALUE"""),44327)</f>
        <v>44327</v>
      </c>
      <c r="J807" s="2">
        <f ca="1">IFERROR(__xludf.DUMMYFUNCTION("""COMPUTED_VALUE"""),44691)</f>
        <v>44691</v>
      </c>
    </row>
    <row r="808" spans="1:10" x14ac:dyDescent="0.25">
      <c r="A808" s="1" t="str">
        <f ca="1">IFERROR(__xludf.DUMMYFUNCTION("""COMPUTED_VALUE"""),"Életmód SE")</f>
        <v>Életmód SE</v>
      </c>
      <c r="B808" s="1" t="str">
        <f ca="1">IFERROR(__xludf.DUMMYFUNCTION("""COMPUTED_VALUE"""),"Kosztolányi Csaba")</f>
        <v>Kosztolányi Csaba</v>
      </c>
      <c r="C808" s="1"/>
      <c r="D808" s="1" t="str">
        <f ca="1">IFERROR(__xludf.DUMMYFUNCTION("""COMPUTED_VALUE"""),"Férfi")</f>
        <v>Férfi</v>
      </c>
      <c r="E808" s="1"/>
      <c r="F808" s="1">
        <f ca="1">IFERROR(__xludf.DUMMYFUNCTION("""COMPUTED_VALUE"""),1991)</f>
        <v>1991</v>
      </c>
      <c r="G808" s="1">
        <f ca="1">IFERROR(__xludf.DUMMYFUNCTION("""COMPUTED_VALUE"""),4583)</f>
        <v>4583</v>
      </c>
      <c r="H808" s="1" t="str">
        <f ca="1">IFERROR(__xludf.DUMMYFUNCTION("""COMPUTED_VALUE"""),"MTLSZ004583A21")</f>
        <v>MTLSZ004583A21</v>
      </c>
      <c r="I808" s="2">
        <f ca="1">IFERROR(__xludf.DUMMYFUNCTION("""COMPUTED_VALUE"""),44327)</f>
        <v>44327</v>
      </c>
      <c r="J808" s="2">
        <f ca="1">IFERROR(__xludf.DUMMYFUNCTION("""COMPUTED_VALUE"""),44691)</f>
        <v>44691</v>
      </c>
    </row>
    <row r="809" spans="1:10" x14ac:dyDescent="0.25">
      <c r="A809" s="1" t="str">
        <f ca="1">IFERROR(__xludf.DUMMYFUNCTION("""COMPUTED_VALUE"""),"Életmód SE")</f>
        <v>Életmód SE</v>
      </c>
      <c r="B809" s="1" t="str">
        <f ca="1">IFERROR(__xludf.DUMMYFUNCTION("""COMPUTED_VALUE"""),"Törőcsik István")</f>
        <v>Törőcsik István</v>
      </c>
      <c r="C809" s="1"/>
      <c r="D809" s="1" t="str">
        <f ca="1">IFERROR(__xludf.DUMMYFUNCTION("""COMPUTED_VALUE"""),"Férfi")</f>
        <v>Férfi</v>
      </c>
      <c r="E809" s="1"/>
      <c r="F809" s="1">
        <f ca="1">IFERROR(__xludf.DUMMYFUNCTION("""COMPUTED_VALUE"""),1968)</f>
        <v>1968</v>
      </c>
      <c r="G809" s="1">
        <f ca="1">IFERROR(__xludf.DUMMYFUNCTION("""COMPUTED_VALUE"""),4584)</f>
        <v>4584</v>
      </c>
      <c r="H809" s="1" t="str">
        <f ca="1">IFERROR(__xludf.DUMMYFUNCTION("""COMPUTED_VALUE"""),"MTLSZ004584A21")</f>
        <v>MTLSZ004584A21</v>
      </c>
      <c r="I809" s="2">
        <f ca="1">IFERROR(__xludf.DUMMYFUNCTION("""COMPUTED_VALUE"""),44327)</f>
        <v>44327</v>
      </c>
      <c r="J809" s="2">
        <f ca="1">IFERROR(__xludf.DUMMYFUNCTION("""COMPUTED_VALUE"""),44691)</f>
        <v>44691</v>
      </c>
    </row>
    <row r="810" spans="1:10" x14ac:dyDescent="0.25">
      <c r="A810" s="1" t="str">
        <f ca="1">IFERROR(__xludf.DUMMYFUNCTION("""COMPUTED_VALUE"""),"Életmód SE")</f>
        <v>Életmód SE</v>
      </c>
      <c r="B810" s="1" t="str">
        <f ca="1">IFERROR(__xludf.DUMMYFUNCTION("""COMPUTED_VALUE"""),"Törőcsikné Lavicska Edit")</f>
        <v>Törőcsikné Lavicska Edit</v>
      </c>
      <c r="C810" s="1"/>
      <c r="D810" s="1" t="str">
        <f ca="1">IFERROR(__xludf.DUMMYFUNCTION("""COMPUTED_VALUE"""),"Nő")</f>
        <v>Nő</v>
      </c>
      <c r="E810" s="1"/>
      <c r="F810" s="1">
        <f ca="1">IFERROR(__xludf.DUMMYFUNCTION("""COMPUTED_VALUE"""),1969)</f>
        <v>1969</v>
      </c>
      <c r="G810" s="1">
        <f ca="1">IFERROR(__xludf.DUMMYFUNCTION("""COMPUTED_VALUE"""),4585)</f>
        <v>4585</v>
      </c>
      <c r="H810" s="1" t="str">
        <f ca="1">IFERROR(__xludf.DUMMYFUNCTION("""COMPUTED_VALUE"""),"MTLSZ004585A21")</f>
        <v>MTLSZ004585A21</v>
      </c>
      <c r="I810" s="2">
        <f ca="1">IFERROR(__xludf.DUMMYFUNCTION("""COMPUTED_VALUE"""),44327)</f>
        <v>44327</v>
      </c>
      <c r="J810" s="2">
        <f ca="1">IFERROR(__xludf.DUMMYFUNCTION("""COMPUTED_VALUE"""),44691)</f>
        <v>44691</v>
      </c>
    </row>
    <row r="811" spans="1:10" x14ac:dyDescent="0.25">
      <c r="A811" s="1" t="str">
        <f ca="1">IFERROR(__xludf.DUMMYFUNCTION("""COMPUTED_VALUE"""),"Életmód SE")</f>
        <v>Életmód SE</v>
      </c>
      <c r="B811" s="1" t="str">
        <f ca="1">IFERROR(__xludf.DUMMYFUNCTION("""COMPUTED_VALUE"""),"Arcidiacono Valenziano")</f>
        <v>Arcidiacono Valenziano</v>
      </c>
      <c r="C811" s="1"/>
      <c r="D811" s="1" t="str">
        <f ca="1">IFERROR(__xludf.DUMMYFUNCTION("""COMPUTED_VALUE"""),"Férfi")</f>
        <v>Férfi</v>
      </c>
      <c r="E811" s="1"/>
      <c r="F811" s="1">
        <f ca="1">IFERROR(__xludf.DUMMYFUNCTION("""COMPUTED_VALUE"""),1975)</f>
        <v>1975</v>
      </c>
      <c r="G811" s="1">
        <f ca="1">IFERROR(__xludf.DUMMYFUNCTION("""COMPUTED_VALUE"""),4577)</f>
        <v>4577</v>
      </c>
      <c r="H811" s="1" t="str">
        <f ca="1">IFERROR(__xludf.DUMMYFUNCTION("""COMPUTED_VALUE"""),"MTLSZ004577A21")</f>
        <v>MTLSZ004577A21</v>
      </c>
      <c r="I811" s="2">
        <f ca="1">IFERROR(__xludf.DUMMYFUNCTION("""COMPUTED_VALUE"""),44326)</f>
        <v>44326</v>
      </c>
      <c r="J811" s="2">
        <f ca="1">IFERROR(__xludf.DUMMYFUNCTION("""COMPUTED_VALUE"""),44690)</f>
        <v>44690</v>
      </c>
    </row>
    <row r="812" spans="1:10" x14ac:dyDescent="0.25">
      <c r="A812" s="1" t="str">
        <f ca="1">IFERROR(__xludf.DUMMYFUNCTION("""COMPUTED_VALUE"""),"HZSE")</f>
        <v>HZSE</v>
      </c>
      <c r="B812" s="1" t="str">
        <f ca="1">IFERROR(__xludf.DUMMYFUNCTION("""COMPUTED_VALUE"""),"Papp Gabriella")</f>
        <v>Papp Gabriella</v>
      </c>
      <c r="C812" s="1"/>
      <c r="D812" s="1" t="str">
        <f ca="1">IFERROR(__xludf.DUMMYFUNCTION("""COMPUTED_VALUE"""),"Nő")</f>
        <v>Nő</v>
      </c>
      <c r="E812" s="1"/>
      <c r="F812" s="1">
        <f ca="1">IFERROR(__xludf.DUMMYFUNCTION("""COMPUTED_VALUE"""),1983)</f>
        <v>1983</v>
      </c>
      <c r="G812" s="1">
        <f ca="1">IFERROR(__xludf.DUMMYFUNCTION("""COMPUTED_VALUE"""),751)</f>
        <v>751</v>
      </c>
      <c r="H812" s="1" t="str">
        <f ca="1">IFERROR(__xludf.DUMMYFUNCTION("""COMPUTED_VALUE"""),"MTLSZ000751A21")</f>
        <v>MTLSZ000751A21</v>
      </c>
      <c r="I812" s="2">
        <f ca="1">IFERROR(__xludf.DUMMYFUNCTION("""COMPUTED_VALUE"""),44326)</f>
        <v>44326</v>
      </c>
      <c r="J812" s="2">
        <f ca="1">IFERROR(__xludf.DUMMYFUNCTION("""COMPUTED_VALUE"""),44690)</f>
        <v>44690</v>
      </c>
    </row>
    <row r="813" spans="1:10" x14ac:dyDescent="0.25">
      <c r="A813" s="1" t="str">
        <f ca="1">IFERROR(__xludf.DUMMYFUNCTION("""COMPUTED_VALUE"""),"Klébi DSE")</f>
        <v>Klébi DSE</v>
      </c>
      <c r="B813" s="1" t="str">
        <f ca="1">IFERROR(__xludf.DUMMYFUNCTION("""COMPUTED_VALUE"""),"Charme-Ochse Abigel")</f>
        <v>Charme-Ochse Abigel</v>
      </c>
      <c r="C813" s="1"/>
      <c r="D813" s="1" t="str">
        <f ca="1">IFERROR(__xludf.DUMMYFUNCTION("""COMPUTED_VALUE"""),"Nő")</f>
        <v>Nő</v>
      </c>
      <c r="E813" s="1"/>
      <c r="F813" s="1">
        <f ca="1">IFERROR(__xludf.DUMMYFUNCTION("""COMPUTED_VALUE"""),2010)</f>
        <v>2010</v>
      </c>
      <c r="G813" s="1">
        <f ca="1">IFERROR(__xludf.DUMMYFUNCTION("""COMPUTED_VALUE"""),4578)</f>
        <v>4578</v>
      </c>
      <c r="H813" s="1" t="str">
        <f ca="1">IFERROR(__xludf.DUMMYFUNCTION("""COMPUTED_VALUE"""),"MTLSZ004578A21")</f>
        <v>MTLSZ004578A21</v>
      </c>
      <c r="I813" s="2">
        <f ca="1">IFERROR(__xludf.DUMMYFUNCTION("""COMPUTED_VALUE"""),44326)</f>
        <v>44326</v>
      </c>
      <c r="J813" s="2">
        <f ca="1">IFERROR(__xludf.DUMMYFUNCTION("""COMPUTED_VALUE"""),44690)</f>
        <v>44690</v>
      </c>
    </row>
    <row r="814" spans="1:10" x14ac:dyDescent="0.25">
      <c r="A814" s="1" t="str">
        <f ca="1">IFERROR(__xludf.DUMMYFUNCTION("""COMPUTED_VALUE"""),"Klébi DSE")</f>
        <v>Klébi DSE</v>
      </c>
      <c r="B814" s="1" t="str">
        <f ca="1">IFERROR(__xludf.DUMMYFUNCTION("""COMPUTED_VALUE"""),"Tóth Tamás")</f>
        <v>Tóth Tamás</v>
      </c>
      <c r="C814" s="1"/>
      <c r="D814" s="1" t="str">
        <f ca="1">IFERROR(__xludf.DUMMYFUNCTION("""COMPUTED_VALUE"""),"Férfi")</f>
        <v>Férfi</v>
      </c>
      <c r="E814" s="1"/>
      <c r="F814" s="1">
        <f ca="1">IFERROR(__xludf.DUMMYFUNCTION("""COMPUTED_VALUE"""),1969)</f>
        <v>1969</v>
      </c>
      <c r="G814" s="1">
        <f ca="1">IFERROR(__xludf.DUMMYFUNCTION("""COMPUTED_VALUE"""),4579)</f>
        <v>4579</v>
      </c>
      <c r="H814" s="1" t="str">
        <f ca="1">IFERROR(__xludf.DUMMYFUNCTION("""COMPUTED_VALUE"""),"MTLSZ004579A21")</f>
        <v>MTLSZ004579A21</v>
      </c>
      <c r="I814" s="2">
        <f ca="1">IFERROR(__xludf.DUMMYFUNCTION("""COMPUTED_VALUE"""),44326)</f>
        <v>44326</v>
      </c>
      <c r="J814" s="2">
        <f ca="1">IFERROR(__xludf.DUMMYFUNCTION("""COMPUTED_VALUE"""),44690)</f>
        <v>44690</v>
      </c>
    </row>
    <row r="815" spans="1:10" x14ac:dyDescent="0.25">
      <c r="A815" s="1" t="str">
        <f ca="1">IFERROR(__xludf.DUMMYFUNCTION("""COMPUTED_VALUE"""),"Talentum TSE")</f>
        <v>Talentum TSE</v>
      </c>
      <c r="B815" s="1" t="str">
        <f ca="1">IFERROR(__xludf.DUMMYFUNCTION("""COMPUTED_VALUE"""),"Horváth Alex")</f>
        <v>Horváth Alex</v>
      </c>
      <c r="C815" s="1"/>
      <c r="D815" s="1" t="str">
        <f ca="1">IFERROR(__xludf.DUMMYFUNCTION("""COMPUTED_VALUE"""),"Férfi")</f>
        <v>Férfi</v>
      </c>
      <c r="E815" s="1"/>
      <c r="F815" s="1">
        <f ca="1">IFERROR(__xludf.DUMMYFUNCTION("""COMPUTED_VALUE"""),2010)</f>
        <v>2010</v>
      </c>
      <c r="G815" s="1">
        <f ca="1">IFERROR(__xludf.DUMMYFUNCTION("""COMPUTED_VALUE"""),4581)</f>
        <v>4581</v>
      </c>
      <c r="H815" s="1" t="str">
        <f ca="1">IFERROR(__xludf.DUMMYFUNCTION("""COMPUTED_VALUE"""),"MTLSZ004581A21")</f>
        <v>MTLSZ004581A21</v>
      </c>
      <c r="I815" s="2">
        <f ca="1">IFERROR(__xludf.DUMMYFUNCTION("""COMPUTED_VALUE"""),44326)</f>
        <v>44326</v>
      </c>
      <c r="J815" s="2">
        <f ca="1">IFERROR(__xludf.DUMMYFUNCTION("""COMPUTED_VALUE"""),44690)</f>
        <v>44690</v>
      </c>
    </row>
    <row r="816" spans="1:10" x14ac:dyDescent="0.25">
      <c r="A816" s="1" t="str">
        <f ca="1">IFERROR(__xludf.DUMMYFUNCTION("""COMPUTED_VALUE"""),"Tapolcai TFSE")</f>
        <v>Tapolcai TFSE</v>
      </c>
      <c r="B816" s="1" t="str">
        <f ca="1">IFERROR(__xludf.DUMMYFUNCTION("""COMPUTED_VALUE"""),"Szabó-Pósza Ramóna")</f>
        <v>Szabó-Pósza Ramóna</v>
      </c>
      <c r="C816" s="1"/>
      <c r="D816" s="1" t="str">
        <f ca="1">IFERROR(__xludf.DUMMYFUNCTION("""COMPUTED_VALUE"""),"Nő")</f>
        <v>Nő</v>
      </c>
      <c r="E816" s="1"/>
      <c r="F816" s="1">
        <f ca="1">IFERROR(__xludf.DUMMYFUNCTION("""COMPUTED_VALUE"""),1992)</f>
        <v>1992</v>
      </c>
      <c r="G816" s="1">
        <f ca="1">IFERROR(__xludf.DUMMYFUNCTION("""COMPUTED_VALUE"""),4580)</f>
        <v>4580</v>
      </c>
      <c r="H816" s="1" t="str">
        <f ca="1">IFERROR(__xludf.DUMMYFUNCTION("""COMPUTED_VALUE"""),"MTLSZ004580A21")</f>
        <v>MTLSZ004580A21</v>
      </c>
      <c r="I816" s="2">
        <f ca="1">IFERROR(__xludf.DUMMYFUNCTION("""COMPUTED_VALUE"""),44326)</f>
        <v>44326</v>
      </c>
      <c r="J816" s="2">
        <f ca="1">IFERROR(__xludf.DUMMYFUNCTION("""COMPUTED_VALUE"""),44690)</f>
        <v>44690</v>
      </c>
    </row>
    <row r="817" spans="1:10" x14ac:dyDescent="0.25">
      <c r="A817" s="1" t="str">
        <f ca="1">IFERROR(__xludf.DUMMYFUNCTION("""COMPUTED_VALUE"""),"Újpest TSE")</f>
        <v>Újpest TSE</v>
      </c>
      <c r="B817" s="1" t="str">
        <f ca="1">IFERROR(__xludf.DUMMYFUNCTION("""COMPUTED_VALUE"""),"Kecskeméti Róbert")</f>
        <v>Kecskeméti Róbert</v>
      </c>
      <c r="C817" s="1"/>
      <c r="D817" s="1" t="str">
        <f ca="1">IFERROR(__xludf.DUMMYFUNCTION("""COMPUTED_VALUE"""),"Férfi")</f>
        <v>Férfi</v>
      </c>
      <c r="E817" s="1"/>
      <c r="F817" s="1">
        <f ca="1">IFERROR(__xludf.DUMMYFUNCTION("""COMPUTED_VALUE"""),1981)</f>
        <v>1981</v>
      </c>
      <c r="G817" s="1">
        <f ca="1">IFERROR(__xludf.DUMMYFUNCTION("""COMPUTED_VALUE"""),4576)</f>
        <v>4576</v>
      </c>
      <c r="H817" s="1" t="str">
        <f ca="1">IFERROR(__xludf.DUMMYFUNCTION("""COMPUTED_VALUE"""),"MTLSZ004576A21")</f>
        <v>MTLSZ004576A21</v>
      </c>
      <c r="I817" s="2">
        <f ca="1">IFERROR(__xludf.DUMMYFUNCTION("""COMPUTED_VALUE"""),44326)</f>
        <v>44326</v>
      </c>
      <c r="J817" s="2">
        <f ca="1">IFERROR(__xludf.DUMMYFUNCTION("""COMPUTED_VALUE"""),44690)</f>
        <v>44690</v>
      </c>
    </row>
    <row r="818" spans="1:10" x14ac:dyDescent="0.25">
      <c r="A818" s="1" t="str">
        <f ca="1">IFERROR(__xludf.DUMMYFUNCTION("""COMPUTED_VALUE"""),"Verőcei DE")</f>
        <v>Verőcei DE</v>
      </c>
      <c r="B818" s="1" t="str">
        <f ca="1">IFERROR(__xludf.DUMMYFUNCTION("""COMPUTED_VALUE"""),"Csobod Péter")</f>
        <v>Csobod Péter</v>
      </c>
      <c r="C818" s="1"/>
      <c r="D818" s="1" t="str">
        <f ca="1">IFERROR(__xludf.DUMMYFUNCTION("""COMPUTED_VALUE"""),"Férfi")</f>
        <v>Férfi</v>
      </c>
      <c r="E818" s="1"/>
      <c r="F818" s="1">
        <f ca="1">IFERROR(__xludf.DUMMYFUNCTION("""COMPUTED_VALUE"""),1970)</f>
        <v>1970</v>
      </c>
      <c r="G818" s="1">
        <f ca="1">IFERROR(__xludf.DUMMYFUNCTION("""COMPUTED_VALUE"""),3424)</f>
        <v>3424</v>
      </c>
      <c r="H818" s="1" t="str">
        <f ca="1">IFERROR(__xludf.DUMMYFUNCTION("""COMPUTED_VALUE"""),"MTLSZ003424A21")</f>
        <v>MTLSZ003424A21</v>
      </c>
      <c r="I818" s="2">
        <f ca="1">IFERROR(__xludf.DUMMYFUNCTION("""COMPUTED_VALUE"""),44325)</f>
        <v>44325</v>
      </c>
      <c r="J818" s="2">
        <f ca="1">IFERROR(__xludf.DUMMYFUNCTION("""COMPUTED_VALUE"""),44689)</f>
        <v>44689</v>
      </c>
    </row>
    <row r="819" spans="1:10" x14ac:dyDescent="0.25">
      <c r="A819" s="1" t="str">
        <f ca="1">IFERROR(__xludf.DUMMYFUNCTION("""COMPUTED_VALUE"""),"Tollas Gólyák SE")</f>
        <v>Tollas Gólyák SE</v>
      </c>
      <c r="B819" s="1" t="str">
        <f ca="1">IFERROR(__xludf.DUMMYFUNCTION("""COMPUTED_VALUE"""),"Bede Máté")</f>
        <v>Bede Máté</v>
      </c>
      <c r="C819" s="1"/>
      <c r="D819" s="1" t="str">
        <f ca="1">IFERROR(__xludf.DUMMYFUNCTION("""COMPUTED_VALUE"""),"Férfi")</f>
        <v>Férfi</v>
      </c>
      <c r="E819" s="1"/>
      <c r="F819" s="1">
        <f ca="1">IFERROR(__xludf.DUMMYFUNCTION("""COMPUTED_VALUE"""),2008)</f>
        <v>2008</v>
      </c>
      <c r="G819" s="1">
        <f ca="1">IFERROR(__xludf.DUMMYFUNCTION("""COMPUTED_VALUE"""),4570)</f>
        <v>4570</v>
      </c>
      <c r="H819" s="1" t="str">
        <f ca="1">IFERROR(__xludf.DUMMYFUNCTION("""COMPUTED_VALUE"""),"MTLSZ004570A21")</f>
        <v>MTLSZ004570A21</v>
      </c>
      <c r="I819" s="2">
        <f ca="1">IFERROR(__xludf.DUMMYFUNCTION("""COMPUTED_VALUE"""),44323)</f>
        <v>44323</v>
      </c>
      <c r="J819" s="2">
        <f ca="1">IFERROR(__xludf.DUMMYFUNCTION("""COMPUTED_VALUE"""),44687)</f>
        <v>44687</v>
      </c>
    </row>
    <row r="820" spans="1:10" x14ac:dyDescent="0.25">
      <c r="A820" s="1" t="str">
        <f ca="1">IFERROR(__xludf.DUMMYFUNCTION("""COMPUTED_VALUE"""),"Tollas Gólyák SE")</f>
        <v>Tollas Gólyák SE</v>
      </c>
      <c r="B820" s="1" t="str">
        <f ca="1">IFERROR(__xludf.DUMMYFUNCTION("""COMPUTED_VALUE"""),"Bedő Villő")</f>
        <v>Bedő Villő</v>
      </c>
      <c r="C820" s="1"/>
      <c r="D820" s="1" t="str">
        <f ca="1">IFERROR(__xludf.DUMMYFUNCTION("""COMPUTED_VALUE"""),"Nő")</f>
        <v>Nő</v>
      </c>
      <c r="E820" s="1"/>
      <c r="F820" s="1">
        <f ca="1">IFERROR(__xludf.DUMMYFUNCTION("""COMPUTED_VALUE"""),2009)</f>
        <v>2009</v>
      </c>
      <c r="G820" s="1">
        <f ca="1">IFERROR(__xludf.DUMMYFUNCTION("""COMPUTED_VALUE"""),4559)</f>
        <v>4559</v>
      </c>
      <c r="H820" s="1" t="str">
        <f ca="1">IFERROR(__xludf.DUMMYFUNCTION("""COMPUTED_VALUE"""),"MTLSZ004559A21")</f>
        <v>MTLSZ004559A21</v>
      </c>
      <c r="I820" s="2">
        <f ca="1">IFERROR(__xludf.DUMMYFUNCTION("""COMPUTED_VALUE"""),44323)</f>
        <v>44323</v>
      </c>
      <c r="J820" s="2">
        <f ca="1">IFERROR(__xludf.DUMMYFUNCTION("""COMPUTED_VALUE"""),44687)</f>
        <v>44687</v>
      </c>
    </row>
    <row r="821" spans="1:10" x14ac:dyDescent="0.25">
      <c r="A821" s="1" t="str">
        <f ca="1">IFERROR(__xludf.DUMMYFUNCTION("""COMPUTED_VALUE"""),"Tollas Gólyák SE")</f>
        <v>Tollas Gólyák SE</v>
      </c>
      <c r="B821" s="1" t="str">
        <f ca="1">IFERROR(__xludf.DUMMYFUNCTION("""COMPUTED_VALUE"""),"Donkó Hanna Jázmin")</f>
        <v>Donkó Hanna Jázmin</v>
      </c>
      <c r="C821" s="1"/>
      <c r="D821" s="1" t="str">
        <f ca="1">IFERROR(__xludf.DUMMYFUNCTION("""COMPUTED_VALUE"""),"Nő")</f>
        <v>Nő</v>
      </c>
      <c r="E821" s="1"/>
      <c r="F821" s="1">
        <f ca="1">IFERROR(__xludf.DUMMYFUNCTION("""COMPUTED_VALUE"""),2009)</f>
        <v>2009</v>
      </c>
      <c r="G821" s="1">
        <f ca="1">IFERROR(__xludf.DUMMYFUNCTION("""COMPUTED_VALUE"""),4560)</f>
        <v>4560</v>
      </c>
      <c r="H821" s="1" t="str">
        <f ca="1">IFERROR(__xludf.DUMMYFUNCTION("""COMPUTED_VALUE"""),"MTLSZ004560A21")</f>
        <v>MTLSZ004560A21</v>
      </c>
      <c r="I821" s="2">
        <f ca="1">IFERROR(__xludf.DUMMYFUNCTION("""COMPUTED_VALUE"""),44323)</f>
        <v>44323</v>
      </c>
      <c r="J821" s="2">
        <f ca="1">IFERROR(__xludf.DUMMYFUNCTION("""COMPUTED_VALUE"""),44687)</f>
        <v>44687</v>
      </c>
    </row>
    <row r="822" spans="1:10" x14ac:dyDescent="0.25">
      <c r="A822" s="1" t="str">
        <f ca="1">IFERROR(__xludf.DUMMYFUNCTION("""COMPUTED_VALUE"""),"Tollas Gólyák SE")</f>
        <v>Tollas Gólyák SE</v>
      </c>
      <c r="B822" s="1" t="str">
        <f ca="1">IFERROR(__xludf.DUMMYFUNCTION("""COMPUTED_VALUE"""),"Ézsiás Anna")</f>
        <v>Ézsiás Anna</v>
      </c>
      <c r="C822" s="1"/>
      <c r="D822" s="1" t="str">
        <f ca="1">IFERROR(__xludf.DUMMYFUNCTION("""COMPUTED_VALUE"""),"Nő")</f>
        <v>Nő</v>
      </c>
      <c r="E822" s="1"/>
      <c r="F822" s="1">
        <f ca="1">IFERROR(__xludf.DUMMYFUNCTION("""COMPUTED_VALUE"""),2006)</f>
        <v>2006</v>
      </c>
      <c r="G822" s="1">
        <f ca="1">IFERROR(__xludf.DUMMYFUNCTION("""COMPUTED_VALUE"""),4574)</f>
        <v>4574</v>
      </c>
      <c r="H822" s="1" t="str">
        <f ca="1">IFERROR(__xludf.DUMMYFUNCTION("""COMPUTED_VALUE"""),"MTLSZ004574A21")</f>
        <v>MTLSZ004574A21</v>
      </c>
      <c r="I822" s="2">
        <f ca="1">IFERROR(__xludf.DUMMYFUNCTION("""COMPUTED_VALUE"""),44323)</f>
        <v>44323</v>
      </c>
      <c r="J822" s="2">
        <f ca="1">IFERROR(__xludf.DUMMYFUNCTION("""COMPUTED_VALUE"""),44687)</f>
        <v>44687</v>
      </c>
    </row>
    <row r="823" spans="1:10" x14ac:dyDescent="0.25">
      <c r="A823" s="1" t="str">
        <f ca="1">IFERROR(__xludf.DUMMYFUNCTION("""COMPUTED_VALUE"""),"Tollas Gólyák SE")</f>
        <v>Tollas Gólyák SE</v>
      </c>
      <c r="B823" s="1" t="str">
        <f ca="1">IFERROR(__xludf.DUMMYFUNCTION("""COMPUTED_VALUE"""),"Hegedűs Gellért")</f>
        <v>Hegedűs Gellért</v>
      </c>
      <c r="C823" s="1"/>
      <c r="D823" s="1" t="str">
        <f ca="1">IFERROR(__xludf.DUMMYFUNCTION("""COMPUTED_VALUE"""),"Férfi")</f>
        <v>Férfi</v>
      </c>
      <c r="E823" s="1"/>
      <c r="F823" s="1">
        <f ca="1">IFERROR(__xludf.DUMMYFUNCTION("""COMPUTED_VALUE"""),2010)</f>
        <v>2010</v>
      </c>
      <c r="G823" s="1">
        <f ca="1">IFERROR(__xludf.DUMMYFUNCTION("""COMPUTED_VALUE"""),4567)</f>
        <v>4567</v>
      </c>
      <c r="H823" s="1" t="str">
        <f ca="1">IFERROR(__xludf.DUMMYFUNCTION("""COMPUTED_VALUE"""),"MTLSZ004567A21")</f>
        <v>MTLSZ004567A21</v>
      </c>
      <c r="I823" s="2">
        <f ca="1">IFERROR(__xludf.DUMMYFUNCTION("""COMPUTED_VALUE"""),44323)</f>
        <v>44323</v>
      </c>
      <c r="J823" s="2">
        <f ca="1">IFERROR(__xludf.DUMMYFUNCTION("""COMPUTED_VALUE"""),44687)</f>
        <v>44687</v>
      </c>
    </row>
    <row r="824" spans="1:10" x14ac:dyDescent="0.25">
      <c r="A824" s="1" t="str">
        <f ca="1">IFERROR(__xludf.DUMMYFUNCTION("""COMPUTED_VALUE"""),"Tollas Gólyák SE")</f>
        <v>Tollas Gólyák SE</v>
      </c>
      <c r="B824" s="1" t="str">
        <f ca="1">IFERROR(__xludf.DUMMYFUNCTION("""COMPUTED_VALUE"""),"Janek Tímea")</f>
        <v>Janek Tímea</v>
      </c>
      <c r="C824" s="1"/>
      <c r="D824" s="1" t="str">
        <f ca="1">IFERROR(__xludf.DUMMYFUNCTION("""COMPUTED_VALUE"""),"Nő")</f>
        <v>Nő</v>
      </c>
      <c r="E824" s="1"/>
      <c r="F824" s="1">
        <f ca="1">IFERROR(__xludf.DUMMYFUNCTION("""COMPUTED_VALUE"""),2007)</f>
        <v>2007</v>
      </c>
      <c r="G824" s="1">
        <f ca="1">IFERROR(__xludf.DUMMYFUNCTION("""COMPUTED_VALUE"""),4561)</f>
        <v>4561</v>
      </c>
      <c r="H824" s="1" t="str">
        <f ca="1">IFERROR(__xludf.DUMMYFUNCTION("""COMPUTED_VALUE"""),"MTLSZ004561A21")</f>
        <v>MTLSZ004561A21</v>
      </c>
      <c r="I824" s="2">
        <f ca="1">IFERROR(__xludf.DUMMYFUNCTION("""COMPUTED_VALUE"""),44323)</f>
        <v>44323</v>
      </c>
      <c r="J824" s="2">
        <f ca="1">IFERROR(__xludf.DUMMYFUNCTION("""COMPUTED_VALUE"""),44687)</f>
        <v>44687</v>
      </c>
    </row>
    <row r="825" spans="1:10" x14ac:dyDescent="0.25">
      <c r="A825" s="1" t="str">
        <f ca="1">IFERROR(__xludf.DUMMYFUNCTION("""COMPUTED_VALUE"""),"Tollas Gólyák SE")</f>
        <v>Tollas Gólyák SE</v>
      </c>
      <c r="B825" s="1" t="str">
        <f ca="1">IFERROR(__xludf.DUMMYFUNCTION("""COMPUTED_VALUE"""),"Lászlóffy Adél")</f>
        <v>Lászlóffy Adél</v>
      </c>
      <c r="C825" s="1"/>
      <c r="D825" s="1" t="str">
        <f ca="1">IFERROR(__xludf.DUMMYFUNCTION("""COMPUTED_VALUE"""),"Nő")</f>
        <v>Nő</v>
      </c>
      <c r="E825" s="1"/>
      <c r="F825" s="1">
        <f ca="1">IFERROR(__xludf.DUMMYFUNCTION("""COMPUTED_VALUE"""),2005)</f>
        <v>2005</v>
      </c>
      <c r="G825" s="1">
        <f ca="1">IFERROR(__xludf.DUMMYFUNCTION("""COMPUTED_VALUE"""),4562)</f>
        <v>4562</v>
      </c>
      <c r="H825" s="1" t="str">
        <f ca="1">IFERROR(__xludf.DUMMYFUNCTION("""COMPUTED_VALUE"""),"MTLSZ004562A21")</f>
        <v>MTLSZ004562A21</v>
      </c>
      <c r="I825" s="2">
        <f ca="1">IFERROR(__xludf.DUMMYFUNCTION("""COMPUTED_VALUE"""),44323)</f>
        <v>44323</v>
      </c>
      <c r="J825" s="2">
        <f ca="1">IFERROR(__xludf.DUMMYFUNCTION("""COMPUTED_VALUE"""),44687)</f>
        <v>44687</v>
      </c>
    </row>
    <row r="826" spans="1:10" x14ac:dyDescent="0.25">
      <c r="A826" s="1" t="str">
        <f ca="1">IFERROR(__xludf.DUMMYFUNCTION("""COMPUTED_VALUE"""),"Tollas Gólyák SE")</f>
        <v>Tollas Gólyák SE</v>
      </c>
      <c r="B826" s="1" t="str">
        <f ca="1">IFERROR(__xludf.DUMMYFUNCTION("""COMPUTED_VALUE"""),"Lászlóffy Dénes")</f>
        <v>Lászlóffy Dénes</v>
      </c>
      <c r="C826" s="1"/>
      <c r="D826" s="1" t="str">
        <f ca="1">IFERROR(__xludf.DUMMYFUNCTION("""COMPUTED_VALUE"""),"Férfi")</f>
        <v>Férfi</v>
      </c>
      <c r="E826" s="1"/>
      <c r="F826" s="1">
        <f ca="1">IFERROR(__xludf.DUMMYFUNCTION("""COMPUTED_VALUE"""),2011)</f>
        <v>2011</v>
      </c>
      <c r="G826" s="1">
        <f ca="1">IFERROR(__xludf.DUMMYFUNCTION("""COMPUTED_VALUE"""),4563)</f>
        <v>4563</v>
      </c>
      <c r="H826" s="1" t="str">
        <f ca="1">IFERROR(__xludf.DUMMYFUNCTION("""COMPUTED_VALUE"""),"MTLSZ004563A21")</f>
        <v>MTLSZ004563A21</v>
      </c>
      <c r="I826" s="2">
        <f ca="1">IFERROR(__xludf.DUMMYFUNCTION("""COMPUTED_VALUE"""),44323)</f>
        <v>44323</v>
      </c>
      <c r="J826" s="2">
        <f ca="1">IFERROR(__xludf.DUMMYFUNCTION("""COMPUTED_VALUE"""),44687)</f>
        <v>44687</v>
      </c>
    </row>
    <row r="827" spans="1:10" x14ac:dyDescent="0.25">
      <c r="A827" s="1" t="str">
        <f ca="1">IFERROR(__xludf.DUMMYFUNCTION("""COMPUTED_VALUE"""),"Tollas Gólyák SE")</f>
        <v>Tollas Gólyák SE</v>
      </c>
      <c r="B827" s="1" t="str">
        <f ca="1">IFERROR(__xludf.DUMMYFUNCTION("""COMPUTED_VALUE"""),"Lukács Ákos")</f>
        <v>Lukács Ákos</v>
      </c>
      <c r="C827" s="1"/>
      <c r="D827" s="1" t="str">
        <f ca="1">IFERROR(__xludf.DUMMYFUNCTION("""COMPUTED_VALUE"""),"Férfi")</f>
        <v>Férfi</v>
      </c>
      <c r="E827" s="1"/>
      <c r="F827" s="1">
        <f ca="1">IFERROR(__xludf.DUMMYFUNCTION("""COMPUTED_VALUE"""),2010)</f>
        <v>2010</v>
      </c>
      <c r="G827" s="1">
        <f ca="1">IFERROR(__xludf.DUMMYFUNCTION("""COMPUTED_VALUE"""),4565)</f>
        <v>4565</v>
      </c>
      <c r="H827" s="1" t="str">
        <f ca="1">IFERROR(__xludf.DUMMYFUNCTION("""COMPUTED_VALUE"""),"MTLSZ004565A21")</f>
        <v>MTLSZ004565A21</v>
      </c>
      <c r="I827" s="2">
        <f ca="1">IFERROR(__xludf.DUMMYFUNCTION("""COMPUTED_VALUE"""),44323)</f>
        <v>44323</v>
      </c>
      <c r="J827" s="2">
        <f ca="1">IFERROR(__xludf.DUMMYFUNCTION("""COMPUTED_VALUE"""),44687)</f>
        <v>44687</v>
      </c>
    </row>
    <row r="828" spans="1:10" x14ac:dyDescent="0.25">
      <c r="A828" s="1" t="str">
        <f ca="1">IFERROR(__xludf.DUMMYFUNCTION("""COMPUTED_VALUE"""),"Tollas Gólyák SE")</f>
        <v>Tollas Gólyák SE</v>
      </c>
      <c r="B828" s="1" t="str">
        <f ca="1">IFERROR(__xludf.DUMMYFUNCTION("""COMPUTED_VALUE"""),"Máté-Kovács Maja")</f>
        <v>Máté-Kovács Maja</v>
      </c>
      <c r="C828" s="1"/>
      <c r="D828" s="1" t="str">
        <f ca="1">IFERROR(__xludf.DUMMYFUNCTION("""COMPUTED_VALUE"""),"Nő")</f>
        <v>Nő</v>
      </c>
      <c r="E828" s="1"/>
      <c r="F828" s="1">
        <f ca="1">IFERROR(__xludf.DUMMYFUNCTION("""COMPUTED_VALUE"""),2008)</f>
        <v>2008</v>
      </c>
      <c r="G828" s="1">
        <f ca="1">IFERROR(__xludf.DUMMYFUNCTION("""COMPUTED_VALUE"""),4575)</f>
        <v>4575</v>
      </c>
      <c r="H828" s="1" t="str">
        <f ca="1">IFERROR(__xludf.DUMMYFUNCTION("""COMPUTED_VALUE"""),"MTLSZ004575A21")</f>
        <v>MTLSZ004575A21</v>
      </c>
      <c r="I828" s="2">
        <f ca="1">IFERROR(__xludf.DUMMYFUNCTION("""COMPUTED_VALUE"""),44323)</f>
        <v>44323</v>
      </c>
      <c r="J828" s="2">
        <f ca="1">IFERROR(__xludf.DUMMYFUNCTION("""COMPUTED_VALUE"""),44687)</f>
        <v>44687</v>
      </c>
    </row>
    <row r="829" spans="1:10" x14ac:dyDescent="0.25">
      <c r="A829" s="1" t="str">
        <f ca="1">IFERROR(__xludf.DUMMYFUNCTION("""COMPUTED_VALUE"""),"Tollas Gólyák SE")</f>
        <v>Tollas Gólyák SE</v>
      </c>
      <c r="B829" s="1" t="str">
        <f ca="1">IFERROR(__xludf.DUMMYFUNCTION("""COMPUTED_VALUE"""),"Reiszné Juszt Ágnes")</f>
        <v>Reiszné Juszt Ágnes</v>
      </c>
      <c r="C829" s="1"/>
      <c r="D829" s="1" t="str">
        <f ca="1">IFERROR(__xludf.DUMMYFUNCTION("""COMPUTED_VALUE"""),"Nő")</f>
        <v>Nő</v>
      </c>
      <c r="E829" s="1"/>
      <c r="F829" s="1">
        <f ca="1">IFERROR(__xludf.DUMMYFUNCTION("""COMPUTED_VALUE"""),1972)</f>
        <v>1972</v>
      </c>
      <c r="G829" s="1">
        <f ca="1">IFERROR(__xludf.DUMMYFUNCTION("""COMPUTED_VALUE"""),4558)</f>
        <v>4558</v>
      </c>
      <c r="H829" s="1" t="str">
        <f ca="1">IFERROR(__xludf.DUMMYFUNCTION("""COMPUTED_VALUE"""),"MTLSZ004558A21")</f>
        <v>MTLSZ004558A21</v>
      </c>
      <c r="I829" s="2">
        <f ca="1">IFERROR(__xludf.DUMMYFUNCTION("""COMPUTED_VALUE"""),44323)</f>
        <v>44323</v>
      </c>
      <c r="J829" s="2">
        <f ca="1">IFERROR(__xludf.DUMMYFUNCTION("""COMPUTED_VALUE"""),44687)</f>
        <v>44687</v>
      </c>
    </row>
    <row r="830" spans="1:10" x14ac:dyDescent="0.25">
      <c r="A830" s="1" t="str">
        <f ca="1">IFERROR(__xludf.DUMMYFUNCTION("""COMPUTED_VALUE"""),"Tollas Gólyák SE")</f>
        <v>Tollas Gólyák SE</v>
      </c>
      <c r="B830" s="1" t="str">
        <f ca="1">IFERROR(__xludf.DUMMYFUNCTION("""COMPUTED_VALUE"""),"Sejtes Péter Levente")</f>
        <v>Sejtes Péter Levente</v>
      </c>
      <c r="C830" s="1"/>
      <c r="D830" s="1" t="str">
        <f ca="1">IFERROR(__xludf.DUMMYFUNCTION("""COMPUTED_VALUE"""),"Férfi")</f>
        <v>Férfi</v>
      </c>
      <c r="E830" s="1"/>
      <c r="F830" s="1">
        <f ca="1">IFERROR(__xludf.DUMMYFUNCTION("""COMPUTED_VALUE"""),2008)</f>
        <v>2008</v>
      </c>
      <c r="G830" s="1">
        <f ca="1">IFERROR(__xludf.DUMMYFUNCTION("""COMPUTED_VALUE"""),4569)</f>
        <v>4569</v>
      </c>
      <c r="H830" s="1" t="str">
        <f ca="1">IFERROR(__xludf.DUMMYFUNCTION("""COMPUTED_VALUE"""),"MTLSZ004569A21")</f>
        <v>MTLSZ004569A21</v>
      </c>
      <c r="I830" s="2">
        <f ca="1">IFERROR(__xludf.DUMMYFUNCTION("""COMPUTED_VALUE"""),44323)</f>
        <v>44323</v>
      </c>
      <c r="J830" s="2">
        <f ca="1">IFERROR(__xludf.DUMMYFUNCTION("""COMPUTED_VALUE"""),44687)</f>
        <v>44687</v>
      </c>
    </row>
    <row r="831" spans="1:10" x14ac:dyDescent="0.25">
      <c r="A831" s="1" t="str">
        <f ca="1">IFERROR(__xludf.DUMMYFUNCTION("""COMPUTED_VALUE"""),"Tollas Gólyák SE")</f>
        <v>Tollas Gólyák SE</v>
      </c>
      <c r="B831" s="1" t="str">
        <f ca="1">IFERROR(__xludf.DUMMYFUNCTION("""COMPUTED_VALUE"""),"Solyomvári Jázmin")</f>
        <v>Solyomvári Jázmin</v>
      </c>
      <c r="C831" s="1"/>
      <c r="D831" s="1" t="str">
        <f ca="1">IFERROR(__xludf.DUMMYFUNCTION("""COMPUTED_VALUE"""),"Nő")</f>
        <v>Nő</v>
      </c>
      <c r="E831" s="1"/>
      <c r="F831" s="1">
        <f ca="1">IFERROR(__xludf.DUMMYFUNCTION("""COMPUTED_VALUE"""),2008)</f>
        <v>2008</v>
      </c>
      <c r="G831" s="1">
        <f ca="1">IFERROR(__xludf.DUMMYFUNCTION("""COMPUTED_VALUE"""),4571)</f>
        <v>4571</v>
      </c>
      <c r="H831" s="1" t="str">
        <f ca="1">IFERROR(__xludf.DUMMYFUNCTION("""COMPUTED_VALUE"""),"MTLSZ004571A21")</f>
        <v>MTLSZ004571A21</v>
      </c>
      <c r="I831" s="2">
        <f ca="1">IFERROR(__xludf.DUMMYFUNCTION("""COMPUTED_VALUE"""),44323)</f>
        <v>44323</v>
      </c>
      <c r="J831" s="2">
        <f ca="1">IFERROR(__xludf.DUMMYFUNCTION("""COMPUTED_VALUE"""),44687)</f>
        <v>44687</v>
      </c>
    </row>
    <row r="832" spans="1:10" x14ac:dyDescent="0.25">
      <c r="A832" s="1" t="str">
        <f ca="1">IFERROR(__xludf.DUMMYFUNCTION("""COMPUTED_VALUE"""),"Tollas Gólyák SE")</f>
        <v>Tollas Gólyák SE</v>
      </c>
      <c r="B832" s="1" t="str">
        <f ca="1">IFERROR(__xludf.DUMMYFUNCTION("""COMPUTED_VALUE"""),"Szlonkai Benedek")</f>
        <v>Szlonkai Benedek</v>
      </c>
      <c r="C832" s="1"/>
      <c r="D832" s="1" t="str">
        <f ca="1">IFERROR(__xludf.DUMMYFUNCTION("""COMPUTED_VALUE"""),"Férfi")</f>
        <v>Férfi</v>
      </c>
      <c r="E832" s="1"/>
      <c r="F832" s="1">
        <f ca="1">IFERROR(__xludf.DUMMYFUNCTION("""COMPUTED_VALUE"""),2006)</f>
        <v>2006</v>
      </c>
      <c r="G832" s="1">
        <f ca="1">IFERROR(__xludf.DUMMYFUNCTION("""COMPUTED_VALUE"""),4572)</f>
        <v>4572</v>
      </c>
      <c r="H832" s="1" t="str">
        <f ca="1">IFERROR(__xludf.DUMMYFUNCTION("""COMPUTED_VALUE"""),"MTLSZ004572A21")</f>
        <v>MTLSZ004572A21</v>
      </c>
      <c r="I832" s="2">
        <f ca="1">IFERROR(__xludf.DUMMYFUNCTION("""COMPUTED_VALUE"""),44323)</f>
        <v>44323</v>
      </c>
      <c r="J832" s="2">
        <f ca="1">IFERROR(__xludf.DUMMYFUNCTION("""COMPUTED_VALUE"""),44687)</f>
        <v>44687</v>
      </c>
    </row>
    <row r="833" spans="1:10" x14ac:dyDescent="0.25">
      <c r="A833" s="1" t="str">
        <f ca="1">IFERROR(__xludf.DUMMYFUNCTION("""COMPUTED_VALUE"""),"Tollas Gólyák SE")</f>
        <v>Tollas Gólyák SE</v>
      </c>
      <c r="B833" s="1"/>
      <c r="C833" s="1"/>
      <c r="D833" s="1"/>
      <c r="E833" s="1"/>
      <c r="F833" s="1">
        <f ca="1">IFERROR(__xludf.DUMMYFUNCTION("""COMPUTED_VALUE"""),1899)</f>
        <v>1899</v>
      </c>
      <c r="G833" s="1">
        <f ca="1">IFERROR(__xludf.DUMMYFUNCTION("""COMPUTED_VALUE"""),4568)</f>
        <v>4568</v>
      </c>
      <c r="H833" s="1"/>
      <c r="I833" s="2">
        <f ca="1">IFERROR(__xludf.DUMMYFUNCTION("""COMPUTED_VALUE"""),44323)</f>
        <v>44323</v>
      </c>
      <c r="J833" s="2">
        <f ca="1">IFERROR(__xludf.DUMMYFUNCTION("""COMPUTED_VALUE"""),44687)</f>
        <v>44687</v>
      </c>
    </row>
    <row r="834" spans="1:10" x14ac:dyDescent="0.25">
      <c r="A834" s="1" t="str">
        <f ca="1">IFERROR(__xludf.DUMMYFUNCTION("""COMPUTED_VALUE"""),"Talentum TSE")</f>
        <v>Talentum TSE</v>
      </c>
      <c r="B834" s="1" t="str">
        <f ca="1">IFERROR(__xludf.DUMMYFUNCTION("""COMPUTED_VALUE"""),"Somogyi Balázs")</f>
        <v>Somogyi Balázs</v>
      </c>
      <c r="C834" s="1"/>
      <c r="D834" s="1" t="str">
        <f ca="1">IFERROR(__xludf.DUMMYFUNCTION("""COMPUTED_VALUE"""),"Férfi")</f>
        <v>Férfi</v>
      </c>
      <c r="E834" s="1"/>
      <c r="F834" s="1">
        <f ca="1">IFERROR(__xludf.DUMMYFUNCTION("""COMPUTED_VALUE"""),2004)</f>
        <v>2004</v>
      </c>
      <c r="G834" s="1">
        <f ca="1">IFERROR(__xludf.DUMMYFUNCTION("""COMPUTED_VALUE"""),4557)</f>
        <v>4557</v>
      </c>
      <c r="H834" s="1" t="str">
        <f ca="1">IFERROR(__xludf.DUMMYFUNCTION("""COMPUTED_VALUE"""),"MTLSZ004557A21")</f>
        <v>MTLSZ004557A21</v>
      </c>
      <c r="I834" s="2">
        <f ca="1">IFERROR(__xludf.DUMMYFUNCTION("""COMPUTED_VALUE"""),44321)</f>
        <v>44321</v>
      </c>
      <c r="J834" s="2">
        <f ca="1">IFERROR(__xludf.DUMMYFUNCTION("""COMPUTED_VALUE"""),44685)</f>
        <v>44685</v>
      </c>
    </row>
    <row r="835" spans="1:10" x14ac:dyDescent="0.25">
      <c r="A835" s="1" t="str">
        <f ca="1">IFERROR(__xludf.DUMMYFUNCTION("""COMPUTED_VALUE"""),"BTBK")</f>
        <v>BTBK</v>
      </c>
      <c r="B835" s="1" t="str">
        <f ca="1">IFERROR(__xludf.DUMMYFUNCTION("""COMPUTED_VALUE"""),"Kőszegi Mónika")</f>
        <v>Kőszegi Mónika</v>
      </c>
      <c r="C835" s="1"/>
      <c r="D835" s="1" t="str">
        <f ca="1">IFERROR(__xludf.DUMMYFUNCTION("""COMPUTED_VALUE"""),"Nő")</f>
        <v>Nő</v>
      </c>
      <c r="E835" s="1"/>
      <c r="F835" s="1">
        <f ca="1">IFERROR(__xludf.DUMMYFUNCTION("""COMPUTED_VALUE"""),1974)</f>
        <v>1974</v>
      </c>
      <c r="G835" s="1">
        <f ca="1">IFERROR(__xludf.DUMMYFUNCTION("""COMPUTED_VALUE"""),4555)</f>
        <v>4555</v>
      </c>
      <c r="H835" s="1" t="str">
        <f ca="1">IFERROR(__xludf.DUMMYFUNCTION("""COMPUTED_VALUE"""),"MTLSZ004555A21")</f>
        <v>MTLSZ004555A21</v>
      </c>
      <c r="I835" s="2">
        <f ca="1">IFERROR(__xludf.DUMMYFUNCTION("""COMPUTED_VALUE"""),44320)</f>
        <v>44320</v>
      </c>
      <c r="J835" s="2">
        <f ca="1">IFERROR(__xludf.DUMMYFUNCTION("""COMPUTED_VALUE"""),44684)</f>
        <v>44684</v>
      </c>
    </row>
    <row r="836" spans="1:10" x14ac:dyDescent="0.25">
      <c r="A836" s="1" t="str">
        <f ca="1">IFERROR(__xludf.DUMMYFUNCTION("""COMPUTED_VALUE"""),"BTBK")</f>
        <v>BTBK</v>
      </c>
      <c r="B836" s="1" t="str">
        <f ca="1">IFERROR(__xludf.DUMMYFUNCTION("""COMPUTED_VALUE"""),"Takács Sándor")</f>
        <v>Takács Sándor</v>
      </c>
      <c r="C836" s="1"/>
      <c r="D836" s="1" t="str">
        <f ca="1">IFERROR(__xludf.DUMMYFUNCTION("""COMPUTED_VALUE"""),"Férfi")</f>
        <v>Férfi</v>
      </c>
      <c r="E836" s="1"/>
      <c r="F836" s="1">
        <f ca="1">IFERROR(__xludf.DUMMYFUNCTION("""COMPUTED_VALUE"""),1967)</f>
        <v>1967</v>
      </c>
      <c r="G836" s="1">
        <f ca="1">IFERROR(__xludf.DUMMYFUNCTION("""COMPUTED_VALUE"""),4556)</f>
        <v>4556</v>
      </c>
      <c r="H836" s="1" t="str">
        <f ca="1">IFERROR(__xludf.DUMMYFUNCTION("""COMPUTED_VALUE"""),"MTLSZ004556A21")</f>
        <v>MTLSZ004556A21</v>
      </c>
      <c r="I836" s="2">
        <f ca="1">IFERROR(__xludf.DUMMYFUNCTION("""COMPUTED_VALUE"""),44320)</f>
        <v>44320</v>
      </c>
      <c r="J836" s="2">
        <f ca="1">IFERROR(__xludf.DUMMYFUNCTION("""COMPUTED_VALUE"""),44684)</f>
        <v>44684</v>
      </c>
    </row>
    <row r="837" spans="1:10" x14ac:dyDescent="0.25">
      <c r="A837" s="1" t="str">
        <f ca="1">IFERROR(__xludf.DUMMYFUNCTION("""COMPUTED_VALUE"""),"Klébi DSE")</f>
        <v>Klébi DSE</v>
      </c>
      <c r="B837" s="1" t="str">
        <f ca="1">IFERROR(__xludf.DUMMYFUNCTION("""COMPUTED_VALUE"""),"Mester Áron")</f>
        <v>Mester Áron</v>
      </c>
      <c r="C837" s="1"/>
      <c r="D837" s="1" t="str">
        <f ca="1">IFERROR(__xludf.DUMMYFUNCTION("""COMPUTED_VALUE"""),"Férfi")</f>
        <v>Férfi</v>
      </c>
      <c r="E837" s="1"/>
      <c r="F837" s="1">
        <f ca="1">IFERROR(__xludf.DUMMYFUNCTION("""COMPUTED_VALUE"""),2000)</f>
        <v>2000</v>
      </c>
      <c r="G837" s="1">
        <f ca="1">IFERROR(__xludf.DUMMYFUNCTION("""COMPUTED_VALUE"""),2876)</f>
        <v>2876</v>
      </c>
      <c r="H837" s="1" t="str">
        <f ca="1">IFERROR(__xludf.DUMMYFUNCTION("""COMPUTED_VALUE"""),"MTLSZ002876A21")</f>
        <v>MTLSZ002876A21</v>
      </c>
      <c r="I837" s="2">
        <f ca="1">IFERROR(__xludf.DUMMYFUNCTION("""COMPUTED_VALUE"""),44320)</f>
        <v>44320</v>
      </c>
      <c r="J837" s="2">
        <f ca="1">IFERROR(__xludf.DUMMYFUNCTION("""COMPUTED_VALUE"""),44684)</f>
        <v>44684</v>
      </c>
    </row>
    <row r="838" spans="1:10" x14ac:dyDescent="0.25">
      <c r="A838" s="1" t="str">
        <f ca="1">IFERROR(__xludf.DUMMYFUNCTION("""COMPUTED_VALUE"""),"SZGYE SZE")</f>
        <v>SZGYE SZE</v>
      </c>
      <c r="B838" s="1" t="str">
        <f ca="1">IFERROR(__xludf.DUMMYFUNCTION("""COMPUTED_VALUE"""),"Kovács Hanna")</f>
        <v>Kovács Hanna</v>
      </c>
      <c r="C838" s="1"/>
      <c r="D838" s="1" t="str">
        <f ca="1">IFERROR(__xludf.DUMMYFUNCTION("""COMPUTED_VALUE"""),"Nő")</f>
        <v>Nő</v>
      </c>
      <c r="E838" s="1"/>
      <c r="F838" s="1">
        <f ca="1">IFERROR(__xludf.DUMMYFUNCTION("""COMPUTED_VALUE"""),2003)</f>
        <v>2003</v>
      </c>
      <c r="G838" s="1">
        <f ca="1">IFERROR(__xludf.DUMMYFUNCTION("""COMPUTED_VALUE"""),2906)</f>
        <v>2906</v>
      </c>
      <c r="H838" s="1" t="str">
        <f ca="1">IFERROR(__xludf.DUMMYFUNCTION("""COMPUTED_VALUE"""),"MTLSZ002906A21")</f>
        <v>MTLSZ002906A21</v>
      </c>
      <c r="I838" s="2">
        <f ca="1">IFERROR(__xludf.DUMMYFUNCTION("""COMPUTED_VALUE"""),44320)</f>
        <v>44320</v>
      </c>
      <c r="J838" s="2">
        <f ca="1">IFERROR(__xludf.DUMMYFUNCTION("""COMPUTED_VALUE"""),44684)</f>
        <v>44684</v>
      </c>
    </row>
    <row r="839" spans="1:10" x14ac:dyDescent="0.25">
      <c r="A839" s="1" t="str">
        <f ca="1">IFERROR(__xludf.DUMMYFUNCTION("""COMPUTED_VALUE"""),"Érdi VSE")</f>
        <v>Érdi VSE</v>
      </c>
      <c r="B839" s="1" t="str">
        <f ca="1">IFERROR(__xludf.DUMMYFUNCTION("""COMPUTED_VALUE"""),"Bokor Tamás")</f>
        <v>Bokor Tamás</v>
      </c>
      <c r="C839" s="1"/>
      <c r="D839" s="1" t="str">
        <f ca="1">IFERROR(__xludf.DUMMYFUNCTION("""COMPUTED_VALUE"""),"Férfi")</f>
        <v>Férfi</v>
      </c>
      <c r="E839" s="1"/>
      <c r="F839" s="1">
        <f ca="1">IFERROR(__xludf.DUMMYFUNCTION("""COMPUTED_VALUE"""),1990)</f>
        <v>1990</v>
      </c>
      <c r="G839" s="1">
        <f ca="1">IFERROR(__xludf.DUMMYFUNCTION("""COMPUTED_VALUE"""),4518)</f>
        <v>4518</v>
      </c>
      <c r="H839" s="1" t="str">
        <f ca="1">IFERROR(__xludf.DUMMYFUNCTION("""COMPUTED_VALUE"""),"MTLSZ004518A21")</f>
        <v>MTLSZ004518A21</v>
      </c>
      <c r="I839" s="2">
        <f ca="1">IFERROR(__xludf.DUMMYFUNCTION("""COMPUTED_VALUE"""),44319)</f>
        <v>44319</v>
      </c>
      <c r="J839" s="2">
        <f ca="1">IFERROR(__xludf.DUMMYFUNCTION("""COMPUTED_VALUE"""),44683)</f>
        <v>44683</v>
      </c>
    </row>
    <row r="840" spans="1:10" x14ac:dyDescent="0.25">
      <c r="A840" s="1" t="str">
        <f ca="1">IFERROR(__xludf.DUMMYFUNCTION("""COMPUTED_VALUE"""),"Érdi VSE")</f>
        <v>Érdi VSE</v>
      </c>
      <c r="B840" s="1" t="str">
        <f ca="1">IFERROR(__xludf.DUMMYFUNCTION("""COMPUTED_VALUE"""),"Darabos Balázs")</f>
        <v>Darabos Balázs</v>
      </c>
      <c r="C840" s="1"/>
      <c r="D840" s="1" t="str">
        <f ca="1">IFERROR(__xludf.DUMMYFUNCTION("""COMPUTED_VALUE"""),"Férfi")</f>
        <v>Férfi</v>
      </c>
      <c r="E840" s="1"/>
      <c r="F840" s="1">
        <f ca="1">IFERROR(__xludf.DUMMYFUNCTION("""COMPUTED_VALUE"""),1972)</f>
        <v>1972</v>
      </c>
      <c r="G840" s="1">
        <f ca="1">IFERROR(__xludf.DUMMYFUNCTION("""COMPUTED_VALUE"""),4522)</f>
        <v>4522</v>
      </c>
      <c r="H840" s="1" t="str">
        <f ca="1">IFERROR(__xludf.DUMMYFUNCTION("""COMPUTED_VALUE"""),"MTLSZ004522A21")</f>
        <v>MTLSZ004522A21</v>
      </c>
      <c r="I840" s="2">
        <f ca="1">IFERROR(__xludf.DUMMYFUNCTION("""COMPUTED_VALUE"""),44319)</f>
        <v>44319</v>
      </c>
      <c r="J840" s="2">
        <f ca="1">IFERROR(__xludf.DUMMYFUNCTION("""COMPUTED_VALUE"""),44683)</f>
        <v>44683</v>
      </c>
    </row>
    <row r="841" spans="1:10" x14ac:dyDescent="0.25">
      <c r="A841" s="1" t="str">
        <f ca="1">IFERROR(__xludf.DUMMYFUNCTION("""COMPUTED_VALUE"""),"Érdi VSE")</f>
        <v>Érdi VSE</v>
      </c>
      <c r="B841" s="1" t="str">
        <f ca="1">IFERROR(__xludf.DUMMYFUNCTION("""COMPUTED_VALUE"""),"Reichert Tamás")</f>
        <v>Reichert Tamás</v>
      </c>
      <c r="C841" s="1"/>
      <c r="D841" s="1" t="str">
        <f ca="1">IFERROR(__xludf.DUMMYFUNCTION("""COMPUTED_VALUE"""),"Férfi")</f>
        <v>Férfi</v>
      </c>
      <c r="E841" s="1"/>
      <c r="F841" s="1">
        <f ca="1">IFERROR(__xludf.DUMMYFUNCTION("""COMPUTED_VALUE"""),1970)</f>
        <v>1970</v>
      </c>
      <c r="G841" s="1">
        <f ca="1">IFERROR(__xludf.DUMMYFUNCTION("""COMPUTED_VALUE"""),2776)</f>
        <v>2776</v>
      </c>
      <c r="H841" s="1" t="str">
        <f ca="1">IFERROR(__xludf.DUMMYFUNCTION("""COMPUTED_VALUE"""),"MTLSZ002776A21")</f>
        <v>MTLSZ002776A21</v>
      </c>
      <c r="I841" s="2">
        <f ca="1">IFERROR(__xludf.DUMMYFUNCTION("""COMPUTED_VALUE"""),44319)</f>
        <v>44319</v>
      </c>
      <c r="J841" s="2">
        <f ca="1">IFERROR(__xludf.DUMMYFUNCTION("""COMPUTED_VALUE"""),44683)</f>
        <v>44683</v>
      </c>
    </row>
    <row r="842" spans="1:10" x14ac:dyDescent="0.25">
      <c r="A842" s="1" t="str">
        <f ca="1">IFERROR(__xludf.DUMMYFUNCTION("""COMPUTED_VALUE"""),"Érdi VSE")</f>
        <v>Érdi VSE</v>
      </c>
      <c r="B842" s="1" t="str">
        <f ca="1">IFERROR(__xludf.DUMMYFUNCTION("""COMPUTED_VALUE"""),"Rozgonyi Zoltán")</f>
        <v>Rozgonyi Zoltán</v>
      </c>
      <c r="C842" s="1"/>
      <c r="D842" s="1" t="str">
        <f ca="1">IFERROR(__xludf.DUMMYFUNCTION("""COMPUTED_VALUE"""),"Férfi")</f>
        <v>Férfi</v>
      </c>
      <c r="E842" s="1"/>
      <c r="F842" s="1">
        <f ca="1">IFERROR(__xludf.DUMMYFUNCTION("""COMPUTED_VALUE"""),1973)</f>
        <v>1973</v>
      </c>
      <c r="G842" s="1">
        <f ca="1">IFERROR(__xludf.DUMMYFUNCTION("""COMPUTED_VALUE"""),4520)</f>
        <v>4520</v>
      </c>
      <c r="H842" s="1" t="str">
        <f ca="1">IFERROR(__xludf.DUMMYFUNCTION("""COMPUTED_VALUE"""),"MTLSZ004520A21")</f>
        <v>MTLSZ004520A21</v>
      </c>
      <c r="I842" s="2">
        <f ca="1">IFERROR(__xludf.DUMMYFUNCTION("""COMPUTED_VALUE"""),44319)</f>
        <v>44319</v>
      </c>
      <c r="J842" s="2">
        <f ca="1">IFERROR(__xludf.DUMMYFUNCTION("""COMPUTED_VALUE"""),44683)</f>
        <v>44683</v>
      </c>
    </row>
    <row r="843" spans="1:10" x14ac:dyDescent="0.25">
      <c r="A843" s="1" t="str">
        <f ca="1">IFERROR(__xludf.DUMMYFUNCTION("""COMPUTED_VALUE"""),"Érdi VSE")</f>
        <v>Érdi VSE</v>
      </c>
      <c r="B843" s="1" t="str">
        <f ca="1">IFERROR(__xludf.DUMMYFUNCTION("""COMPUTED_VALUE"""),"Süvegjártó Zoltán")</f>
        <v>Süvegjártó Zoltán</v>
      </c>
      <c r="C843" s="1"/>
      <c r="D843" s="1" t="str">
        <f ca="1">IFERROR(__xludf.DUMMYFUNCTION("""COMPUTED_VALUE"""),"Férfi")</f>
        <v>Férfi</v>
      </c>
      <c r="E843" s="1"/>
      <c r="F843" s="1">
        <f ca="1">IFERROR(__xludf.DUMMYFUNCTION("""COMPUTED_VALUE"""),1972)</f>
        <v>1972</v>
      </c>
      <c r="G843" s="1">
        <f ca="1">IFERROR(__xludf.DUMMYFUNCTION("""COMPUTED_VALUE"""),4519)</f>
        <v>4519</v>
      </c>
      <c r="H843" s="1" t="str">
        <f ca="1">IFERROR(__xludf.DUMMYFUNCTION("""COMPUTED_VALUE"""),"MTLSZ004519A21")</f>
        <v>MTLSZ004519A21</v>
      </c>
      <c r="I843" s="2">
        <f ca="1">IFERROR(__xludf.DUMMYFUNCTION("""COMPUTED_VALUE"""),44319)</f>
        <v>44319</v>
      </c>
      <c r="J843" s="2">
        <f ca="1">IFERROR(__xludf.DUMMYFUNCTION("""COMPUTED_VALUE"""),44683)</f>
        <v>44683</v>
      </c>
    </row>
    <row r="844" spans="1:10" x14ac:dyDescent="0.25">
      <c r="A844" s="1" t="str">
        <f ca="1">IFERROR(__xludf.DUMMYFUNCTION("""COMPUTED_VALUE"""),"Érdi VSE")</f>
        <v>Érdi VSE</v>
      </c>
      <c r="B844" s="1" t="str">
        <f ca="1">IFERROR(__xludf.DUMMYFUNCTION("""COMPUTED_VALUE"""),"Szelp Dénes")</f>
        <v>Szelp Dénes</v>
      </c>
      <c r="C844" s="1"/>
      <c r="D844" s="1" t="str">
        <f ca="1">IFERROR(__xludf.DUMMYFUNCTION("""COMPUTED_VALUE"""),"Férfi")</f>
        <v>Férfi</v>
      </c>
      <c r="E844" s="1"/>
      <c r="F844" s="1">
        <f ca="1">IFERROR(__xludf.DUMMYFUNCTION("""COMPUTED_VALUE"""),1990)</f>
        <v>1990</v>
      </c>
      <c r="G844" s="1">
        <f ca="1">IFERROR(__xludf.DUMMYFUNCTION("""COMPUTED_VALUE"""),4521)</f>
        <v>4521</v>
      </c>
      <c r="H844" s="1" t="str">
        <f ca="1">IFERROR(__xludf.DUMMYFUNCTION("""COMPUTED_VALUE"""),"MTLSZ004521A21")</f>
        <v>MTLSZ004521A21</v>
      </c>
      <c r="I844" s="2">
        <f ca="1">IFERROR(__xludf.DUMMYFUNCTION("""COMPUTED_VALUE"""),44319)</f>
        <v>44319</v>
      </c>
      <c r="J844" s="2">
        <f ca="1">IFERROR(__xludf.DUMMYFUNCTION("""COMPUTED_VALUE"""),44683)</f>
        <v>44683</v>
      </c>
    </row>
    <row r="845" spans="1:10" x14ac:dyDescent="0.25">
      <c r="A845" s="1" t="str">
        <f ca="1">IFERROR(__xludf.DUMMYFUNCTION("""COMPUTED_VALUE"""),"SZGYE SZE")</f>
        <v>SZGYE SZE</v>
      </c>
      <c r="B845" s="1" t="str">
        <f ca="1">IFERROR(__xludf.DUMMYFUNCTION("""COMPUTED_VALUE"""),"Balogh Dóra")</f>
        <v>Balogh Dóra</v>
      </c>
      <c r="C845" s="1"/>
      <c r="D845" s="1" t="str">
        <f ca="1">IFERROR(__xludf.DUMMYFUNCTION("""COMPUTED_VALUE"""),"Nő")</f>
        <v>Nő</v>
      </c>
      <c r="E845" s="1"/>
      <c r="F845" s="1">
        <f ca="1">IFERROR(__xludf.DUMMYFUNCTION("""COMPUTED_VALUE"""),2010)</f>
        <v>2010</v>
      </c>
      <c r="G845" s="1">
        <f ca="1">IFERROR(__xludf.DUMMYFUNCTION("""COMPUTED_VALUE"""),3379)</f>
        <v>3379</v>
      </c>
      <c r="H845" s="1" t="str">
        <f ca="1">IFERROR(__xludf.DUMMYFUNCTION("""COMPUTED_VALUE"""),"MTLSZ003379A21")</f>
        <v>MTLSZ003379A21</v>
      </c>
      <c r="I845" s="2">
        <f ca="1">IFERROR(__xludf.DUMMYFUNCTION("""COMPUTED_VALUE"""),44319)</f>
        <v>44319</v>
      </c>
      <c r="J845" s="2">
        <f ca="1">IFERROR(__xludf.DUMMYFUNCTION("""COMPUTED_VALUE"""),44683)</f>
        <v>44683</v>
      </c>
    </row>
    <row r="846" spans="1:10" x14ac:dyDescent="0.25">
      <c r="A846" s="1" t="str">
        <f ca="1">IFERROR(__xludf.DUMMYFUNCTION("""COMPUTED_VALUE"""),"SZGYE SZE")</f>
        <v>SZGYE SZE</v>
      </c>
      <c r="B846" s="1" t="str">
        <f ca="1">IFERROR(__xludf.DUMMYFUNCTION("""COMPUTED_VALUE"""),"Bors József")</f>
        <v>Bors József</v>
      </c>
      <c r="C846" s="1"/>
      <c r="D846" s="1" t="str">
        <f ca="1">IFERROR(__xludf.DUMMYFUNCTION("""COMPUTED_VALUE"""),"Férfi")</f>
        <v>Férfi</v>
      </c>
      <c r="E846" s="1"/>
      <c r="F846" s="1">
        <f ca="1">IFERROR(__xludf.DUMMYFUNCTION("""COMPUTED_VALUE"""),1966)</f>
        <v>1966</v>
      </c>
      <c r="G846" s="1">
        <f ca="1">IFERROR(__xludf.DUMMYFUNCTION("""COMPUTED_VALUE"""),4531)</f>
        <v>4531</v>
      </c>
      <c r="H846" s="1" t="str">
        <f ca="1">IFERROR(__xludf.DUMMYFUNCTION("""COMPUTED_VALUE"""),"MTLSZ004531A21")</f>
        <v>MTLSZ004531A21</v>
      </c>
      <c r="I846" s="2">
        <f ca="1">IFERROR(__xludf.DUMMYFUNCTION("""COMPUTED_VALUE"""),44319)</f>
        <v>44319</v>
      </c>
      <c r="J846" s="2">
        <f ca="1">IFERROR(__xludf.DUMMYFUNCTION("""COMPUTED_VALUE"""),44683)</f>
        <v>44683</v>
      </c>
    </row>
    <row r="847" spans="1:10" x14ac:dyDescent="0.25">
      <c r="A847" s="1" t="str">
        <f ca="1">IFERROR(__xludf.DUMMYFUNCTION("""COMPUTED_VALUE"""),"SZGYE SZE")</f>
        <v>SZGYE SZE</v>
      </c>
      <c r="B847" s="1" t="str">
        <f ca="1">IFERROR(__xludf.DUMMYFUNCTION("""COMPUTED_VALUE"""),"Bors Veronika")</f>
        <v>Bors Veronika</v>
      </c>
      <c r="C847" s="1"/>
      <c r="D847" s="1" t="str">
        <f ca="1">IFERROR(__xludf.DUMMYFUNCTION("""COMPUTED_VALUE"""),"Nő")</f>
        <v>Nő</v>
      </c>
      <c r="E847" s="1"/>
      <c r="F847" s="1">
        <f ca="1">IFERROR(__xludf.DUMMYFUNCTION("""COMPUTED_VALUE"""),2004)</f>
        <v>2004</v>
      </c>
      <c r="G847" s="1">
        <f ca="1">IFERROR(__xludf.DUMMYFUNCTION("""COMPUTED_VALUE"""),2904)</f>
        <v>2904</v>
      </c>
      <c r="H847" s="1" t="str">
        <f ca="1">IFERROR(__xludf.DUMMYFUNCTION("""COMPUTED_VALUE"""),"MTLSZ002904A21")</f>
        <v>MTLSZ002904A21</v>
      </c>
      <c r="I847" s="2">
        <f ca="1">IFERROR(__xludf.DUMMYFUNCTION("""COMPUTED_VALUE"""),44319)</f>
        <v>44319</v>
      </c>
      <c r="J847" s="2">
        <f ca="1">IFERROR(__xludf.DUMMYFUNCTION("""COMPUTED_VALUE"""),44683)</f>
        <v>44683</v>
      </c>
    </row>
    <row r="848" spans="1:10" x14ac:dyDescent="0.25">
      <c r="A848" s="1" t="str">
        <f ca="1">IFERROR(__xludf.DUMMYFUNCTION("""COMPUTED_VALUE"""),"SZGYE SZE")</f>
        <v>SZGYE SZE</v>
      </c>
      <c r="B848" s="1" t="str">
        <f ca="1">IFERROR(__xludf.DUMMYFUNCTION("""COMPUTED_VALUE"""),"Kovács Márk")</f>
        <v>Kovács Márk</v>
      </c>
      <c r="C848" s="1"/>
      <c r="D848" s="1" t="str">
        <f ca="1">IFERROR(__xludf.DUMMYFUNCTION("""COMPUTED_VALUE"""),"Férfi")</f>
        <v>Férfi</v>
      </c>
      <c r="E848" s="1"/>
      <c r="F848" s="1">
        <f ca="1">IFERROR(__xludf.DUMMYFUNCTION("""COMPUTED_VALUE"""),2007)</f>
        <v>2007</v>
      </c>
      <c r="G848" s="1">
        <f ca="1">IFERROR(__xludf.DUMMYFUNCTION("""COMPUTED_VALUE"""),3179)</f>
        <v>3179</v>
      </c>
      <c r="H848" s="1" t="str">
        <f ca="1">IFERROR(__xludf.DUMMYFUNCTION("""COMPUTED_VALUE"""),"MTLSZ003179A21")</f>
        <v>MTLSZ003179A21</v>
      </c>
      <c r="I848" s="2">
        <f ca="1">IFERROR(__xludf.DUMMYFUNCTION("""COMPUTED_VALUE"""),44319)</f>
        <v>44319</v>
      </c>
      <c r="J848" s="2">
        <f ca="1">IFERROR(__xludf.DUMMYFUNCTION("""COMPUTED_VALUE"""),44683)</f>
        <v>44683</v>
      </c>
    </row>
    <row r="849" spans="1:10" x14ac:dyDescent="0.25">
      <c r="A849" s="1" t="str">
        <f ca="1">IFERROR(__xludf.DUMMYFUNCTION("""COMPUTED_VALUE"""),"SZGYE SZE")</f>
        <v>SZGYE SZE</v>
      </c>
      <c r="B849" s="1" t="str">
        <f ca="1">IFERROR(__xludf.DUMMYFUNCTION("""COMPUTED_VALUE"""),"Ungi Bálint")</f>
        <v>Ungi Bálint</v>
      </c>
      <c r="C849" s="1"/>
      <c r="D849" s="1" t="str">
        <f ca="1">IFERROR(__xludf.DUMMYFUNCTION("""COMPUTED_VALUE"""),"Férfi")</f>
        <v>Férfi</v>
      </c>
      <c r="E849" s="1"/>
      <c r="F849" s="1">
        <f ca="1">IFERROR(__xludf.DUMMYFUNCTION("""COMPUTED_VALUE"""),2005)</f>
        <v>2005</v>
      </c>
      <c r="G849" s="1">
        <f ca="1">IFERROR(__xludf.DUMMYFUNCTION("""COMPUTED_VALUE"""),2907)</f>
        <v>2907</v>
      </c>
      <c r="H849" s="1" t="str">
        <f ca="1">IFERROR(__xludf.DUMMYFUNCTION("""COMPUTED_VALUE"""),"MTLSZ002907A21")</f>
        <v>MTLSZ002907A21</v>
      </c>
      <c r="I849" s="2">
        <f ca="1">IFERROR(__xludf.DUMMYFUNCTION("""COMPUTED_VALUE"""),44319)</f>
        <v>44319</v>
      </c>
      <c r="J849" s="2">
        <f ca="1">IFERROR(__xludf.DUMMYFUNCTION("""COMPUTED_VALUE"""),44683)</f>
        <v>44683</v>
      </c>
    </row>
    <row r="850" spans="1:10" x14ac:dyDescent="0.25">
      <c r="A850" s="1" t="str">
        <f ca="1">IFERROR(__xludf.DUMMYFUNCTION("""COMPUTED_VALUE"""),"SZGYE SZE")</f>
        <v>SZGYE SZE</v>
      </c>
      <c r="B850" s="1" t="str">
        <f ca="1">IFERROR(__xludf.DUMMYFUNCTION("""COMPUTED_VALUE"""),"Viszolai Flóra")</f>
        <v>Viszolai Flóra</v>
      </c>
      <c r="C850" s="1"/>
      <c r="D850" s="1" t="str">
        <f ca="1">IFERROR(__xludf.DUMMYFUNCTION("""COMPUTED_VALUE"""),"Nő")</f>
        <v>Nő</v>
      </c>
      <c r="E850" s="1"/>
      <c r="F850" s="1">
        <f ca="1">IFERROR(__xludf.DUMMYFUNCTION("""COMPUTED_VALUE"""),2009)</f>
        <v>2009</v>
      </c>
      <c r="G850" s="1">
        <f ca="1">IFERROR(__xludf.DUMMYFUNCTION("""COMPUTED_VALUE"""),4532)</f>
        <v>4532</v>
      </c>
      <c r="H850" s="1" t="str">
        <f ca="1">IFERROR(__xludf.DUMMYFUNCTION("""COMPUTED_VALUE"""),"MTLSZ004532A21")</f>
        <v>MTLSZ004532A21</v>
      </c>
      <c r="I850" s="2">
        <f ca="1">IFERROR(__xludf.DUMMYFUNCTION("""COMPUTED_VALUE"""),44319)</f>
        <v>44319</v>
      </c>
      <c r="J850" s="2">
        <f ca="1">IFERROR(__xludf.DUMMYFUNCTION("""COMPUTED_VALUE"""),44683)</f>
        <v>44683</v>
      </c>
    </row>
    <row r="851" spans="1:10" x14ac:dyDescent="0.25">
      <c r="A851" s="1" t="str">
        <f ca="1">IFERROR(__xludf.DUMMYFUNCTION("""COMPUTED_VALUE"""),"SZGYE SZE")</f>
        <v>SZGYE SZE</v>
      </c>
      <c r="B851" s="1"/>
      <c r="C851" s="1"/>
      <c r="D851" s="1"/>
      <c r="E851" s="1"/>
      <c r="F851" s="1">
        <f ca="1">IFERROR(__xludf.DUMMYFUNCTION("""COMPUTED_VALUE"""),1899)</f>
        <v>1899</v>
      </c>
      <c r="G851" s="1">
        <f ca="1">IFERROR(__xludf.DUMMYFUNCTION("""COMPUTED_VALUE"""),4554)</f>
        <v>4554</v>
      </c>
      <c r="H851" s="1"/>
      <c r="I851" s="2">
        <f ca="1">IFERROR(__xludf.DUMMYFUNCTION("""COMPUTED_VALUE"""),44319)</f>
        <v>44319</v>
      </c>
      <c r="J851" s="2">
        <f ca="1">IFERROR(__xludf.DUMMYFUNCTION("""COMPUTED_VALUE"""),44683)</f>
        <v>44683</v>
      </c>
    </row>
    <row r="852" spans="1:10" x14ac:dyDescent="0.25">
      <c r="A852" s="1" t="str">
        <f ca="1">IFERROR(__xludf.DUMMYFUNCTION("""COMPUTED_VALUE"""),"Talentum TSE")</f>
        <v>Talentum TSE</v>
      </c>
      <c r="B852" s="1" t="str">
        <f ca="1">IFERROR(__xludf.DUMMYFUNCTION("""COMPUTED_VALUE"""),"Kovács Eszter Emma")</f>
        <v>Kovács Eszter Emma</v>
      </c>
      <c r="C852" s="1"/>
      <c r="D852" s="1" t="str">
        <f ca="1">IFERROR(__xludf.DUMMYFUNCTION("""COMPUTED_VALUE"""),"Nő")</f>
        <v>Nő</v>
      </c>
      <c r="E852" s="1"/>
      <c r="F852" s="1">
        <f ca="1">IFERROR(__xludf.DUMMYFUNCTION("""COMPUTED_VALUE"""),2011)</f>
        <v>2011</v>
      </c>
      <c r="G852" s="1">
        <f ca="1">IFERROR(__xludf.DUMMYFUNCTION("""COMPUTED_VALUE"""),4524)</f>
        <v>4524</v>
      </c>
      <c r="H852" s="1" t="str">
        <f ca="1">IFERROR(__xludf.DUMMYFUNCTION("""COMPUTED_VALUE"""),"MTLSZ004524A21")</f>
        <v>MTLSZ004524A21</v>
      </c>
      <c r="I852" s="2">
        <f ca="1">IFERROR(__xludf.DUMMYFUNCTION("""COMPUTED_VALUE"""),44319)</f>
        <v>44319</v>
      </c>
      <c r="J852" s="2">
        <f ca="1">IFERROR(__xludf.DUMMYFUNCTION("""COMPUTED_VALUE"""),44683)</f>
        <v>44683</v>
      </c>
    </row>
    <row r="853" spans="1:10" x14ac:dyDescent="0.25">
      <c r="A853" s="1" t="str">
        <f ca="1">IFERROR(__xludf.DUMMYFUNCTION("""COMPUTED_VALUE"""),"DSK")</f>
        <v>DSK</v>
      </c>
      <c r="B853" s="1" t="str">
        <f ca="1">IFERROR(__xludf.DUMMYFUNCTION("""COMPUTED_VALUE"""),"Hudák Ferenc")</f>
        <v>Hudák Ferenc</v>
      </c>
      <c r="C853" s="1"/>
      <c r="D853" s="1" t="str">
        <f ca="1">IFERROR(__xludf.DUMMYFUNCTION("""COMPUTED_VALUE"""),"Férfi")</f>
        <v>Férfi</v>
      </c>
      <c r="E853" s="1"/>
      <c r="F853" s="1">
        <f ca="1">IFERROR(__xludf.DUMMYFUNCTION("""COMPUTED_VALUE"""),1998)</f>
        <v>1998</v>
      </c>
      <c r="G853" s="1">
        <f ca="1">IFERROR(__xludf.DUMMYFUNCTION("""COMPUTED_VALUE"""),2500)</f>
        <v>2500</v>
      </c>
      <c r="H853" s="1" t="str">
        <f ca="1">IFERROR(__xludf.DUMMYFUNCTION("""COMPUTED_VALUE"""),"MTLSZ002500A21")</f>
        <v>MTLSZ002500A21</v>
      </c>
      <c r="I853" s="2">
        <f ca="1">IFERROR(__xludf.DUMMYFUNCTION("""COMPUTED_VALUE"""),44318)</f>
        <v>44318</v>
      </c>
      <c r="J853" s="2">
        <f ca="1">IFERROR(__xludf.DUMMYFUNCTION("""COMPUTED_VALUE"""),44682)</f>
        <v>44682</v>
      </c>
    </row>
    <row r="854" spans="1:10" x14ac:dyDescent="0.25">
      <c r="A854" s="1" t="str">
        <f ca="1">IFERROR(__xludf.DUMMYFUNCTION("""COMPUTED_VALUE"""),"DSK")</f>
        <v>DSK</v>
      </c>
      <c r="B854" s="1" t="str">
        <f ca="1">IFERROR(__xludf.DUMMYFUNCTION("""COMPUTED_VALUE"""),"Jeruska Zsuzsanna")</f>
        <v>Jeruska Zsuzsanna</v>
      </c>
      <c r="C854" s="1"/>
      <c r="D854" s="1" t="str">
        <f ca="1">IFERROR(__xludf.DUMMYFUNCTION("""COMPUTED_VALUE"""),"Nő")</f>
        <v>Nő</v>
      </c>
      <c r="E854" s="1"/>
      <c r="F854" s="1">
        <f ca="1">IFERROR(__xludf.DUMMYFUNCTION("""COMPUTED_VALUE"""),1999)</f>
        <v>1999</v>
      </c>
      <c r="G854" s="1">
        <f ca="1">IFERROR(__xludf.DUMMYFUNCTION("""COMPUTED_VALUE"""),2496)</f>
        <v>2496</v>
      </c>
      <c r="H854" s="1" t="str">
        <f ca="1">IFERROR(__xludf.DUMMYFUNCTION("""COMPUTED_VALUE"""),"MTLSZ002496A21")</f>
        <v>MTLSZ002496A21</v>
      </c>
      <c r="I854" s="2">
        <f ca="1">IFERROR(__xludf.DUMMYFUNCTION("""COMPUTED_VALUE"""),44318)</f>
        <v>44318</v>
      </c>
      <c r="J854" s="2">
        <f ca="1">IFERROR(__xludf.DUMMYFUNCTION("""COMPUTED_VALUE"""),44682)</f>
        <v>44682</v>
      </c>
    </row>
    <row r="855" spans="1:10" x14ac:dyDescent="0.25">
      <c r="A855" s="1" t="str">
        <f ca="1">IFERROR(__xludf.DUMMYFUNCTION("""COMPUTED_VALUE"""),"DSK")</f>
        <v>DSK</v>
      </c>
      <c r="B855" s="1" t="str">
        <f ca="1">IFERROR(__xludf.DUMMYFUNCTION("""COMPUTED_VALUE"""),"László Bence")</f>
        <v>László Bence</v>
      </c>
      <c r="C855" s="1"/>
      <c r="D855" s="1" t="str">
        <f ca="1">IFERROR(__xludf.DUMMYFUNCTION("""COMPUTED_VALUE"""),"Férfi")</f>
        <v>Férfi</v>
      </c>
      <c r="E855" s="1"/>
      <c r="F855" s="1">
        <f ca="1">IFERROR(__xludf.DUMMYFUNCTION("""COMPUTED_VALUE"""),2005)</f>
        <v>2005</v>
      </c>
      <c r="G855" s="1">
        <f ca="1">IFERROR(__xludf.DUMMYFUNCTION("""COMPUTED_VALUE"""),4550)</f>
        <v>4550</v>
      </c>
      <c r="H855" s="1" t="str">
        <f ca="1">IFERROR(__xludf.DUMMYFUNCTION("""COMPUTED_VALUE"""),"MTLSZ004550A21")</f>
        <v>MTLSZ004550A21</v>
      </c>
      <c r="I855" s="2">
        <f ca="1">IFERROR(__xludf.DUMMYFUNCTION("""COMPUTED_VALUE"""),44318)</f>
        <v>44318</v>
      </c>
      <c r="J855" s="2">
        <f ca="1">IFERROR(__xludf.DUMMYFUNCTION("""COMPUTED_VALUE"""),44682)</f>
        <v>44682</v>
      </c>
    </row>
    <row r="856" spans="1:10" x14ac:dyDescent="0.25">
      <c r="A856" s="1" t="str">
        <f ca="1">IFERROR(__xludf.DUMMYFUNCTION("""COMPUTED_VALUE"""),"DSK")</f>
        <v>DSK</v>
      </c>
      <c r="B856" s="1" t="str">
        <f ca="1">IFERROR(__xludf.DUMMYFUNCTION("""COMPUTED_VALUE"""),"László Csaba")</f>
        <v>László Csaba</v>
      </c>
      <c r="C856" s="1"/>
      <c r="D856" s="1" t="str">
        <f ca="1">IFERROR(__xludf.DUMMYFUNCTION("""COMPUTED_VALUE"""),"Férfi")</f>
        <v>Férfi</v>
      </c>
      <c r="E856" s="1"/>
      <c r="F856" s="1">
        <f ca="1">IFERROR(__xludf.DUMMYFUNCTION("""COMPUTED_VALUE"""),1998)</f>
        <v>1998</v>
      </c>
      <c r="G856" s="1">
        <f ca="1">IFERROR(__xludf.DUMMYFUNCTION("""COMPUTED_VALUE"""),2692)</f>
        <v>2692</v>
      </c>
      <c r="H856" s="1" t="str">
        <f ca="1">IFERROR(__xludf.DUMMYFUNCTION("""COMPUTED_VALUE"""),"MTLSZ002692A21")</f>
        <v>MTLSZ002692A21</v>
      </c>
      <c r="I856" s="2">
        <f ca="1">IFERROR(__xludf.DUMMYFUNCTION("""COMPUTED_VALUE"""),44318)</f>
        <v>44318</v>
      </c>
      <c r="J856" s="2">
        <f ca="1">IFERROR(__xludf.DUMMYFUNCTION("""COMPUTED_VALUE"""),44682)</f>
        <v>44682</v>
      </c>
    </row>
    <row r="857" spans="1:10" x14ac:dyDescent="0.25">
      <c r="A857" s="1" t="str">
        <f ca="1">IFERROR(__xludf.DUMMYFUNCTION("""COMPUTED_VALUE"""),"DSK")</f>
        <v>DSK</v>
      </c>
      <c r="B857" s="1" t="str">
        <f ca="1">IFERROR(__xludf.DUMMYFUNCTION("""COMPUTED_VALUE"""),"Léé Hédi Klára")</f>
        <v>Léé Hédi Klára</v>
      </c>
      <c r="C857" s="1"/>
      <c r="D857" s="1" t="str">
        <f ca="1">IFERROR(__xludf.DUMMYFUNCTION("""COMPUTED_VALUE"""),"Nő")</f>
        <v>Nő</v>
      </c>
      <c r="E857" s="1"/>
      <c r="F857" s="1">
        <f ca="1">IFERROR(__xludf.DUMMYFUNCTION("""COMPUTED_VALUE"""),2005)</f>
        <v>2005</v>
      </c>
      <c r="G857" s="1">
        <f ca="1">IFERROR(__xludf.DUMMYFUNCTION("""COMPUTED_VALUE"""),4551)</f>
        <v>4551</v>
      </c>
      <c r="H857" s="1" t="str">
        <f ca="1">IFERROR(__xludf.DUMMYFUNCTION("""COMPUTED_VALUE"""),"MTLSZ004551A21")</f>
        <v>MTLSZ004551A21</v>
      </c>
      <c r="I857" s="2">
        <f ca="1">IFERROR(__xludf.DUMMYFUNCTION("""COMPUTED_VALUE"""),44318)</f>
        <v>44318</v>
      </c>
      <c r="J857" s="2">
        <f ca="1">IFERROR(__xludf.DUMMYFUNCTION("""COMPUTED_VALUE"""),44682)</f>
        <v>44682</v>
      </c>
    </row>
    <row r="858" spans="1:10" x14ac:dyDescent="0.25">
      <c r="A858" s="1" t="str">
        <f ca="1">IFERROR(__xludf.DUMMYFUNCTION("""COMPUTED_VALUE"""),"DSK")</f>
        <v>DSK</v>
      </c>
      <c r="B858" s="1" t="str">
        <f ca="1">IFERROR(__xludf.DUMMYFUNCTION("""COMPUTED_VALUE"""),"Léé Noémi Erzsébet")</f>
        <v>Léé Noémi Erzsébet</v>
      </c>
      <c r="C858" s="1"/>
      <c r="D858" s="1" t="str">
        <f ca="1">IFERROR(__xludf.DUMMYFUNCTION("""COMPUTED_VALUE"""),"Nő")</f>
        <v>Nő</v>
      </c>
      <c r="E858" s="1"/>
      <c r="F858" s="1">
        <f ca="1">IFERROR(__xludf.DUMMYFUNCTION("""COMPUTED_VALUE"""),2000)</f>
        <v>2000</v>
      </c>
      <c r="G858" s="1">
        <f ca="1">IFERROR(__xludf.DUMMYFUNCTION("""COMPUTED_VALUE"""),4552)</f>
        <v>4552</v>
      </c>
      <c r="H858" s="1" t="str">
        <f ca="1">IFERROR(__xludf.DUMMYFUNCTION("""COMPUTED_VALUE"""),"MTLSZ004552A21")</f>
        <v>MTLSZ004552A21</v>
      </c>
      <c r="I858" s="2">
        <f ca="1">IFERROR(__xludf.DUMMYFUNCTION("""COMPUTED_VALUE"""),44318)</f>
        <v>44318</v>
      </c>
      <c r="J858" s="2">
        <f ca="1">IFERROR(__xludf.DUMMYFUNCTION("""COMPUTED_VALUE"""),44682)</f>
        <v>44682</v>
      </c>
    </row>
    <row r="859" spans="1:10" x14ac:dyDescent="0.25">
      <c r="A859" s="1" t="str">
        <f ca="1">IFERROR(__xludf.DUMMYFUNCTION("""COMPUTED_VALUE"""),"DSK")</f>
        <v>DSK</v>
      </c>
      <c r="B859" s="1" t="str">
        <f ca="1">IFERROR(__xludf.DUMMYFUNCTION("""COMPUTED_VALUE"""),"Vincze Imre")</f>
        <v>Vincze Imre</v>
      </c>
      <c r="C859" s="1"/>
      <c r="D859" s="1" t="str">
        <f ca="1">IFERROR(__xludf.DUMMYFUNCTION("""COMPUTED_VALUE"""),"Férfi")</f>
        <v>Férfi</v>
      </c>
      <c r="E859" s="1"/>
      <c r="F859" s="1">
        <f ca="1">IFERROR(__xludf.DUMMYFUNCTION("""COMPUTED_VALUE"""),1981)</f>
        <v>1981</v>
      </c>
      <c r="G859" s="1">
        <f ca="1">IFERROR(__xludf.DUMMYFUNCTION("""COMPUTED_VALUE"""),4553)</f>
        <v>4553</v>
      </c>
      <c r="H859" s="1" t="str">
        <f ca="1">IFERROR(__xludf.DUMMYFUNCTION("""COMPUTED_VALUE"""),"MTLSZ004553A21")</f>
        <v>MTLSZ004553A21</v>
      </c>
      <c r="I859" s="2">
        <f ca="1">IFERROR(__xludf.DUMMYFUNCTION("""COMPUTED_VALUE"""),44318)</f>
        <v>44318</v>
      </c>
      <c r="J859" s="2">
        <f ca="1">IFERROR(__xludf.DUMMYFUNCTION("""COMPUTED_VALUE"""),44682)</f>
        <v>44682</v>
      </c>
    </row>
    <row r="860" spans="1:10" x14ac:dyDescent="0.25">
      <c r="A860" s="1" t="str">
        <f ca="1">IFERROR(__xludf.DUMMYFUNCTION("""COMPUTED_VALUE"""),"Multi Alarm SE")</f>
        <v>Multi Alarm SE</v>
      </c>
      <c r="B860" s="1" t="str">
        <f ca="1">IFERROR(__xludf.DUMMYFUNCTION("""COMPUTED_VALUE"""),"Bertalan Keve")</f>
        <v>Bertalan Keve</v>
      </c>
      <c r="C860" s="1"/>
      <c r="D860" s="1" t="str">
        <f ca="1">IFERROR(__xludf.DUMMYFUNCTION("""COMPUTED_VALUE"""),"Férfi")</f>
        <v>Férfi</v>
      </c>
      <c r="E860" s="1"/>
      <c r="F860" s="1">
        <f ca="1">IFERROR(__xludf.DUMMYFUNCTION("""COMPUTED_VALUE"""),2011)</f>
        <v>2011</v>
      </c>
      <c r="G860" s="1">
        <f ca="1">IFERROR(__xludf.DUMMYFUNCTION("""COMPUTED_VALUE"""),4549)</f>
        <v>4549</v>
      </c>
      <c r="H860" s="1" t="str">
        <f ca="1">IFERROR(__xludf.DUMMYFUNCTION("""COMPUTED_VALUE"""),"MTLSZ004549A21")</f>
        <v>MTLSZ004549A21</v>
      </c>
      <c r="I860" s="2">
        <f ca="1">IFERROR(__xludf.DUMMYFUNCTION("""COMPUTED_VALUE"""),44316)</f>
        <v>44316</v>
      </c>
      <c r="J860" s="2">
        <f ca="1">IFERROR(__xludf.DUMMYFUNCTION("""COMPUTED_VALUE"""),44680)</f>
        <v>44680</v>
      </c>
    </row>
    <row r="861" spans="1:10" x14ac:dyDescent="0.25">
      <c r="A861" s="1" t="str">
        <f ca="1">IFERROR(__xludf.DUMMYFUNCTION("""COMPUTED_VALUE"""),"Multi Alarm SE")</f>
        <v>Multi Alarm SE</v>
      </c>
      <c r="B861" s="1" t="str">
        <f ca="1">IFERROR(__xludf.DUMMYFUNCTION("""COMPUTED_VALUE"""),"Nagy Noémi Dr.")</f>
        <v>Nagy Noémi Dr.</v>
      </c>
      <c r="C861" s="1"/>
      <c r="D861" s="1" t="str">
        <f ca="1">IFERROR(__xludf.DUMMYFUNCTION("""COMPUTED_VALUE"""),"Nő")</f>
        <v>Nő</v>
      </c>
      <c r="E861" s="1"/>
      <c r="F861" s="1">
        <f ca="1">IFERROR(__xludf.DUMMYFUNCTION("""COMPUTED_VALUE"""),1986)</f>
        <v>1986</v>
      </c>
      <c r="G861" s="1">
        <f ca="1">IFERROR(__xludf.DUMMYFUNCTION("""COMPUTED_VALUE"""),4548)</f>
        <v>4548</v>
      </c>
      <c r="H861" s="1" t="str">
        <f ca="1">IFERROR(__xludf.DUMMYFUNCTION("""COMPUTED_VALUE"""),"MTLSZ004548A21")</f>
        <v>MTLSZ004548A21</v>
      </c>
      <c r="I861" s="2">
        <f ca="1">IFERROR(__xludf.DUMMYFUNCTION("""COMPUTED_VALUE"""),44316)</f>
        <v>44316</v>
      </c>
      <c r="J861" s="2">
        <f ca="1">IFERROR(__xludf.DUMMYFUNCTION("""COMPUTED_VALUE"""),44680)</f>
        <v>44680</v>
      </c>
    </row>
    <row r="862" spans="1:10" x14ac:dyDescent="0.25">
      <c r="A862" s="1" t="str">
        <f ca="1">IFERROR(__xludf.DUMMYFUNCTION("""COMPUTED_VALUE"""),"VSD")</f>
        <v>VSD</v>
      </c>
      <c r="B862" s="1" t="str">
        <f ca="1">IFERROR(__xludf.DUMMYFUNCTION("""COMPUTED_VALUE"""),"Vaizer Emerikh")</f>
        <v>Vaizer Emerikh</v>
      </c>
      <c r="C862" s="1"/>
      <c r="D862" s="1" t="str">
        <f ca="1">IFERROR(__xludf.DUMMYFUNCTION("""COMPUTED_VALUE"""),"Férfi")</f>
        <v>Férfi</v>
      </c>
      <c r="E862" s="1"/>
      <c r="F862" s="1">
        <f ca="1">IFERROR(__xludf.DUMMYFUNCTION("""COMPUTED_VALUE"""),1992)</f>
        <v>1992</v>
      </c>
      <c r="G862" s="1">
        <f ca="1">IFERROR(__xludf.DUMMYFUNCTION("""COMPUTED_VALUE"""),4547)</f>
        <v>4547</v>
      </c>
      <c r="H862" s="1" t="str">
        <f ca="1">IFERROR(__xludf.DUMMYFUNCTION("""COMPUTED_VALUE"""),"MTLSZ004547A21")</f>
        <v>MTLSZ004547A21</v>
      </c>
      <c r="I862" s="2">
        <f ca="1">IFERROR(__xludf.DUMMYFUNCTION("""COMPUTED_VALUE"""),44316)</f>
        <v>44316</v>
      </c>
      <c r="J862" s="2">
        <f ca="1">IFERROR(__xludf.DUMMYFUNCTION("""COMPUTED_VALUE"""),44680)</f>
        <v>44680</v>
      </c>
    </row>
    <row r="863" spans="1:10" x14ac:dyDescent="0.25">
      <c r="A863" s="1" t="str">
        <f ca="1">IFERROR(__xludf.DUMMYFUNCTION("""COMPUTED_VALUE"""),"Zsámbéki SE")</f>
        <v>Zsámbéki SE</v>
      </c>
      <c r="B863" s="1" t="str">
        <f ca="1">IFERROR(__xludf.DUMMYFUNCTION("""COMPUTED_VALUE"""),"Benedek Júlia")</f>
        <v>Benedek Júlia</v>
      </c>
      <c r="C863" s="1"/>
      <c r="D863" s="1" t="str">
        <f ca="1">IFERROR(__xludf.DUMMYFUNCTION("""COMPUTED_VALUE"""),"Nő")</f>
        <v>Nő</v>
      </c>
      <c r="E863" s="1"/>
      <c r="F863" s="1">
        <f ca="1">IFERROR(__xludf.DUMMYFUNCTION("""COMPUTED_VALUE"""),2008)</f>
        <v>2008</v>
      </c>
      <c r="G863" s="1">
        <f ca="1">IFERROR(__xludf.DUMMYFUNCTION("""COMPUTED_VALUE"""),4539)</f>
        <v>4539</v>
      </c>
      <c r="H863" s="1" t="str">
        <f ca="1">IFERROR(__xludf.DUMMYFUNCTION("""COMPUTED_VALUE"""),"MTLSZ004539A21")</f>
        <v>MTLSZ004539A21</v>
      </c>
      <c r="I863" s="2">
        <f ca="1">IFERROR(__xludf.DUMMYFUNCTION("""COMPUTED_VALUE"""),44316)</f>
        <v>44316</v>
      </c>
      <c r="J863" s="2">
        <f ca="1">IFERROR(__xludf.DUMMYFUNCTION("""COMPUTED_VALUE"""),44680)</f>
        <v>44680</v>
      </c>
    </row>
    <row r="864" spans="1:10" x14ac:dyDescent="0.25">
      <c r="A864" s="1" t="str">
        <f ca="1">IFERROR(__xludf.DUMMYFUNCTION("""COMPUTED_VALUE"""),"Keszthelyi TE")</f>
        <v>Keszthelyi TE</v>
      </c>
      <c r="B864" s="1" t="str">
        <f ca="1">IFERROR(__xludf.DUMMYFUNCTION("""COMPUTED_VALUE"""),"Fazekas Miklós")</f>
        <v>Fazekas Miklós</v>
      </c>
      <c r="C864" s="1"/>
      <c r="D864" s="1" t="str">
        <f ca="1">IFERROR(__xludf.DUMMYFUNCTION("""COMPUTED_VALUE"""),"Férfi")</f>
        <v>Férfi</v>
      </c>
      <c r="E864" s="1"/>
      <c r="F864" s="1">
        <f ca="1">IFERROR(__xludf.DUMMYFUNCTION("""COMPUTED_VALUE"""),1977)</f>
        <v>1977</v>
      </c>
      <c r="G864" s="1">
        <f ca="1">IFERROR(__xludf.DUMMYFUNCTION("""COMPUTED_VALUE"""),3506)</f>
        <v>3506</v>
      </c>
      <c r="H864" s="1" t="str">
        <f ca="1">IFERROR(__xludf.DUMMYFUNCTION("""COMPUTED_VALUE"""),"MTLSZ003506A21")</f>
        <v>MTLSZ003506A21</v>
      </c>
      <c r="I864" s="2">
        <f ca="1">IFERROR(__xludf.DUMMYFUNCTION("""COMPUTED_VALUE"""),44315)</f>
        <v>44315</v>
      </c>
      <c r="J864" s="2">
        <f ca="1">IFERROR(__xludf.DUMMYFUNCTION("""COMPUTED_VALUE"""),44679)</f>
        <v>44679</v>
      </c>
    </row>
    <row r="865" spans="1:10" x14ac:dyDescent="0.25">
      <c r="A865" s="1" t="str">
        <f ca="1">IFERROR(__xludf.DUMMYFUNCTION("""COMPUTED_VALUE"""),"Multi Alarm SE")</f>
        <v>Multi Alarm SE</v>
      </c>
      <c r="B865" s="1" t="str">
        <f ca="1">IFERROR(__xludf.DUMMYFUNCTION("""COMPUTED_VALUE"""),"Fülöp Csaba")</f>
        <v>Fülöp Csaba</v>
      </c>
      <c r="C865" s="1"/>
      <c r="D865" s="1" t="str">
        <f ca="1">IFERROR(__xludf.DUMMYFUNCTION("""COMPUTED_VALUE"""),"Férfi")</f>
        <v>Férfi</v>
      </c>
      <c r="E865" s="1"/>
      <c r="F865" s="1">
        <f ca="1">IFERROR(__xludf.DUMMYFUNCTION("""COMPUTED_VALUE"""),1970)</f>
        <v>1970</v>
      </c>
      <c r="G865" s="1">
        <f ca="1">IFERROR(__xludf.DUMMYFUNCTION("""COMPUTED_VALUE"""),265)</f>
        <v>265</v>
      </c>
      <c r="H865" s="1" t="str">
        <f ca="1">IFERROR(__xludf.DUMMYFUNCTION("""COMPUTED_VALUE"""),"MTLSZ000265A21")</f>
        <v>MTLSZ000265A21</v>
      </c>
      <c r="I865" s="2">
        <f ca="1">IFERROR(__xludf.DUMMYFUNCTION("""COMPUTED_VALUE"""),44314)</f>
        <v>44314</v>
      </c>
      <c r="J865" s="2">
        <f ca="1">IFERROR(__xludf.DUMMYFUNCTION("""COMPUTED_VALUE"""),44678)</f>
        <v>44678</v>
      </c>
    </row>
    <row r="866" spans="1:10" x14ac:dyDescent="0.25">
      <c r="A866" s="1" t="str">
        <f ca="1">IFERROR(__xludf.DUMMYFUNCTION("""COMPUTED_VALUE"""),"Multi Alarm SE")</f>
        <v>Multi Alarm SE</v>
      </c>
      <c r="B866" s="1" t="str">
        <f ca="1">IFERROR(__xludf.DUMMYFUNCTION("""COMPUTED_VALUE"""),"Kemény Zsolt")</f>
        <v>Kemény Zsolt</v>
      </c>
      <c r="C866" s="1"/>
      <c r="D866" s="1" t="str">
        <f ca="1">IFERROR(__xludf.DUMMYFUNCTION("""COMPUTED_VALUE"""),"Férfi")</f>
        <v>Férfi</v>
      </c>
      <c r="E866" s="1"/>
      <c r="F866" s="1">
        <f ca="1">IFERROR(__xludf.DUMMYFUNCTION("""COMPUTED_VALUE"""),1962)</f>
        <v>1962</v>
      </c>
      <c r="G866" s="1">
        <f ca="1">IFERROR(__xludf.DUMMYFUNCTION("""COMPUTED_VALUE"""),4538)</f>
        <v>4538</v>
      </c>
      <c r="H866" s="1" t="str">
        <f ca="1">IFERROR(__xludf.DUMMYFUNCTION("""COMPUTED_VALUE"""),"MTLSZ004538A21")</f>
        <v>MTLSZ004538A21</v>
      </c>
      <c r="I866" s="2">
        <f ca="1">IFERROR(__xludf.DUMMYFUNCTION("""COMPUTED_VALUE"""),44314)</f>
        <v>44314</v>
      </c>
      <c r="J866" s="2">
        <f ca="1">IFERROR(__xludf.DUMMYFUNCTION("""COMPUTED_VALUE"""),44678)</f>
        <v>44678</v>
      </c>
    </row>
    <row r="867" spans="1:10" x14ac:dyDescent="0.25">
      <c r="A867" s="1" t="str">
        <f ca="1">IFERROR(__xludf.DUMMYFUNCTION("""COMPUTED_VALUE"""),"Multi Alarm SE")</f>
        <v>Multi Alarm SE</v>
      </c>
      <c r="B867" s="1" t="str">
        <f ca="1">IFERROR(__xludf.DUMMYFUNCTION("""COMPUTED_VALUE"""),"Tomózer Anett")</f>
        <v>Tomózer Anett</v>
      </c>
      <c r="C867" s="1"/>
      <c r="D867" s="1" t="str">
        <f ca="1">IFERROR(__xludf.DUMMYFUNCTION("""COMPUTED_VALUE"""),"Nő")</f>
        <v>Nő</v>
      </c>
      <c r="E867" s="1"/>
      <c r="F867" s="1">
        <f ca="1">IFERROR(__xludf.DUMMYFUNCTION("""COMPUTED_VALUE"""),1972)</f>
        <v>1972</v>
      </c>
      <c r="G867" s="1">
        <f ca="1">IFERROR(__xludf.DUMMYFUNCTION("""COMPUTED_VALUE"""),4537)</f>
        <v>4537</v>
      </c>
      <c r="H867" s="1" t="str">
        <f ca="1">IFERROR(__xludf.DUMMYFUNCTION("""COMPUTED_VALUE"""),"MTLSZ004537A21")</f>
        <v>MTLSZ004537A21</v>
      </c>
      <c r="I867" s="2">
        <f ca="1">IFERROR(__xludf.DUMMYFUNCTION("""COMPUTED_VALUE"""),44314)</f>
        <v>44314</v>
      </c>
      <c r="J867" s="2">
        <f ca="1">IFERROR(__xludf.DUMMYFUNCTION("""COMPUTED_VALUE"""),44678)</f>
        <v>44678</v>
      </c>
    </row>
    <row r="868" spans="1:10" x14ac:dyDescent="0.25">
      <c r="A868" s="1" t="str">
        <f ca="1">IFERROR(__xludf.DUMMYFUNCTION("""COMPUTED_VALUE"""),"Multi Alarm SE")</f>
        <v>Multi Alarm SE</v>
      </c>
      <c r="B868" s="1"/>
      <c r="C868" s="1"/>
      <c r="D868" s="1"/>
      <c r="E868" s="1"/>
      <c r="F868" s="1">
        <f ca="1">IFERROR(__xludf.DUMMYFUNCTION("""COMPUTED_VALUE"""),1899)</f>
        <v>1899</v>
      </c>
      <c r="G868" s="1">
        <f ca="1">IFERROR(__xludf.DUMMYFUNCTION("""COMPUTED_VALUE"""),4536)</f>
        <v>4536</v>
      </c>
      <c r="H868" s="1"/>
      <c r="I868" s="2">
        <f ca="1">IFERROR(__xludf.DUMMYFUNCTION("""COMPUTED_VALUE"""),44314)</f>
        <v>44314</v>
      </c>
      <c r="J868" s="2">
        <f ca="1">IFERROR(__xludf.DUMMYFUNCTION("""COMPUTED_VALUE"""),44678)</f>
        <v>44678</v>
      </c>
    </row>
    <row r="869" spans="1:10" x14ac:dyDescent="0.25">
      <c r="A869" s="1" t="str">
        <f ca="1">IFERROR(__xludf.DUMMYFUNCTION("""COMPUTED_VALUE"""),"Tisza TSE")</f>
        <v>Tisza TSE</v>
      </c>
      <c r="B869" s="1" t="str">
        <f ca="1">IFERROR(__xludf.DUMMYFUNCTION("""COMPUTED_VALUE"""),"Bodó-Nagy Vivien")</f>
        <v>Bodó-Nagy Vivien</v>
      </c>
      <c r="C869" s="1"/>
      <c r="D869" s="1" t="str">
        <f ca="1">IFERROR(__xludf.DUMMYFUNCTION("""COMPUTED_VALUE"""),"Nő")</f>
        <v>Nő</v>
      </c>
      <c r="E869" s="1"/>
      <c r="F869" s="1">
        <f ca="1">IFERROR(__xludf.DUMMYFUNCTION("""COMPUTED_VALUE"""),1992)</f>
        <v>1992</v>
      </c>
      <c r="G869" s="1">
        <f ca="1">IFERROR(__xludf.DUMMYFUNCTION("""COMPUTED_VALUE"""),4534)</f>
        <v>4534</v>
      </c>
      <c r="H869" s="1" t="str">
        <f ca="1">IFERROR(__xludf.DUMMYFUNCTION("""COMPUTED_VALUE"""),"MTLSZ004534A21")</f>
        <v>MTLSZ004534A21</v>
      </c>
      <c r="I869" s="2">
        <f ca="1">IFERROR(__xludf.DUMMYFUNCTION("""COMPUTED_VALUE"""),44314)</f>
        <v>44314</v>
      </c>
      <c r="J869" s="2">
        <f ca="1">IFERROR(__xludf.DUMMYFUNCTION("""COMPUTED_VALUE"""),44678)</f>
        <v>44678</v>
      </c>
    </row>
    <row r="870" spans="1:10" x14ac:dyDescent="0.25">
      <c r="A870" s="1" t="str">
        <f ca="1">IFERROR(__xludf.DUMMYFUNCTION("""COMPUTED_VALUE"""),"Tisza TSE")</f>
        <v>Tisza TSE</v>
      </c>
      <c r="B870" s="1" t="str">
        <f ca="1">IFERROR(__xludf.DUMMYFUNCTION("""COMPUTED_VALUE"""),"Radoczki Dániel")</f>
        <v>Radoczki Dániel</v>
      </c>
      <c r="C870" s="1"/>
      <c r="D870" s="1" t="str">
        <f ca="1">IFERROR(__xludf.DUMMYFUNCTION("""COMPUTED_VALUE"""),"Férfi")</f>
        <v>Férfi</v>
      </c>
      <c r="E870" s="1"/>
      <c r="F870" s="1">
        <f ca="1">IFERROR(__xludf.DUMMYFUNCTION("""COMPUTED_VALUE"""),2004)</f>
        <v>2004</v>
      </c>
      <c r="G870" s="1">
        <f ca="1">IFERROR(__xludf.DUMMYFUNCTION("""COMPUTED_VALUE"""),4535)</f>
        <v>4535</v>
      </c>
      <c r="H870" s="1" t="str">
        <f ca="1">IFERROR(__xludf.DUMMYFUNCTION("""COMPUTED_VALUE"""),"MTLSZ004535A21")</f>
        <v>MTLSZ004535A21</v>
      </c>
      <c r="I870" s="2">
        <f ca="1">IFERROR(__xludf.DUMMYFUNCTION("""COMPUTED_VALUE"""),44314)</f>
        <v>44314</v>
      </c>
      <c r="J870" s="2">
        <f ca="1">IFERROR(__xludf.DUMMYFUNCTION("""COMPUTED_VALUE"""),44678)</f>
        <v>44678</v>
      </c>
    </row>
    <row r="871" spans="1:10" x14ac:dyDescent="0.25">
      <c r="A871" s="1" t="str">
        <f ca="1">IFERROR(__xludf.DUMMYFUNCTION("""COMPUTED_VALUE"""),"Újpest TSE")</f>
        <v>Újpest TSE</v>
      </c>
      <c r="B871" s="1" t="str">
        <f ca="1">IFERROR(__xludf.DUMMYFUNCTION("""COMPUTED_VALUE"""),"Horváth Andrea")</f>
        <v>Horváth Andrea</v>
      </c>
      <c r="C871" s="1"/>
      <c r="D871" s="1" t="str">
        <f ca="1">IFERROR(__xludf.DUMMYFUNCTION("""COMPUTED_VALUE"""),"Nő")</f>
        <v>Nő</v>
      </c>
      <c r="E871" s="1"/>
      <c r="F871" s="1">
        <f ca="1">IFERROR(__xludf.DUMMYFUNCTION("""COMPUTED_VALUE"""),1997)</f>
        <v>1997</v>
      </c>
      <c r="G871" s="1">
        <f ca="1">IFERROR(__xludf.DUMMYFUNCTION("""COMPUTED_VALUE"""),4533)</f>
        <v>4533</v>
      </c>
      <c r="H871" s="1" t="str">
        <f ca="1">IFERROR(__xludf.DUMMYFUNCTION("""COMPUTED_VALUE"""),"MTLSZ004533A21")</f>
        <v>MTLSZ004533A21</v>
      </c>
      <c r="I871" s="2">
        <f ca="1">IFERROR(__xludf.DUMMYFUNCTION("""COMPUTED_VALUE"""),44304)</f>
        <v>44304</v>
      </c>
      <c r="J871" s="2">
        <f ca="1">IFERROR(__xludf.DUMMYFUNCTION("""COMPUTED_VALUE"""),44668)</f>
        <v>44668</v>
      </c>
    </row>
    <row r="872" spans="1:10" x14ac:dyDescent="0.25">
      <c r="A872" s="1" t="str">
        <f ca="1">IFERROR(__xludf.DUMMYFUNCTION("""COMPUTED_VALUE"""),"Multi Alarm SE")</f>
        <v>Multi Alarm SE</v>
      </c>
      <c r="B872" s="1" t="str">
        <f ca="1">IFERROR(__xludf.DUMMYFUNCTION("""COMPUTED_VALUE"""),"Vásárhelyi Balázs")</f>
        <v>Vásárhelyi Balázs</v>
      </c>
      <c r="C872" s="1"/>
      <c r="D872" s="1" t="str">
        <f ca="1">IFERROR(__xludf.DUMMYFUNCTION("""COMPUTED_VALUE"""),"Férfi")</f>
        <v>Férfi</v>
      </c>
      <c r="E872" s="1"/>
      <c r="F872" s="1">
        <f ca="1">IFERROR(__xludf.DUMMYFUNCTION("""COMPUTED_VALUE"""),1973)</f>
        <v>1973</v>
      </c>
      <c r="G872" s="1">
        <f ca="1">IFERROR(__xludf.DUMMYFUNCTION("""COMPUTED_VALUE"""),4530)</f>
        <v>4530</v>
      </c>
      <c r="H872" s="1" t="str">
        <f ca="1">IFERROR(__xludf.DUMMYFUNCTION("""COMPUTED_VALUE"""),"MTLSZ004530A21")</f>
        <v>MTLSZ004530A21</v>
      </c>
      <c r="I872" s="2">
        <f ca="1">IFERROR(__xludf.DUMMYFUNCTION("""COMPUTED_VALUE"""),44299)</f>
        <v>44299</v>
      </c>
      <c r="J872" s="2">
        <f ca="1">IFERROR(__xludf.DUMMYFUNCTION("""COMPUTED_VALUE"""),44663)</f>
        <v>44663</v>
      </c>
    </row>
    <row r="873" spans="1:10" x14ac:dyDescent="0.25">
      <c r="A873" s="1" t="str">
        <f ca="1">IFERROR(__xludf.DUMMYFUNCTION("""COMPUTED_VALUE"""),"Multi Alarm SE")</f>
        <v>Multi Alarm SE</v>
      </c>
      <c r="B873" s="1" t="str">
        <f ca="1">IFERROR(__xludf.DUMMYFUNCTION("""COMPUTED_VALUE"""),"Balogh Zsolt")</f>
        <v>Balogh Zsolt</v>
      </c>
      <c r="C873" s="1"/>
      <c r="D873" s="1" t="str">
        <f ca="1">IFERROR(__xludf.DUMMYFUNCTION("""COMPUTED_VALUE"""),"Férfi")</f>
        <v>Férfi</v>
      </c>
      <c r="E873" s="1"/>
      <c r="F873" s="1">
        <f ca="1">IFERROR(__xludf.DUMMYFUNCTION("""COMPUTED_VALUE"""),1975)</f>
        <v>1975</v>
      </c>
      <c r="G873" s="1">
        <f ca="1">IFERROR(__xludf.DUMMYFUNCTION("""COMPUTED_VALUE"""),4528)</f>
        <v>4528</v>
      </c>
      <c r="H873" s="1" t="str">
        <f ca="1">IFERROR(__xludf.DUMMYFUNCTION("""COMPUTED_VALUE"""),"MTLSZ004528A21")</f>
        <v>MTLSZ004528A21</v>
      </c>
      <c r="I873" s="2">
        <f ca="1">IFERROR(__xludf.DUMMYFUNCTION("""COMPUTED_VALUE"""),44293)</f>
        <v>44293</v>
      </c>
      <c r="J873" s="2">
        <f ca="1">IFERROR(__xludf.DUMMYFUNCTION("""COMPUTED_VALUE"""),44657)</f>
        <v>44657</v>
      </c>
    </row>
    <row r="874" spans="1:10" x14ac:dyDescent="0.25">
      <c r="A874" s="1" t="str">
        <f ca="1">IFERROR(__xludf.DUMMYFUNCTION("""COMPUTED_VALUE"""),"Multi Alarm SE")</f>
        <v>Multi Alarm SE</v>
      </c>
      <c r="B874" s="1" t="str">
        <f ca="1">IFERROR(__xludf.DUMMYFUNCTION("""COMPUTED_VALUE"""),"Száraz Tamás")</f>
        <v>Száraz Tamás</v>
      </c>
      <c r="C874" s="1"/>
      <c r="D874" s="1" t="str">
        <f ca="1">IFERROR(__xludf.DUMMYFUNCTION("""COMPUTED_VALUE"""),"Férfi")</f>
        <v>Férfi</v>
      </c>
      <c r="E874" s="1"/>
      <c r="F874" s="1">
        <f ca="1">IFERROR(__xludf.DUMMYFUNCTION("""COMPUTED_VALUE"""),1972)</f>
        <v>1972</v>
      </c>
      <c r="G874" s="1">
        <f ca="1">IFERROR(__xludf.DUMMYFUNCTION("""COMPUTED_VALUE"""),1280)</f>
        <v>1280</v>
      </c>
      <c r="H874" s="1" t="str">
        <f ca="1">IFERROR(__xludf.DUMMYFUNCTION("""COMPUTED_VALUE"""),"MTLSZ001280A21")</f>
        <v>MTLSZ001280A21</v>
      </c>
      <c r="I874" s="2">
        <f ca="1">IFERROR(__xludf.DUMMYFUNCTION("""COMPUTED_VALUE"""),44293)</f>
        <v>44293</v>
      </c>
      <c r="J874" s="2">
        <f ca="1">IFERROR(__xludf.DUMMYFUNCTION("""COMPUTED_VALUE"""),44657)</f>
        <v>44657</v>
      </c>
    </row>
    <row r="875" spans="1:10" x14ac:dyDescent="0.25">
      <c r="A875" s="1" t="str">
        <f ca="1">IFERROR(__xludf.DUMMYFUNCTION("""COMPUTED_VALUE"""),"Érdi VSE")</f>
        <v>Érdi VSE</v>
      </c>
      <c r="B875" s="1"/>
      <c r="C875" s="1"/>
      <c r="D875" s="1"/>
      <c r="E875" s="1"/>
      <c r="F875" s="1">
        <f ca="1">IFERROR(__xludf.DUMMYFUNCTION("""COMPUTED_VALUE"""),1899)</f>
        <v>1899</v>
      </c>
      <c r="G875" s="1">
        <f ca="1">IFERROR(__xludf.DUMMYFUNCTION("""COMPUTED_VALUE"""),4523)</f>
        <v>4523</v>
      </c>
      <c r="H875" s="1"/>
      <c r="I875" s="2">
        <f ca="1">IFERROR(__xludf.DUMMYFUNCTION("""COMPUTED_VALUE"""),44289)</f>
        <v>44289</v>
      </c>
      <c r="J875" s="2">
        <f ca="1">IFERROR(__xludf.DUMMYFUNCTION("""COMPUTED_VALUE"""),44653)</f>
        <v>44653</v>
      </c>
    </row>
    <row r="876" spans="1:10" x14ac:dyDescent="0.25">
      <c r="A876" s="1" t="str">
        <f ca="1">IFERROR(__xludf.DUMMYFUNCTION("""COMPUTED_VALUE"""),"FBSE")</f>
        <v>FBSE</v>
      </c>
      <c r="B876" s="1" t="str">
        <f ca="1">IFERROR(__xludf.DUMMYFUNCTION("""COMPUTED_VALUE"""),"Hegyiné Szalay Edit")</f>
        <v>Hegyiné Szalay Edit</v>
      </c>
      <c r="C876" s="1"/>
      <c r="D876" s="1" t="str">
        <f ca="1">IFERROR(__xludf.DUMMYFUNCTION("""COMPUTED_VALUE"""),"Nő")</f>
        <v>Nő</v>
      </c>
      <c r="E876" s="1"/>
      <c r="F876" s="1">
        <f ca="1">IFERROR(__xludf.DUMMYFUNCTION("""COMPUTED_VALUE"""),1967)</f>
        <v>1967</v>
      </c>
      <c r="G876" s="1">
        <f ca="1">IFERROR(__xludf.DUMMYFUNCTION("""COMPUTED_VALUE"""),4526)</f>
        <v>4526</v>
      </c>
      <c r="H876" s="1" t="str">
        <f ca="1">IFERROR(__xludf.DUMMYFUNCTION("""COMPUTED_VALUE"""),"MTLSZ004526A21")</f>
        <v>MTLSZ004526A21</v>
      </c>
      <c r="I876" s="2">
        <f ca="1">IFERROR(__xludf.DUMMYFUNCTION("""COMPUTED_VALUE"""),44289)</f>
        <v>44289</v>
      </c>
      <c r="J876" s="2">
        <f ca="1">IFERROR(__xludf.DUMMYFUNCTION("""COMPUTED_VALUE"""),44653)</f>
        <v>44653</v>
      </c>
    </row>
    <row r="877" spans="1:10" x14ac:dyDescent="0.25">
      <c r="A877" s="1" t="str">
        <f ca="1">IFERROR(__xludf.DUMMYFUNCTION("""COMPUTED_VALUE"""),"Győri TSE")</f>
        <v>Győri TSE</v>
      </c>
      <c r="B877" s="1" t="str">
        <f ca="1">IFERROR(__xludf.DUMMYFUNCTION("""COMPUTED_VALUE"""),"Gottwald Péter Dr.")</f>
        <v>Gottwald Péter Dr.</v>
      </c>
      <c r="C877" s="1"/>
      <c r="D877" s="1" t="str">
        <f ca="1">IFERROR(__xludf.DUMMYFUNCTION("""COMPUTED_VALUE"""),"Férfi")</f>
        <v>Férfi</v>
      </c>
      <c r="E877" s="1"/>
      <c r="F877" s="1">
        <f ca="1">IFERROR(__xludf.DUMMYFUNCTION("""COMPUTED_VALUE"""),1976)</f>
        <v>1976</v>
      </c>
      <c r="G877" s="1">
        <f ca="1">IFERROR(__xludf.DUMMYFUNCTION("""COMPUTED_VALUE"""),2544)</f>
        <v>2544</v>
      </c>
      <c r="H877" s="1" t="str">
        <f ca="1">IFERROR(__xludf.DUMMYFUNCTION("""COMPUTED_VALUE"""),"MTLSZ002544A21")</f>
        <v>MTLSZ002544A21</v>
      </c>
      <c r="I877" s="2">
        <f ca="1">IFERROR(__xludf.DUMMYFUNCTION("""COMPUTED_VALUE"""),44280)</f>
        <v>44280</v>
      </c>
      <c r="J877" s="2">
        <f ca="1">IFERROR(__xludf.DUMMYFUNCTION("""COMPUTED_VALUE"""),44644)</f>
        <v>44644</v>
      </c>
    </row>
    <row r="878" spans="1:10" x14ac:dyDescent="0.25">
      <c r="A878" s="1" t="str">
        <f ca="1">IFERROR(__xludf.DUMMYFUNCTION("""COMPUTED_VALUE"""),"Győri TSE")</f>
        <v>Győri TSE</v>
      </c>
      <c r="B878" s="1" t="str">
        <f ca="1">IFERROR(__xludf.DUMMYFUNCTION("""COMPUTED_VALUE"""),"Gottwald Zalán")</f>
        <v>Gottwald Zalán</v>
      </c>
      <c r="C878" s="1"/>
      <c r="D878" s="1" t="str">
        <f ca="1">IFERROR(__xludf.DUMMYFUNCTION("""COMPUTED_VALUE"""),"Férfi")</f>
        <v>Férfi</v>
      </c>
      <c r="E878" s="1"/>
      <c r="F878" s="1">
        <f ca="1">IFERROR(__xludf.DUMMYFUNCTION("""COMPUTED_VALUE"""),2005)</f>
        <v>2005</v>
      </c>
      <c r="G878" s="1">
        <f ca="1">IFERROR(__xludf.DUMMYFUNCTION("""COMPUTED_VALUE"""),4517)</f>
        <v>4517</v>
      </c>
      <c r="H878" s="1" t="str">
        <f ca="1">IFERROR(__xludf.DUMMYFUNCTION("""COMPUTED_VALUE"""),"MTLSZ004517A21")</f>
        <v>MTLSZ004517A21</v>
      </c>
      <c r="I878" s="2">
        <f ca="1">IFERROR(__xludf.DUMMYFUNCTION("""COMPUTED_VALUE"""),44280)</f>
        <v>44280</v>
      </c>
      <c r="J878" s="2">
        <f ca="1">IFERROR(__xludf.DUMMYFUNCTION("""COMPUTED_VALUE"""),44644)</f>
        <v>44644</v>
      </c>
    </row>
    <row r="879" spans="1:10" x14ac:dyDescent="0.25">
      <c r="A879" s="1" t="str">
        <f ca="1">IFERROR(__xludf.DUMMYFUNCTION("""COMPUTED_VALUE"""),"BEAC")</f>
        <v>BEAC</v>
      </c>
      <c r="B879" s="1" t="str">
        <f ca="1">IFERROR(__xludf.DUMMYFUNCTION("""COMPUTED_VALUE"""),"Pécsi László")</f>
        <v>Pécsi László</v>
      </c>
      <c r="C879" s="1"/>
      <c r="D879" s="1" t="str">
        <f ca="1">IFERROR(__xludf.DUMMYFUNCTION("""COMPUTED_VALUE"""),"Férfi")</f>
        <v>Férfi</v>
      </c>
      <c r="E879" s="1"/>
      <c r="F879" s="1">
        <f ca="1">IFERROR(__xludf.DUMMYFUNCTION("""COMPUTED_VALUE"""),1967)</f>
        <v>1967</v>
      </c>
      <c r="G879" s="1">
        <f ca="1">IFERROR(__xludf.DUMMYFUNCTION("""COMPUTED_VALUE"""),765)</f>
        <v>765</v>
      </c>
      <c r="H879" s="1" t="str">
        <f ca="1">IFERROR(__xludf.DUMMYFUNCTION("""COMPUTED_VALUE"""),"MTLSZ000765A21")</f>
        <v>MTLSZ000765A21</v>
      </c>
      <c r="I879" s="2">
        <f ca="1">IFERROR(__xludf.DUMMYFUNCTION("""COMPUTED_VALUE"""),44279)</f>
        <v>44279</v>
      </c>
      <c r="J879" s="2">
        <f ca="1">IFERROR(__xludf.DUMMYFUNCTION("""COMPUTED_VALUE"""),44643)</f>
        <v>44643</v>
      </c>
    </row>
    <row r="880" spans="1:10" x14ac:dyDescent="0.25">
      <c r="A880" s="1" t="str">
        <f ca="1">IFERROR(__xludf.DUMMYFUNCTION("""COMPUTED_VALUE"""),"Dunakanyar TSE")</f>
        <v>Dunakanyar TSE</v>
      </c>
      <c r="B880" s="1" t="str">
        <f ca="1">IFERROR(__xludf.DUMMYFUNCTION("""COMPUTED_VALUE"""),"Vincze Tibor")</f>
        <v>Vincze Tibor</v>
      </c>
      <c r="C880" s="1"/>
      <c r="D880" s="1" t="str">
        <f ca="1">IFERROR(__xludf.DUMMYFUNCTION("""COMPUTED_VALUE"""),"Férfi")</f>
        <v>Férfi</v>
      </c>
      <c r="E880" s="1"/>
      <c r="F880" s="1">
        <f ca="1">IFERROR(__xludf.DUMMYFUNCTION("""COMPUTED_VALUE"""),1969)</f>
        <v>1969</v>
      </c>
      <c r="G880" s="1">
        <f ca="1">IFERROR(__xludf.DUMMYFUNCTION("""COMPUTED_VALUE"""),4516)</f>
        <v>4516</v>
      </c>
      <c r="H880" s="1" t="str">
        <f ca="1">IFERROR(__xludf.DUMMYFUNCTION("""COMPUTED_VALUE"""),"MTLSZ004516A21")</f>
        <v>MTLSZ004516A21</v>
      </c>
      <c r="I880" s="2">
        <f ca="1">IFERROR(__xludf.DUMMYFUNCTION("""COMPUTED_VALUE"""),44276)</f>
        <v>44276</v>
      </c>
      <c r="J880" s="2">
        <f ca="1">IFERROR(__xludf.DUMMYFUNCTION("""COMPUTED_VALUE"""),44640)</f>
        <v>44640</v>
      </c>
    </row>
    <row r="881" spans="1:10" x14ac:dyDescent="0.25">
      <c r="A881" s="1" t="str">
        <f ca="1">IFERROR(__xludf.DUMMYFUNCTION("""COMPUTED_VALUE"""),"Életmód SE")</f>
        <v>Életmód SE</v>
      </c>
      <c r="B881" s="1" t="str">
        <f ca="1">IFERROR(__xludf.DUMMYFUNCTION("""COMPUTED_VALUE"""),"Fekete Krisztián")</f>
        <v>Fekete Krisztián</v>
      </c>
      <c r="C881" s="1"/>
      <c r="D881" s="1" t="str">
        <f ca="1">IFERROR(__xludf.DUMMYFUNCTION("""COMPUTED_VALUE"""),"Férfi")</f>
        <v>Férfi</v>
      </c>
      <c r="E881" s="1"/>
      <c r="F881" s="1">
        <f ca="1">IFERROR(__xludf.DUMMYFUNCTION("""COMPUTED_VALUE"""),1981)</f>
        <v>1981</v>
      </c>
      <c r="G881" s="1">
        <f ca="1">IFERROR(__xludf.DUMMYFUNCTION("""COMPUTED_VALUE"""),4515)</f>
        <v>4515</v>
      </c>
      <c r="H881" s="1" t="str">
        <f ca="1">IFERROR(__xludf.DUMMYFUNCTION("""COMPUTED_VALUE"""),"MTLSZ004515A21")</f>
        <v>MTLSZ004515A21</v>
      </c>
      <c r="I881" s="2">
        <f ca="1">IFERROR(__xludf.DUMMYFUNCTION("""COMPUTED_VALUE"""),44275)</f>
        <v>44275</v>
      </c>
      <c r="J881" s="2">
        <f ca="1">IFERROR(__xludf.DUMMYFUNCTION("""COMPUTED_VALUE"""),44639)</f>
        <v>44639</v>
      </c>
    </row>
    <row r="882" spans="1:10" x14ac:dyDescent="0.25">
      <c r="A882" s="1" t="str">
        <f ca="1">IFERROR(__xludf.DUMMYFUNCTION("""COMPUTED_VALUE"""),"Multi Alarm SE")</f>
        <v>Multi Alarm SE</v>
      </c>
      <c r="B882" s="1" t="str">
        <f ca="1">IFERROR(__xludf.DUMMYFUNCTION("""COMPUTED_VALUE"""),"Boda Róbert Ruben")</f>
        <v>Boda Róbert Ruben</v>
      </c>
      <c r="C882" s="1"/>
      <c r="D882" s="1" t="str">
        <f ca="1">IFERROR(__xludf.DUMMYFUNCTION("""COMPUTED_VALUE"""),"Férfi")</f>
        <v>Férfi</v>
      </c>
      <c r="E882" s="1"/>
      <c r="F882" s="1">
        <f ca="1">IFERROR(__xludf.DUMMYFUNCTION("""COMPUTED_VALUE"""),2004)</f>
        <v>2004</v>
      </c>
      <c r="G882" s="1">
        <f ca="1">IFERROR(__xludf.DUMMYFUNCTION("""COMPUTED_VALUE"""),2862)</f>
        <v>2862</v>
      </c>
      <c r="H882" s="1" t="str">
        <f ca="1">IFERROR(__xludf.DUMMYFUNCTION("""COMPUTED_VALUE"""),"MTLSZ002862A21")</f>
        <v>MTLSZ002862A21</v>
      </c>
      <c r="I882" s="2">
        <f ca="1">IFERROR(__xludf.DUMMYFUNCTION("""COMPUTED_VALUE"""),44275)</f>
        <v>44275</v>
      </c>
      <c r="J882" s="2">
        <f ca="1">IFERROR(__xludf.DUMMYFUNCTION("""COMPUTED_VALUE"""),44639)</f>
        <v>44639</v>
      </c>
    </row>
    <row r="883" spans="1:10" x14ac:dyDescent="0.25">
      <c r="A883" s="1" t="str">
        <f ca="1">IFERROR(__xludf.DUMMYFUNCTION("""COMPUTED_VALUE"""),"Életmód SE")</f>
        <v>Életmód SE</v>
      </c>
      <c r="B883" s="1" t="str">
        <f ca="1">IFERROR(__xludf.DUMMYFUNCTION("""COMPUTED_VALUE"""),"Vígh Zoltán")</f>
        <v>Vígh Zoltán</v>
      </c>
      <c r="C883" s="1"/>
      <c r="D883" s="1" t="str">
        <f ca="1">IFERROR(__xludf.DUMMYFUNCTION("""COMPUTED_VALUE"""),"Férfi")</f>
        <v>Férfi</v>
      </c>
      <c r="E883" s="1"/>
      <c r="F883" s="1">
        <f ca="1">IFERROR(__xludf.DUMMYFUNCTION("""COMPUTED_VALUE"""),1979)</f>
        <v>1979</v>
      </c>
      <c r="G883" s="1">
        <f ca="1">IFERROR(__xludf.DUMMYFUNCTION("""COMPUTED_VALUE"""),4514)</f>
        <v>4514</v>
      </c>
      <c r="H883" s="1" t="str">
        <f ca="1">IFERROR(__xludf.DUMMYFUNCTION("""COMPUTED_VALUE"""),"MTLSZ004514A21")</f>
        <v>MTLSZ004514A21</v>
      </c>
      <c r="I883" s="2">
        <f ca="1">IFERROR(__xludf.DUMMYFUNCTION("""COMPUTED_VALUE"""),44274)</f>
        <v>44274</v>
      </c>
      <c r="J883" s="2">
        <f ca="1">IFERROR(__xludf.DUMMYFUNCTION("""COMPUTED_VALUE"""),44638)</f>
        <v>44638</v>
      </c>
    </row>
    <row r="884" spans="1:10" x14ac:dyDescent="0.25">
      <c r="A884" s="1" t="str">
        <f ca="1">IFERROR(__xludf.DUMMYFUNCTION("""COMPUTED_VALUE"""),"Érdi VSE")</f>
        <v>Érdi VSE</v>
      </c>
      <c r="B884" s="1" t="str">
        <f ca="1">IFERROR(__xludf.DUMMYFUNCTION("""COMPUTED_VALUE"""),"Körmendi Gergely")</f>
        <v>Körmendi Gergely</v>
      </c>
      <c r="C884" s="1"/>
      <c r="D884" s="1" t="str">
        <f ca="1">IFERROR(__xludf.DUMMYFUNCTION("""COMPUTED_VALUE"""),"Férfi")</f>
        <v>Férfi</v>
      </c>
      <c r="E884" s="1"/>
      <c r="F884" s="1">
        <f ca="1">IFERROR(__xludf.DUMMYFUNCTION("""COMPUTED_VALUE"""),2008)</f>
        <v>2008</v>
      </c>
      <c r="G884" s="1">
        <f ca="1">IFERROR(__xludf.DUMMYFUNCTION("""COMPUTED_VALUE"""),3015)</f>
        <v>3015</v>
      </c>
      <c r="H884" s="1" t="str">
        <f ca="1">IFERROR(__xludf.DUMMYFUNCTION("""COMPUTED_VALUE"""),"MTLSZ003015A21")</f>
        <v>MTLSZ003015A21</v>
      </c>
      <c r="I884" s="2">
        <f ca="1">IFERROR(__xludf.DUMMYFUNCTION("""COMPUTED_VALUE"""),44274)</f>
        <v>44274</v>
      </c>
      <c r="J884" s="2">
        <f ca="1">IFERROR(__xludf.DUMMYFUNCTION("""COMPUTED_VALUE"""),44638)</f>
        <v>44638</v>
      </c>
    </row>
    <row r="885" spans="1:10" x14ac:dyDescent="0.25">
      <c r="A885" s="1" t="str">
        <f ca="1">IFERROR(__xludf.DUMMYFUNCTION("""COMPUTED_VALUE"""),"Érdi VSE")</f>
        <v>Érdi VSE</v>
      </c>
      <c r="B885" s="1" t="str">
        <f ca="1">IFERROR(__xludf.DUMMYFUNCTION("""COMPUTED_VALUE"""),"Tóth Milán")</f>
        <v>Tóth Milán</v>
      </c>
      <c r="C885" s="1"/>
      <c r="D885" s="1" t="str">
        <f ca="1">IFERROR(__xludf.DUMMYFUNCTION("""COMPUTED_VALUE"""),"Férfi")</f>
        <v>Férfi</v>
      </c>
      <c r="E885" s="1"/>
      <c r="F885" s="1">
        <f ca="1">IFERROR(__xludf.DUMMYFUNCTION("""COMPUTED_VALUE"""),2008)</f>
        <v>2008</v>
      </c>
      <c r="G885" s="1">
        <f ca="1">IFERROR(__xludf.DUMMYFUNCTION("""COMPUTED_VALUE"""),3272)</f>
        <v>3272</v>
      </c>
      <c r="H885" s="1" t="str">
        <f ca="1">IFERROR(__xludf.DUMMYFUNCTION("""COMPUTED_VALUE"""),"MTLSZ003272A21")</f>
        <v>MTLSZ003272A21</v>
      </c>
      <c r="I885" s="2">
        <f ca="1">IFERROR(__xludf.DUMMYFUNCTION("""COMPUTED_VALUE"""),44274)</f>
        <v>44274</v>
      </c>
      <c r="J885" s="2">
        <f ca="1">IFERROR(__xludf.DUMMYFUNCTION("""COMPUTED_VALUE"""),44638)</f>
        <v>44638</v>
      </c>
    </row>
    <row r="886" spans="1:10" x14ac:dyDescent="0.25">
      <c r="A886" s="1" t="str">
        <f ca="1">IFERROR(__xludf.DUMMYFUNCTION("""COMPUTED_VALUE"""),"Érdi VSE")</f>
        <v>Érdi VSE</v>
      </c>
      <c r="B886" s="1" t="str">
        <f ca="1">IFERROR(__xludf.DUMMYFUNCTION("""COMPUTED_VALUE"""),"Tóth Róbert")</f>
        <v>Tóth Róbert</v>
      </c>
      <c r="C886" s="1"/>
      <c r="D886" s="1" t="str">
        <f ca="1">IFERROR(__xludf.DUMMYFUNCTION("""COMPUTED_VALUE"""),"Férfi")</f>
        <v>Férfi</v>
      </c>
      <c r="E886" s="1"/>
      <c r="F886" s="1">
        <f ca="1">IFERROR(__xludf.DUMMYFUNCTION("""COMPUTED_VALUE"""),2002)</f>
        <v>2002</v>
      </c>
      <c r="G886" s="1">
        <f ca="1">IFERROR(__xludf.DUMMYFUNCTION("""COMPUTED_VALUE"""),2324)</f>
        <v>2324</v>
      </c>
      <c r="H886" s="1" t="str">
        <f ca="1">IFERROR(__xludf.DUMMYFUNCTION("""COMPUTED_VALUE"""),"MTLSZ002324A21")</f>
        <v>MTLSZ002324A21</v>
      </c>
      <c r="I886" s="2">
        <f ca="1">IFERROR(__xludf.DUMMYFUNCTION("""COMPUTED_VALUE"""),44274)</f>
        <v>44274</v>
      </c>
      <c r="J886" s="2">
        <f ca="1">IFERROR(__xludf.DUMMYFUNCTION("""COMPUTED_VALUE"""),44638)</f>
        <v>44638</v>
      </c>
    </row>
    <row r="887" spans="1:10" x14ac:dyDescent="0.25">
      <c r="A887" s="1" t="str">
        <f ca="1">IFERROR(__xludf.DUMMYFUNCTION("""COMPUTED_VALUE"""),"Soproni TSE")</f>
        <v>Soproni TSE</v>
      </c>
      <c r="B887" s="1" t="str">
        <f ca="1">IFERROR(__xludf.DUMMYFUNCTION("""COMPUTED_VALUE"""),"Karvalics Béla")</f>
        <v>Karvalics Béla</v>
      </c>
      <c r="C887" s="1"/>
      <c r="D887" s="1" t="str">
        <f ca="1">IFERROR(__xludf.DUMMYFUNCTION("""COMPUTED_VALUE"""),"Férfi")</f>
        <v>Férfi</v>
      </c>
      <c r="E887" s="1"/>
      <c r="F887" s="1">
        <f ca="1">IFERROR(__xludf.DUMMYFUNCTION("""COMPUTED_VALUE"""),1966)</f>
        <v>1966</v>
      </c>
      <c r="G887" s="1">
        <f ca="1">IFERROR(__xludf.DUMMYFUNCTION("""COMPUTED_VALUE"""),4506)</f>
        <v>4506</v>
      </c>
      <c r="H887" s="1" t="str">
        <f ca="1">IFERROR(__xludf.DUMMYFUNCTION("""COMPUTED_VALUE"""),"MTLSZ004506A21")</f>
        <v>MTLSZ004506A21</v>
      </c>
      <c r="I887" s="2">
        <f ca="1">IFERROR(__xludf.DUMMYFUNCTION("""COMPUTED_VALUE"""),44274)</f>
        <v>44274</v>
      </c>
      <c r="J887" s="2">
        <f ca="1">IFERROR(__xludf.DUMMYFUNCTION("""COMPUTED_VALUE"""),44638)</f>
        <v>44638</v>
      </c>
    </row>
    <row r="888" spans="1:10" x14ac:dyDescent="0.25">
      <c r="A888" s="1" t="str">
        <f ca="1">IFERROR(__xludf.DUMMYFUNCTION("""COMPUTED_VALUE"""),"Soproni TSE")</f>
        <v>Soproni TSE</v>
      </c>
      <c r="B888" s="1" t="str">
        <f ca="1">IFERROR(__xludf.DUMMYFUNCTION("""COMPUTED_VALUE"""),"Márkusné Molnár Beatrix")</f>
        <v>Márkusné Molnár Beatrix</v>
      </c>
      <c r="C888" s="1"/>
      <c r="D888" s="1" t="str">
        <f ca="1">IFERROR(__xludf.DUMMYFUNCTION("""COMPUTED_VALUE"""),"Nő")</f>
        <v>Nő</v>
      </c>
      <c r="E888" s="1"/>
      <c r="F888" s="1">
        <f ca="1">IFERROR(__xludf.DUMMYFUNCTION("""COMPUTED_VALUE"""),1974)</f>
        <v>1974</v>
      </c>
      <c r="G888" s="1">
        <f ca="1">IFERROR(__xludf.DUMMYFUNCTION("""COMPUTED_VALUE"""),4511)</f>
        <v>4511</v>
      </c>
      <c r="H888" s="1" t="str">
        <f ca="1">IFERROR(__xludf.DUMMYFUNCTION("""COMPUTED_VALUE"""),"MTLSZ004511A21")</f>
        <v>MTLSZ004511A21</v>
      </c>
      <c r="I888" s="2">
        <f ca="1">IFERROR(__xludf.DUMMYFUNCTION("""COMPUTED_VALUE"""),44274)</f>
        <v>44274</v>
      </c>
      <c r="J888" s="2">
        <f ca="1">IFERROR(__xludf.DUMMYFUNCTION("""COMPUTED_VALUE"""),44638)</f>
        <v>44638</v>
      </c>
    </row>
    <row r="889" spans="1:10" x14ac:dyDescent="0.25">
      <c r="A889" s="1" t="str">
        <f ca="1">IFERROR(__xludf.DUMMYFUNCTION("""COMPUTED_VALUE"""),"Soproni TSE")</f>
        <v>Soproni TSE</v>
      </c>
      <c r="B889" s="1" t="str">
        <f ca="1">IFERROR(__xludf.DUMMYFUNCTION("""COMPUTED_VALUE"""),"Németh István Armand")</f>
        <v>Németh István Armand</v>
      </c>
      <c r="C889" s="1"/>
      <c r="D889" s="1" t="str">
        <f ca="1">IFERROR(__xludf.DUMMYFUNCTION("""COMPUTED_VALUE"""),"Férfi")</f>
        <v>Férfi</v>
      </c>
      <c r="E889" s="1"/>
      <c r="F889" s="1">
        <f ca="1">IFERROR(__xludf.DUMMYFUNCTION("""COMPUTED_VALUE"""),2006)</f>
        <v>2006</v>
      </c>
      <c r="G889" s="1">
        <f ca="1">IFERROR(__xludf.DUMMYFUNCTION("""COMPUTED_VALUE"""),4510)</f>
        <v>4510</v>
      </c>
      <c r="H889" s="1" t="str">
        <f ca="1">IFERROR(__xludf.DUMMYFUNCTION("""COMPUTED_VALUE"""),"MTLSZ004510A21")</f>
        <v>MTLSZ004510A21</v>
      </c>
      <c r="I889" s="2">
        <f ca="1">IFERROR(__xludf.DUMMYFUNCTION("""COMPUTED_VALUE"""),44274)</f>
        <v>44274</v>
      </c>
      <c r="J889" s="2">
        <f ca="1">IFERROR(__xludf.DUMMYFUNCTION("""COMPUTED_VALUE"""),44638)</f>
        <v>44638</v>
      </c>
    </row>
    <row r="890" spans="1:10" x14ac:dyDescent="0.25">
      <c r="A890" s="1" t="str">
        <f ca="1">IFERROR(__xludf.DUMMYFUNCTION("""COMPUTED_VALUE"""),"Soproni TSE")</f>
        <v>Soproni TSE</v>
      </c>
      <c r="B890" s="1" t="str">
        <f ca="1">IFERROR(__xludf.DUMMYFUNCTION("""COMPUTED_VALUE"""),"Pelle Dorottya")</f>
        <v>Pelle Dorottya</v>
      </c>
      <c r="C890" s="1"/>
      <c r="D890" s="1" t="str">
        <f ca="1">IFERROR(__xludf.DUMMYFUNCTION("""COMPUTED_VALUE"""),"Nő")</f>
        <v>Nő</v>
      </c>
      <c r="E890" s="1"/>
      <c r="F890" s="1">
        <f ca="1">IFERROR(__xludf.DUMMYFUNCTION("""COMPUTED_VALUE"""),2000)</f>
        <v>2000</v>
      </c>
      <c r="G890" s="1">
        <f ca="1">IFERROR(__xludf.DUMMYFUNCTION("""COMPUTED_VALUE"""),4508)</f>
        <v>4508</v>
      </c>
      <c r="H890" s="1" t="str">
        <f ca="1">IFERROR(__xludf.DUMMYFUNCTION("""COMPUTED_VALUE"""),"MTLSZ004508A21")</f>
        <v>MTLSZ004508A21</v>
      </c>
      <c r="I890" s="2">
        <f ca="1">IFERROR(__xludf.DUMMYFUNCTION("""COMPUTED_VALUE"""),44274)</f>
        <v>44274</v>
      </c>
      <c r="J890" s="2">
        <f ca="1">IFERROR(__xludf.DUMMYFUNCTION("""COMPUTED_VALUE"""),44638)</f>
        <v>44638</v>
      </c>
    </row>
    <row r="891" spans="1:10" x14ac:dyDescent="0.25">
      <c r="A891" s="1" t="str">
        <f ca="1">IFERROR(__xludf.DUMMYFUNCTION("""COMPUTED_VALUE"""),"Soproni TSE")</f>
        <v>Soproni TSE</v>
      </c>
      <c r="B891" s="1" t="str">
        <f ca="1">IFERROR(__xludf.DUMMYFUNCTION("""COMPUTED_VALUE"""),"Pelle Tamás György")</f>
        <v>Pelle Tamás György</v>
      </c>
      <c r="C891" s="1"/>
      <c r="D891" s="1" t="str">
        <f ca="1">IFERROR(__xludf.DUMMYFUNCTION("""COMPUTED_VALUE"""),"Férfi")</f>
        <v>Férfi</v>
      </c>
      <c r="E891" s="1"/>
      <c r="F891" s="1">
        <f ca="1">IFERROR(__xludf.DUMMYFUNCTION("""COMPUTED_VALUE"""),1975)</f>
        <v>1975</v>
      </c>
      <c r="G891" s="1">
        <f ca="1">IFERROR(__xludf.DUMMYFUNCTION("""COMPUTED_VALUE"""),4509)</f>
        <v>4509</v>
      </c>
      <c r="H891" s="1" t="str">
        <f ca="1">IFERROR(__xludf.DUMMYFUNCTION("""COMPUTED_VALUE"""),"MTLSZ004509A21")</f>
        <v>MTLSZ004509A21</v>
      </c>
      <c r="I891" s="2">
        <f ca="1">IFERROR(__xludf.DUMMYFUNCTION("""COMPUTED_VALUE"""),44274)</f>
        <v>44274</v>
      </c>
      <c r="J891" s="2">
        <f ca="1">IFERROR(__xludf.DUMMYFUNCTION("""COMPUTED_VALUE"""),44638)</f>
        <v>44638</v>
      </c>
    </row>
    <row r="892" spans="1:10" x14ac:dyDescent="0.25">
      <c r="A892" s="1" t="str">
        <f ca="1">IFERROR(__xludf.DUMMYFUNCTION("""COMPUTED_VALUE"""),"Soproni TSE")</f>
        <v>Soproni TSE</v>
      </c>
      <c r="B892" s="1" t="str">
        <f ca="1">IFERROR(__xludf.DUMMYFUNCTION("""COMPUTED_VALUE"""),"Sidó Attila")</f>
        <v>Sidó Attila</v>
      </c>
      <c r="C892" s="1"/>
      <c r="D892" s="1" t="str">
        <f ca="1">IFERROR(__xludf.DUMMYFUNCTION("""COMPUTED_VALUE"""),"Férfi")</f>
        <v>Férfi</v>
      </c>
      <c r="E892" s="1"/>
      <c r="F892" s="1">
        <f ca="1">IFERROR(__xludf.DUMMYFUNCTION("""COMPUTED_VALUE"""),1992)</f>
        <v>1992</v>
      </c>
      <c r="G892" s="1">
        <f ca="1">IFERROR(__xludf.DUMMYFUNCTION("""COMPUTED_VALUE"""),4505)</f>
        <v>4505</v>
      </c>
      <c r="H892" s="1" t="str">
        <f ca="1">IFERROR(__xludf.DUMMYFUNCTION("""COMPUTED_VALUE"""),"MTLSZ004505A21")</f>
        <v>MTLSZ004505A21</v>
      </c>
      <c r="I892" s="2">
        <f ca="1">IFERROR(__xludf.DUMMYFUNCTION("""COMPUTED_VALUE"""),44274)</f>
        <v>44274</v>
      </c>
      <c r="J892" s="2">
        <f ca="1">IFERROR(__xludf.DUMMYFUNCTION("""COMPUTED_VALUE"""),44638)</f>
        <v>44638</v>
      </c>
    </row>
    <row r="893" spans="1:10" x14ac:dyDescent="0.25">
      <c r="A893" s="1" t="str">
        <f ca="1">IFERROR(__xludf.DUMMYFUNCTION("""COMPUTED_VALUE"""),"Soproni TSE")</f>
        <v>Soproni TSE</v>
      </c>
      <c r="B893" s="1" t="str">
        <f ca="1">IFERROR(__xludf.DUMMYFUNCTION("""COMPUTED_VALUE"""),"Varga Dénes")</f>
        <v>Varga Dénes</v>
      </c>
      <c r="C893" s="1"/>
      <c r="D893" s="1" t="str">
        <f ca="1">IFERROR(__xludf.DUMMYFUNCTION("""COMPUTED_VALUE"""),"Férfi")</f>
        <v>Férfi</v>
      </c>
      <c r="E893" s="1"/>
      <c r="F893" s="1">
        <f ca="1">IFERROR(__xludf.DUMMYFUNCTION("""COMPUTED_VALUE"""),1979)</f>
        <v>1979</v>
      </c>
      <c r="G893" s="1">
        <f ca="1">IFERROR(__xludf.DUMMYFUNCTION("""COMPUTED_VALUE"""),4507)</f>
        <v>4507</v>
      </c>
      <c r="H893" s="1" t="str">
        <f ca="1">IFERROR(__xludf.DUMMYFUNCTION("""COMPUTED_VALUE"""),"MTLSZ004507A21")</f>
        <v>MTLSZ004507A21</v>
      </c>
      <c r="I893" s="2">
        <f ca="1">IFERROR(__xludf.DUMMYFUNCTION("""COMPUTED_VALUE"""),44274)</f>
        <v>44274</v>
      </c>
      <c r="J893" s="2">
        <f ca="1">IFERROR(__xludf.DUMMYFUNCTION("""COMPUTED_VALUE"""),44638)</f>
        <v>44638</v>
      </c>
    </row>
    <row r="894" spans="1:10" x14ac:dyDescent="0.25">
      <c r="A894" s="1" t="str">
        <f ca="1">IFERROR(__xludf.DUMMYFUNCTION("""COMPUTED_VALUE"""),"Szolnoki Honvéd SE")</f>
        <v>Szolnoki Honvéd SE</v>
      </c>
      <c r="B894" s="1" t="str">
        <f ca="1">IFERROR(__xludf.DUMMYFUNCTION("""COMPUTED_VALUE"""),"Hollanday Andrea")</f>
        <v>Hollanday Andrea</v>
      </c>
      <c r="C894" s="1"/>
      <c r="D894" s="1" t="str">
        <f ca="1">IFERROR(__xludf.DUMMYFUNCTION("""COMPUTED_VALUE"""),"Nő")</f>
        <v>Nő</v>
      </c>
      <c r="E894" s="1"/>
      <c r="F894" s="1">
        <f ca="1">IFERROR(__xludf.DUMMYFUNCTION("""COMPUTED_VALUE"""),1958)</f>
        <v>1958</v>
      </c>
      <c r="G894" s="1">
        <f ca="1">IFERROR(__xludf.DUMMYFUNCTION("""COMPUTED_VALUE"""),1700)</f>
        <v>1700</v>
      </c>
      <c r="H894" s="1" t="str">
        <f ca="1">IFERROR(__xludf.DUMMYFUNCTION("""COMPUTED_VALUE"""),"MTLSZ001700A21")</f>
        <v>MTLSZ001700A21</v>
      </c>
      <c r="I894" s="2">
        <f ca="1">IFERROR(__xludf.DUMMYFUNCTION("""COMPUTED_VALUE"""),44274)</f>
        <v>44274</v>
      </c>
      <c r="J894" s="2">
        <f ca="1">IFERROR(__xludf.DUMMYFUNCTION("""COMPUTED_VALUE"""),44638)</f>
        <v>44638</v>
      </c>
    </row>
    <row r="895" spans="1:10" x14ac:dyDescent="0.25">
      <c r="A895" s="1" t="str">
        <f ca="1">IFERROR(__xludf.DUMMYFUNCTION("""COMPUTED_VALUE"""),"Szolnoki Honvéd SE")</f>
        <v>Szolnoki Honvéd SE</v>
      </c>
      <c r="B895" s="1" t="str">
        <f ca="1">IFERROR(__xludf.DUMMYFUNCTION("""COMPUTED_VALUE"""),"Zádory László")</f>
        <v>Zádory László</v>
      </c>
      <c r="C895" s="1"/>
      <c r="D895" s="1" t="str">
        <f ca="1">IFERROR(__xludf.DUMMYFUNCTION("""COMPUTED_VALUE"""),"Férfi")</f>
        <v>Férfi</v>
      </c>
      <c r="E895" s="1"/>
      <c r="F895" s="1">
        <f ca="1">IFERROR(__xludf.DUMMYFUNCTION("""COMPUTED_VALUE"""),1958)</f>
        <v>1958</v>
      </c>
      <c r="G895" s="1">
        <f ca="1">IFERROR(__xludf.DUMMYFUNCTION("""COMPUTED_VALUE"""),1705)</f>
        <v>1705</v>
      </c>
      <c r="H895" s="1" t="str">
        <f ca="1">IFERROR(__xludf.DUMMYFUNCTION("""COMPUTED_VALUE"""),"MTLSZ001705A21")</f>
        <v>MTLSZ001705A21</v>
      </c>
      <c r="I895" s="2">
        <f ca="1">IFERROR(__xludf.DUMMYFUNCTION("""COMPUTED_VALUE"""),44274)</f>
        <v>44274</v>
      </c>
      <c r="J895" s="2">
        <f ca="1">IFERROR(__xludf.DUMMYFUNCTION("""COMPUTED_VALUE"""),44638)</f>
        <v>44638</v>
      </c>
    </row>
    <row r="896" spans="1:10" x14ac:dyDescent="0.25">
      <c r="A896" s="1" t="str">
        <f ca="1">IFERROR(__xludf.DUMMYFUNCTION("""COMPUTED_VALUE"""),"Tisza TSE")</f>
        <v>Tisza TSE</v>
      </c>
      <c r="B896" s="1" t="str">
        <f ca="1">IFERROR(__xludf.DUMMYFUNCTION("""COMPUTED_VALUE"""),"Palotás Dorottya")</f>
        <v>Palotás Dorottya</v>
      </c>
      <c r="C896" s="1"/>
      <c r="D896" s="1" t="str">
        <f ca="1">IFERROR(__xludf.DUMMYFUNCTION("""COMPUTED_VALUE"""),"Nő")</f>
        <v>Nő</v>
      </c>
      <c r="E896" s="1"/>
      <c r="F896" s="1">
        <f ca="1">IFERROR(__xludf.DUMMYFUNCTION("""COMPUTED_VALUE"""),1981)</f>
        <v>1981</v>
      </c>
      <c r="G896" s="1">
        <f ca="1">IFERROR(__xludf.DUMMYFUNCTION("""COMPUTED_VALUE"""),4513)</f>
        <v>4513</v>
      </c>
      <c r="H896" s="1" t="str">
        <f ca="1">IFERROR(__xludf.DUMMYFUNCTION("""COMPUTED_VALUE"""),"MTLSZ004513A21")</f>
        <v>MTLSZ004513A21</v>
      </c>
      <c r="I896" s="2">
        <f ca="1">IFERROR(__xludf.DUMMYFUNCTION("""COMPUTED_VALUE"""),44274)</f>
        <v>44274</v>
      </c>
      <c r="J896" s="2">
        <f ca="1">IFERROR(__xludf.DUMMYFUNCTION("""COMPUTED_VALUE"""),44638)</f>
        <v>44638</v>
      </c>
    </row>
    <row r="897" spans="1:10" x14ac:dyDescent="0.25">
      <c r="A897" s="1" t="str">
        <f ca="1">IFERROR(__xludf.DUMMYFUNCTION("""COMPUTED_VALUE"""),"VSD")</f>
        <v>VSD</v>
      </c>
      <c r="B897" s="1" t="str">
        <f ca="1">IFERROR(__xludf.DUMMYFUNCTION("""COMPUTED_VALUE"""),"Benkő Krisztina")</f>
        <v>Benkő Krisztina</v>
      </c>
      <c r="C897" s="1"/>
      <c r="D897" s="1" t="str">
        <f ca="1">IFERROR(__xludf.DUMMYFUNCTION("""COMPUTED_VALUE"""),"Nő")</f>
        <v>Nő</v>
      </c>
      <c r="E897" s="1"/>
      <c r="F897" s="1">
        <f ca="1">IFERROR(__xludf.DUMMYFUNCTION("""COMPUTED_VALUE"""),1973)</f>
        <v>1973</v>
      </c>
      <c r="G897" s="1">
        <f ca="1">IFERROR(__xludf.DUMMYFUNCTION("""COMPUTED_VALUE"""),4501)</f>
        <v>4501</v>
      </c>
      <c r="H897" s="1" t="str">
        <f ca="1">IFERROR(__xludf.DUMMYFUNCTION("""COMPUTED_VALUE"""),"MTLSZ004501A21")</f>
        <v>MTLSZ004501A21</v>
      </c>
      <c r="I897" s="2">
        <f ca="1">IFERROR(__xludf.DUMMYFUNCTION("""COMPUTED_VALUE"""),44274)</f>
        <v>44274</v>
      </c>
      <c r="J897" s="2">
        <f ca="1">IFERROR(__xludf.DUMMYFUNCTION("""COMPUTED_VALUE"""),44638)</f>
        <v>44638</v>
      </c>
    </row>
    <row r="898" spans="1:10" x14ac:dyDescent="0.25">
      <c r="A898" s="1" t="str">
        <f ca="1">IFERROR(__xludf.DUMMYFUNCTION("""COMPUTED_VALUE"""),"VSD")</f>
        <v>VSD</v>
      </c>
      <c r="B898" s="1" t="str">
        <f ca="1">IFERROR(__xludf.DUMMYFUNCTION("""COMPUTED_VALUE"""),"Erdely Edward")</f>
        <v>Erdely Edward</v>
      </c>
      <c r="C898" s="1"/>
      <c r="D898" s="1" t="str">
        <f ca="1">IFERROR(__xludf.DUMMYFUNCTION("""COMPUTED_VALUE"""),"Férfi")</f>
        <v>Férfi</v>
      </c>
      <c r="E898" s="1"/>
      <c r="F898" s="1">
        <f ca="1">IFERROR(__xludf.DUMMYFUNCTION("""COMPUTED_VALUE"""),1966)</f>
        <v>1966</v>
      </c>
      <c r="G898" s="1">
        <f ca="1">IFERROR(__xludf.DUMMYFUNCTION("""COMPUTED_VALUE"""),4503)</f>
        <v>4503</v>
      </c>
      <c r="H898" s="1" t="str">
        <f ca="1">IFERROR(__xludf.DUMMYFUNCTION("""COMPUTED_VALUE"""),"MTLSZ004503A21")</f>
        <v>MTLSZ004503A21</v>
      </c>
      <c r="I898" s="2">
        <f ca="1">IFERROR(__xludf.DUMMYFUNCTION("""COMPUTED_VALUE"""),44274)</f>
        <v>44274</v>
      </c>
      <c r="J898" s="2">
        <f ca="1">IFERROR(__xludf.DUMMYFUNCTION("""COMPUTED_VALUE"""),44638)</f>
        <v>44638</v>
      </c>
    </row>
    <row r="899" spans="1:10" x14ac:dyDescent="0.25">
      <c r="A899" s="1" t="str">
        <f ca="1">IFERROR(__xludf.DUMMYFUNCTION("""COMPUTED_VALUE"""),"VSD")</f>
        <v>VSD</v>
      </c>
      <c r="B899" s="1" t="str">
        <f ca="1">IFERROR(__xludf.DUMMYFUNCTION("""COMPUTED_VALUE"""),"Hikade Vladimir")</f>
        <v>Hikade Vladimir</v>
      </c>
      <c r="C899" s="1"/>
      <c r="D899" s="1" t="str">
        <f ca="1">IFERROR(__xludf.DUMMYFUNCTION("""COMPUTED_VALUE"""),"Férfi")</f>
        <v>Férfi</v>
      </c>
      <c r="E899" s="1"/>
      <c r="F899" s="1">
        <f ca="1">IFERROR(__xludf.DUMMYFUNCTION("""COMPUTED_VALUE"""),1957)</f>
        <v>1957</v>
      </c>
      <c r="G899" s="1">
        <f ca="1">IFERROR(__xludf.DUMMYFUNCTION("""COMPUTED_VALUE"""),4502)</f>
        <v>4502</v>
      </c>
      <c r="H899" s="1" t="str">
        <f ca="1">IFERROR(__xludf.DUMMYFUNCTION("""COMPUTED_VALUE"""),"MTLSZ004502A21")</f>
        <v>MTLSZ004502A21</v>
      </c>
      <c r="I899" s="2">
        <f ca="1">IFERROR(__xludf.DUMMYFUNCTION("""COMPUTED_VALUE"""),44274)</f>
        <v>44274</v>
      </c>
      <c r="J899" s="2">
        <f ca="1">IFERROR(__xludf.DUMMYFUNCTION("""COMPUTED_VALUE"""),44638)</f>
        <v>44638</v>
      </c>
    </row>
    <row r="900" spans="1:10" x14ac:dyDescent="0.25">
      <c r="A900" s="1" t="str">
        <f ca="1">IFERROR(__xludf.DUMMYFUNCTION("""COMPUTED_VALUE"""),"VSD")</f>
        <v>VSD</v>
      </c>
      <c r="B900" s="1" t="str">
        <f ca="1">IFERROR(__xludf.DUMMYFUNCTION("""COMPUTED_VALUE"""),"Kovács Alíz")</f>
        <v>Kovács Alíz</v>
      </c>
      <c r="C900" s="1"/>
      <c r="D900" s="1" t="str">
        <f ca="1">IFERROR(__xludf.DUMMYFUNCTION("""COMPUTED_VALUE"""),"Nő")</f>
        <v>Nő</v>
      </c>
      <c r="E900" s="1"/>
      <c r="F900" s="1">
        <f ca="1">IFERROR(__xludf.DUMMYFUNCTION("""COMPUTED_VALUE"""),2009)</f>
        <v>2009</v>
      </c>
      <c r="G900" s="1">
        <f ca="1">IFERROR(__xludf.DUMMYFUNCTION("""COMPUTED_VALUE"""),4500)</f>
        <v>4500</v>
      </c>
      <c r="H900" s="1" t="str">
        <f ca="1">IFERROR(__xludf.DUMMYFUNCTION("""COMPUTED_VALUE"""),"MTLSZ004500A21")</f>
        <v>MTLSZ004500A21</v>
      </c>
      <c r="I900" s="2">
        <f ca="1">IFERROR(__xludf.DUMMYFUNCTION("""COMPUTED_VALUE"""),44274)</f>
        <v>44274</v>
      </c>
      <c r="J900" s="2">
        <f ca="1">IFERROR(__xludf.DUMMYFUNCTION("""COMPUTED_VALUE"""),44638)</f>
        <v>44638</v>
      </c>
    </row>
    <row r="901" spans="1:10" x14ac:dyDescent="0.25">
      <c r="A901" s="1" t="str">
        <f ca="1">IFERROR(__xludf.DUMMYFUNCTION("""COMPUTED_VALUE"""),"VSD")</f>
        <v>VSD</v>
      </c>
      <c r="B901" s="1" t="str">
        <f ca="1">IFERROR(__xludf.DUMMYFUNCTION("""COMPUTED_VALUE"""),"Kovács Otília")</f>
        <v>Kovács Otília</v>
      </c>
      <c r="C901" s="1"/>
      <c r="D901" s="1" t="str">
        <f ca="1">IFERROR(__xludf.DUMMYFUNCTION("""COMPUTED_VALUE"""),"Nő")</f>
        <v>Nő</v>
      </c>
      <c r="E901" s="1"/>
      <c r="F901" s="1">
        <f ca="1">IFERROR(__xludf.DUMMYFUNCTION("""COMPUTED_VALUE"""),2010)</f>
        <v>2010</v>
      </c>
      <c r="G901" s="1">
        <f ca="1">IFERROR(__xludf.DUMMYFUNCTION("""COMPUTED_VALUE"""),3993)</f>
        <v>3993</v>
      </c>
      <c r="H901" s="1" t="str">
        <f ca="1">IFERROR(__xludf.DUMMYFUNCTION("""COMPUTED_VALUE"""),"MTLSZ003993A21")</f>
        <v>MTLSZ003993A21</v>
      </c>
      <c r="I901" s="2">
        <f ca="1">IFERROR(__xludf.DUMMYFUNCTION("""COMPUTED_VALUE"""),44274)</f>
        <v>44274</v>
      </c>
      <c r="J901" s="2">
        <f ca="1">IFERROR(__xludf.DUMMYFUNCTION("""COMPUTED_VALUE"""),44638)</f>
        <v>44638</v>
      </c>
    </row>
    <row r="902" spans="1:10" x14ac:dyDescent="0.25">
      <c r="A902" s="1" t="str">
        <f ca="1">IFERROR(__xludf.DUMMYFUNCTION("""COMPUTED_VALUE"""),"VSD")</f>
        <v>VSD</v>
      </c>
      <c r="B902" s="1" t="str">
        <f ca="1">IFERROR(__xludf.DUMMYFUNCTION("""COMPUTED_VALUE"""),"Tóth Ferencné")</f>
        <v>Tóth Ferencné</v>
      </c>
      <c r="C902" s="1"/>
      <c r="D902" s="1" t="str">
        <f ca="1">IFERROR(__xludf.DUMMYFUNCTION("""COMPUTED_VALUE"""),"Nő")</f>
        <v>Nő</v>
      </c>
      <c r="E902" s="1"/>
      <c r="F902" s="1">
        <f ca="1">IFERROR(__xludf.DUMMYFUNCTION("""COMPUTED_VALUE"""),1966)</f>
        <v>1966</v>
      </c>
      <c r="G902" s="1">
        <f ca="1">IFERROR(__xludf.DUMMYFUNCTION("""COMPUTED_VALUE"""),4512)</f>
        <v>4512</v>
      </c>
      <c r="H902" s="1" t="str">
        <f ca="1">IFERROR(__xludf.DUMMYFUNCTION("""COMPUTED_VALUE"""),"MTLSZ004512A21")</f>
        <v>MTLSZ004512A21</v>
      </c>
      <c r="I902" s="2">
        <f ca="1">IFERROR(__xludf.DUMMYFUNCTION("""COMPUTED_VALUE"""),44274)</f>
        <v>44274</v>
      </c>
      <c r="J902" s="2">
        <f ca="1">IFERROR(__xludf.DUMMYFUNCTION("""COMPUTED_VALUE"""),44638)</f>
        <v>44638</v>
      </c>
    </row>
    <row r="903" spans="1:10" x14ac:dyDescent="0.25">
      <c r="A903" s="1" t="str">
        <f ca="1">IFERROR(__xludf.DUMMYFUNCTION("""COMPUTED_VALUE"""),"Tisza TSE")</f>
        <v>Tisza TSE</v>
      </c>
      <c r="B903" s="1" t="str">
        <f ca="1">IFERROR(__xludf.DUMMYFUNCTION("""COMPUTED_VALUE"""),"Gresó Erzsébet")</f>
        <v>Gresó Erzsébet</v>
      </c>
      <c r="C903" s="1"/>
      <c r="D903" s="1" t="str">
        <f ca="1">IFERROR(__xludf.DUMMYFUNCTION("""COMPUTED_VALUE"""),"Nő")</f>
        <v>Nő</v>
      </c>
      <c r="E903" s="1"/>
      <c r="F903" s="1">
        <f ca="1">IFERROR(__xludf.DUMMYFUNCTION("""COMPUTED_VALUE"""),1950)</f>
        <v>1950</v>
      </c>
      <c r="G903" s="1">
        <f ca="1">IFERROR(__xludf.DUMMYFUNCTION("""COMPUTED_VALUE"""),4498)</f>
        <v>4498</v>
      </c>
      <c r="H903" s="1" t="str">
        <f ca="1">IFERROR(__xludf.DUMMYFUNCTION("""COMPUTED_VALUE"""),"MTLSZ004498A21")</f>
        <v>MTLSZ004498A21</v>
      </c>
      <c r="I903" s="2">
        <f ca="1">IFERROR(__xludf.DUMMYFUNCTION("""COMPUTED_VALUE"""),44273)</f>
        <v>44273</v>
      </c>
      <c r="J903" s="2">
        <f ca="1">IFERROR(__xludf.DUMMYFUNCTION("""COMPUTED_VALUE"""),44637)</f>
        <v>44637</v>
      </c>
    </row>
    <row r="904" spans="1:10" x14ac:dyDescent="0.25">
      <c r="A904" s="1" t="str">
        <f ca="1">IFERROR(__xludf.DUMMYFUNCTION("""COMPUTED_VALUE"""),"Főtaxi SC")</f>
        <v>Főtaxi SC</v>
      </c>
      <c r="B904" s="1" t="str">
        <f ca="1">IFERROR(__xludf.DUMMYFUNCTION("""COMPUTED_VALUE"""),"Botos Bence Krisztián")</f>
        <v>Botos Bence Krisztián</v>
      </c>
      <c r="C904" s="1"/>
      <c r="D904" s="1" t="str">
        <f ca="1">IFERROR(__xludf.DUMMYFUNCTION("""COMPUTED_VALUE"""),"Férfi")</f>
        <v>Férfi</v>
      </c>
      <c r="E904" s="1"/>
      <c r="F904" s="1">
        <f ca="1">IFERROR(__xludf.DUMMYFUNCTION("""COMPUTED_VALUE"""),1998)</f>
        <v>1998</v>
      </c>
      <c r="G904" s="1">
        <f ca="1">IFERROR(__xludf.DUMMYFUNCTION("""COMPUTED_VALUE"""),4496)</f>
        <v>4496</v>
      </c>
      <c r="H904" s="1" t="str">
        <f ca="1">IFERROR(__xludf.DUMMYFUNCTION("""COMPUTED_VALUE"""),"MTLSZ004496A21")</f>
        <v>MTLSZ004496A21</v>
      </c>
      <c r="I904" s="2">
        <f ca="1">IFERROR(__xludf.DUMMYFUNCTION("""COMPUTED_VALUE"""),44271)</f>
        <v>44271</v>
      </c>
      <c r="J904" s="2">
        <f ca="1">IFERROR(__xludf.DUMMYFUNCTION("""COMPUTED_VALUE"""),44635)</f>
        <v>44635</v>
      </c>
    </row>
    <row r="905" spans="1:10" x14ac:dyDescent="0.25">
      <c r="A905" s="1" t="str">
        <f ca="1">IFERROR(__xludf.DUMMYFUNCTION("""COMPUTED_VALUE"""),"Főtaxi SC")</f>
        <v>Főtaxi SC</v>
      </c>
      <c r="B905" s="1" t="str">
        <f ca="1">IFERROR(__xludf.DUMMYFUNCTION("""COMPUTED_VALUE"""),"Remsei Maxim")</f>
        <v>Remsei Maxim</v>
      </c>
      <c r="C905" s="1"/>
      <c r="D905" s="1" t="str">
        <f ca="1">IFERROR(__xludf.DUMMYFUNCTION("""COMPUTED_VALUE"""),"Férfi")</f>
        <v>Férfi</v>
      </c>
      <c r="E905" s="1"/>
      <c r="F905" s="1">
        <f ca="1">IFERROR(__xludf.DUMMYFUNCTION("""COMPUTED_VALUE"""),1998)</f>
        <v>1998</v>
      </c>
      <c r="G905" s="1">
        <f ca="1">IFERROR(__xludf.DUMMYFUNCTION("""COMPUTED_VALUE"""),4497)</f>
        <v>4497</v>
      </c>
      <c r="H905" s="1" t="str">
        <f ca="1">IFERROR(__xludf.DUMMYFUNCTION("""COMPUTED_VALUE"""),"MTLSZ004497A21")</f>
        <v>MTLSZ004497A21</v>
      </c>
      <c r="I905" s="2">
        <f ca="1">IFERROR(__xludf.DUMMYFUNCTION("""COMPUTED_VALUE"""),44271)</f>
        <v>44271</v>
      </c>
      <c r="J905" s="2">
        <f ca="1">IFERROR(__xludf.DUMMYFUNCTION("""COMPUTED_VALUE"""),44635)</f>
        <v>44635</v>
      </c>
    </row>
    <row r="906" spans="1:10" x14ac:dyDescent="0.25">
      <c r="A906" s="1" t="str">
        <f ca="1">IFERROR(__xludf.DUMMYFUNCTION("""COMPUTED_VALUE"""),"Kék Sólymok SE")</f>
        <v>Kék Sólymok SE</v>
      </c>
      <c r="B906" s="1" t="str">
        <f ca="1">IFERROR(__xludf.DUMMYFUNCTION("""COMPUTED_VALUE"""),"Bartha Gábor")</f>
        <v>Bartha Gábor</v>
      </c>
      <c r="C906" s="1"/>
      <c r="D906" s="1" t="str">
        <f ca="1">IFERROR(__xludf.DUMMYFUNCTION("""COMPUTED_VALUE"""),"Férfi")</f>
        <v>Férfi</v>
      </c>
      <c r="E906" s="1"/>
      <c r="F906" s="1">
        <f ca="1">IFERROR(__xludf.DUMMYFUNCTION("""COMPUTED_VALUE"""),1971)</f>
        <v>1971</v>
      </c>
      <c r="G906" s="1">
        <f ca="1">IFERROR(__xludf.DUMMYFUNCTION("""COMPUTED_VALUE"""),4495)</f>
        <v>4495</v>
      </c>
      <c r="H906" s="1" t="str">
        <f ca="1">IFERROR(__xludf.DUMMYFUNCTION("""COMPUTED_VALUE"""),"MTLSZ004495A21")</f>
        <v>MTLSZ004495A21</v>
      </c>
      <c r="I906" s="2">
        <f ca="1">IFERROR(__xludf.DUMMYFUNCTION("""COMPUTED_VALUE"""),44271)</f>
        <v>44271</v>
      </c>
      <c r="J906" s="2">
        <f ca="1">IFERROR(__xludf.DUMMYFUNCTION("""COMPUTED_VALUE"""),44635)</f>
        <v>44635</v>
      </c>
    </row>
    <row r="907" spans="1:10" x14ac:dyDescent="0.25">
      <c r="A907" s="1" t="str">
        <f ca="1">IFERROR(__xludf.DUMMYFUNCTION("""COMPUTED_VALUE"""),"Győri TSE")</f>
        <v>Győri TSE</v>
      </c>
      <c r="B907" s="1" t="str">
        <f ca="1">IFERROR(__xludf.DUMMYFUNCTION("""COMPUTED_VALUE"""),"Lénárt Balázs")</f>
        <v>Lénárt Balázs</v>
      </c>
      <c r="C907" s="1"/>
      <c r="D907" s="1" t="str">
        <f ca="1">IFERROR(__xludf.DUMMYFUNCTION("""COMPUTED_VALUE"""),"Férfi")</f>
        <v>Férfi</v>
      </c>
      <c r="E907" s="1"/>
      <c r="F907" s="1">
        <f ca="1">IFERROR(__xludf.DUMMYFUNCTION("""COMPUTED_VALUE"""),1998)</f>
        <v>1998</v>
      </c>
      <c r="G907" s="1">
        <f ca="1">IFERROR(__xludf.DUMMYFUNCTION("""COMPUTED_VALUE"""),4491)</f>
        <v>4491</v>
      </c>
      <c r="H907" s="1" t="str">
        <f ca="1">IFERROR(__xludf.DUMMYFUNCTION("""COMPUTED_VALUE"""),"MTLSZ004491A21")</f>
        <v>MTLSZ004491A21</v>
      </c>
      <c r="I907" s="2">
        <f ca="1">IFERROR(__xludf.DUMMYFUNCTION("""COMPUTED_VALUE"""),44270)</f>
        <v>44270</v>
      </c>
      <c r="J907" s="2">
        <f ca="1">IFERROR(__xludf.DUMMYFUNCTION("""COMPUTED_VALUE"""),44634)</f>
        <v>44634</v>
      </c>
    </row>
    <row r="908" spans="1:10" x14ac:dyDescent="0.25">
      <c r="A908" s="1" t="str">
        <f ca="1">IFERROR(__xludf.DUMMYFUNCTION("""COMPUTED_VALUE"""),"Tapolcai TFSE")</f>
        <v>Tapolcai TFSE</v>
      </c>
      <c r="B908" s="1" t="str">
        <f ca="1">IFERROR(__xludf.DUMMYFUNCTION("""COMPUTED_VALUE"""),"Bakler Zita")</f>
        <v>Bakler Zita</v>
      </c>
      <c r="C908" s="1"/>
      <c r="D908" s="1" t="str">
        <f ca="1">IFERROR(__xludf.DUMMYFUNCTION("""COMPUTED_VALUE"""),"Nő")</f>
        <v>Nő</v>
      </c>
      <c r="E908" s="1"/>
      <c r="F908" s="1">
        <f ca="1">IFERROR(__xludf.DUMMYFUNCTION("""COMPUTED_VALUE"""),2007)</f>
        <v>2007</v>
      </c>
      <c r="G908" s="1">
        <f ca="1">IFERROR(__xludf.DUMMYFUNCTION("""COMPUTED_VALUE"""),4494)</f>
        <v>4494</v>
      </c>
      <c r="H908" s="1" t="str">
        <f ca="1">IFERROR(__xludf.DUMMYFUNCTION("""COMPUTED_VALUE"""),"MTLSZ004494A21")</f>
        <v>MTLSZ004494A21</v>
      </c>
      <c r="I908" s="2">
        <f ca="1">IFERROR(__xludf.DUMMYFUNCTION("""COMPUTED_VALUE"""),44270)</f>
        <v>44270</v>
      </c>
      <c r="J908" s="2">
        <f ca="1">IFERROR(__xludf.DUMMYFUNCTION("""COMPUTED_VALUE"""),44634)</f>
        <v>44634</v>
      </c>
    </row>
    <row r="909" spans="1:10" x14ac:dyDescent="0.25">
      <c r="A909" s="1" t="str">
        <f ca="1">IFERROR(__xludf.DUMMYFUNCTION("""COMPUTED_VALUE"""),"Tapolcai TFSE")</f>
        <v>Tapolcai TFSE</v>
      </c>
      <c r="B909" s="1" t="str">
        <f ca="1">IFERROR(__xludf.DUMMYFUNCTION("""COMPUTED_VALUE"""),"Gyabronka Dóra")</f>
        <v>Gyabronka Dóra</v>
      </c>
      <c r="C909" s="1"/>
      <c r="D909" s="1" t="str">
        <f ca="1">IFERROR(__xludf.DUMMYFUNCTION("""COMPUTED_VALUE"""),"Nő")</f>
        <v>Nő</v>
      </c>
      <c r="E909" s="1"/>
      <c r="F909" s="1">
        <f ca="1">IFERROR(__xludf.DUMMYFUNCTION("""COMPUTED_VALUE"""),1978)</f>
        <v>1978</v>
      </c>
      <c r="G909" s="1">
        <f ca="1">IFERROR(__xludf.DUMMYFUNCTION("""COMPUTED_VALUE"""),4492)</f>
        <v>4492</v>
      </c>
      <c r="H909" s="1" t="str">
        <f ca="1">IFERROR(__xludf.DUMMYFUNCTION("""COMPUTED_VALUE"""),"MTLSZ004492A21")</f>
        <v>MTLSZ004492A21</v>
      </c>
      <c r="I909" s="2">
        <f ca="1">IFERROR(__xludf.DUMMYFUNCTION("""COMPUTED_VALUE"""),44270)</f>
        <v>44270</v>
      </c>
      <c r="J909" s="2">
        <f ca="1">IFERROR(__xludf.DUMMYFUNCTION("""COMPUTED_VALUE"""),44634)</f>
        <v>44634</v>
      </c>
    </row>
    <row r="910" spans="1:10" x14ac:dyDescent="0.25">
      <c r="A910" s="1" t="str">
        <f ca="1">IFERROR(__xludf.DUMMYFUNCTION("""COMPUTED_VALUE"""),"Tapolcai TFSE")</f>
        <v>Tapolcai TFSE</v>
      </c>
      <c r="B910" s="1" t="str">
        <f ca="1">IFERROR(__xludf.DUMMYFUNCTION("""COMPUTED_VALUE"""),"Rónay Zsuzsanna")</f>
        <v>Rónay Zsuzsanna</v>
      </c>
      <c r="C910" s="1"/>
      <c r="D910" s="1" t="str">
        <f ca="1">IFERROR(__xludf.DUMMYFUNCTION("""COMPUTED_VALUE"""),"Nő")</f>
        <v>Nő</v>
      </c>
      <c r="E910" s="1"/>
      <c r="F910" s="1">
        <f ca="1">IFERROR(__xludf.DUMMYFUNCTION("""COMPUTED_VALUE"""),1975)</f>
        <v>1975</v>
      </c>
      <c r="G910" s="1">
        <f ca="1">IFERROR(__xludf.DUMMYFUNCTION("""COMPUTED_VALUE"""),4493)</f>
        <v>4493</v>
      </c>
      <c r="H910" s="1" t="str">
        <f ca="1">IFERROR(__xludf.DUMMYFUNCTION("""COMPUTED_VALUE"""),"MTLSZ004493A21")</f>
        <v>MTLSZ004493A21</v>
      </c>
      <c r="I910" s="2">
        <f ca="1">IFERROR(__xludf.DUMMYFUNCTION("""COMPUTED_VALUE"""),44270)</f>
        <v>44270</v>
      </c>
      <c r="J910" s="2">
        <f ca="1">IFERROR(__xludf.DUMMYFUNCTION("""COMPUTED_VALUE"""),44634)</f>
        <v>44634</v>
      </c>
    </row>
    <row r="911" spans="1:10" x14ac:dyDescent="0.25">
      <c r="A911" s="1" t="str">
        <f ca="1">IFERROR(__xludf.DUMMYFUNCTION("""COMPUTED_VALUE"""),"Újpest TSE")</f>
        <v>Újpest TSE</v>
      </c>
      <c r="B911" s="1" t="str">
        <f ca="1">IFERROR(__xludf.DUMMYFUNCTION("""COMPUTED_VALUE"""),"Kunst Nándor")</f>
        <v>Kunst Nándor</v>
      </c>
      <c r="C911" s="1"/>
      <c r="D911" s="1" t="str">
        <f ca="1">IFERROR(__xludf.DUMMYFUNCTION("""COMPUTED_VALUE"""),"Férfi")</f>
        <v>Férfi</v>
      </c>
      <c r="E911" s="1"/>
      <c r="F911" s="1">
        <f ca="1">IFERROR(__xludf.DUMMYFUNCTION("""COMPUTED_VALUE"""),1981)</f>
        <v>1981</v>
      </c>
      <c r="G911" s="1">
        <f ca="1">IFERROR(__xludf.DUMMYFUNCTION("""COMPUTED_VALUE"""),4490)</f>
        <v>4490</v>
      </c>
      <c r="H911" s="1" t="str">
        <f ca="1">IFERROR(__xludf.DUMMYFUNCTION("""COMPUTED_VALUE"""),"MTLSZ004490A21")</f>
        <v>MTLSZ004490A21</v>
      </c>
      <c r="I911" s="2">
        <f ca="1">IFERROR(__xludf.DUMMYFUNCTION("""COMPUTED_VALUE"""),44270)</f>
        <v>44270</v>
      </c>
      <c r="J911" s="2">
        <f ca="1">IFERROR(__xludf.DUMMYFUNCTION("""COMPUTED_VALUE"""),44634)</f>
        <v>44634</v>
      </c>
    </row>
    <row r="912" spans="1:10" x14ac:dyDescent="0.25">
      <c r="A912" s="1" t="str">
        <f ca="1">IFERROR(__xludf.DUMMYFUNCTION("""COMPUTED_VALUE"""),"Dunakanyar TSE")</f>
        <v>Dunakanyar TSE</v>
      </c>
      <c r="B912" s="1" t="str">
        <f ca="1">IFERROR(__xludf.DUMMYFUNCTION("""COMPUTED_VALUE"""),"Szabó Attiláné")</f>
        <v>Szabó Attiláné</v>
      </c>
      <c r="C912" s="1"/>
      <c r="D912" s="1" t="str">
        <f ca="1">IFERROR(__xludf.DUMMYFUNCTION("""COMPUTED_VALUE"""),"Nő")</f>
        <v>Nő</v>
      </c>
      <c r="E912" s="1"/>
      <c r="F912" s="1">
        <f ca="1">IFERROR(__xludf.DUMMYFUNCTION("""COMPUTED_VALUE"""),1980)</f>
        <v>1980</v>
      </c>
      <c r="G912" s="1">
        <f ca="1">IFERROR(__xludf.DUMMYFUNCTION("""COMPUTED_VALUE"""),4488)</f>
        <v>4488</v>
      </c>
      <c r="H912" s="1" t="str">
        <f ca="1">IFERROR(__xludf.DUMMYFUNCTION("""COMPUTED_VALUE"""),"MTLSZ004488A21")</f>
        <v>MTLSZ004488A21</v>
      </c>
      <c r="I912" s="2">
        <f ca="1">IFERROR(__xludf.DUMMYFUNCTION("""COMPUTED_VALUE"""),44269)</f>
        <v>44269</v>
      </c>
      <c r="J912" s="2">
        <f ca="1">IFERROR(__xludf.DUMMYFUNCTION("""COMPUTED_VALUE"""),44633)</f>
        <v>44633</v>
      </c>
    </row>
    <row r="913" spans="1:10" x14ac:dyDescent="0.25">
      <c r="A913" s="1" t="str">
        <f ca="1">IFERROR(__xludf.DUMMYFUNCTION("""COMPUTED_VALUE"""),"Dunakanyar TSE")</f>
        <v>Dunakanyar TSE</v>
      </c>
      <c r="B913" s="1" t="str">
        <f ca="1">IFERROR(__xludf.DUMMYFUNCTION("""COMPUTED_VALUE"""),"Szentesi Zoltán")</f>
        <v>Szentesi Zoltán</v>
      </c>
      <c r="C913" s="1"/>
      <c r="D913" s="1" t="str">
        <f ca="1">IFERROR(__xludf.DUMMYFUNCTION("""COMPUTED_VALUE"""),"Férfi")</f>
        <v>Férfi</v>
      </c>
      <c r="E913" s="1"/>
      <c r="F913" s="1">
        <f ca="1">IFERROR(__xludf.DUMMYFUNCTION("""COMPUTED_VALUE"""),1968)</f>
        <v>1968</v>
      </c>
      <c r="G913" s="1">
        <f ca="1">IFERROR(__xludf.DUMMYFUNCTION("""COMPUTED_VALUE"""),2034)</f>
        <v>2034</v>
      </c>
      <c r="H913" s="1" t="str">
        <f ca="1">IFERROR(__xludf.DUMMYFUNCTION("""COMPUTED_VALUE"""),"MTLSZ002034A21")</f>
        <v>MTLSZ002034A21</v>
      </c>
      <c r="I913" s="2">
        <f ca="1">IFERROR(__xludf.DUMMYFUNCTION("""COMPUTED_VALUE"""),44269)</f>
        <v>44269</v>
      </c>
      <c r="J913" s="2">
        <f ca="1">IFERROR(__xludf.DUMMYFUNCTION("""COMPUTED_VALUE"""),44633)</f>
        <v>44633</v>
      </c>
    </row>
    <row r="914" spans="1:10" x14ac:dyDescent="0.25">
      <c r="A914" s="1" t="str">
        <f ca="1">IFERROR(__xludf.DUMMYFUNCTION("""COMPUTED_VALUE"""),"Dunakanyar TSE")</f>
        <v>Dunakanyar TSE</v>
      </c>
      <c r="B914" s="1" t="str">
        <f ca="1">IFERROR(__xludf.DUMMYFUNCTION("""COMPUTED_VALUE"""),"Szentesiné Sági Adrienn")</f>
        <v>Szentesiné Sági Adrienn</v>
      </c>
      <c r="C914" s="1"/>
      <c r="D914" s="1" t="str">
        <f ca="1">IFERROR(__xludf.DUMMYFUNCTION("""COMPUTED_VALUE"""),"Nő")</f>
        <v>Nő</v>
      </c>
      <c r="E914" s="1"/>
      <c r="F914" s="1">
        <f ca="1">IFERROR(__xludf.DUMMYFUNCTION("""COMPUTED_VALUE"""),1970)</f>
        <v>1970</v>
      </c>
      <c r="G914" s="1">
        <f ca="1">IFERROR(__xludf.DUMMYFUNCTION("""COMPUTED_VALUE"""),2035)</f>
        <v>2035</v>
      </c>
      <c r="H914" s="1" t="str">
        <f ca="1">IFERROR(__xludf.DUMMYFUNCTION("""COMPUTED_VALUE"""),"MTLSZ002035A21")</f>
        <v>MTLSZ002035A21</v>
      </c>
      <c r="I914" s="2">
        <f ca="1">IFERROR(__xludf.DUMMYFUNCTION("""COMPUTED_VALUE"""),44269)</f>
        <v>44269</v>
      </c>
      <c r="J914" s="2">
        <f ca="1">IFERROR(__xludf.DUMMYFUNCTION("""COMPUTED_VALUE"""),44633)</f>
        <v>44633</v>
      </c>
    </row>
    <row r="915" spans="1:10" x14ac:dyDescent="0.25">
      <c r="A915" s="1" t="str">
        <f ca="1">IFERROR(__xludf.DUMMYFUNCTION("""COMPUTED_VALUE"""),"Dunakanyar TSE")</f>
        <v>Dunakanyar TSE</v>
      </c>
      <c r="B915" s="1"/>
      <c r="C915" s="1"/>
      <c r="D915" s="1"/>
      <c r="E915" s="1"/>
      <c r="F915" s="1">
        <f ca="1">IFERROR(__xludf.DUMMYFUNCTION("""COMPUTED_VALUE"""),1899)</f>
        <v>1899</v>
      </c>
      <c r="G915" s="1">
        <f ca="1">IFERROR(__xludf.DUMMYFUNCTION("""COMPUTED_VALUE"""),4489)</f>
        <v>4489</v>
      </c>
      <c r="H915" s="1"/>
      <c r="I915" s="2">
        <f ca="1">IFERROR(__xludf.DUMMYFUNCTION("""COMPUTED_VALUE"""),44269)</f>
        <v>44269</v>
      </c>
      <c r="J915" s="2">
        <f ca="1">IFERROR(__xludf.DUMMYFUNCTION("""COMPUTED_VALUE"""),44633)</f>
        <v>44633</v>
      </c>
    </row>
    <row r="916" spans="1:10" x14ac:dyDescent="0.25">
      <c r="A916" s="1" t="str">
        <f ca="1">IFERROR(__xludf.DUMMYFUNCTION("""COMPUTED_VALUE"""),"Életmód SE")</f>
        <v>Életmód SE</v>
      </c>
      <c r="B916" s="1" t="str">
        <f ca="1">IFERROR(__xludf.DUMMYFUNCTION("""COMPUTED_VALUE"""),"Id. Illés József")</f>
        <v>Id. Illés József</v>
      </c>
      <c r="C916" s="1"/>
      <c r="D916" s="1" t="str">
        <f ca="1">IFERROR(__xludf.DUMMYFUNCTION("""COMPUTED_VALUE"""),"Férfi")</f>
        <v>Férfi</v>
      </c>
      <c r="E916" s="1"/>
      <c r="F916" s="1">
        <f ca="1">IFERROR(__xludf.DUMMYFUNCTION("""COMPUTED_VALUE"""),1964)</f>
        <v>1964</v>
      </c>
      <c r="G916" s="1">
        <f ca="1">IFERROR(__xludf.DUMMYFUNCTION("""COMPUTED_VALUE"""),4449)</f>
        <v>4449</v>
      </c>
      <c r="H916" s="1" t="str">
        <f ca="1">IFERROR(__xludf.DUMMYFUNCTION("""COMPUTED_VALUE"""),"MTLSZ004449A21")</f>
        <v>MTLSZ004449A21</v>
      </c>
      <c r="I916" s="2">
        <f ca="1">IFERROR(__xludf.DUMMYFUNCTION("""COMPUTED_VALUE"""),44269)</f>
        <v>44269</v>
      </c>
      <c r="J916" s="2">
        <f ca="1">IFERROR(__xludf.DUMMYFUNCTION("""COMPUTED_VALUE"""),44633)</f>
        <v>44633</v>
      </c>
    </row>
    <row r="917" spans="1:10" x14ac:dyDescent="0.25">
      <c r="A917" s="1" t="str">
        <f ca="1">IFERROR(__xludf.DUMMYFUNCTION("""COMPUTED_VALUE"""),"Életmód SE")</f>
        <v>Életmód SE</v>
      </c>
      <c r="B917" s="1" t="str">
        <f ca="1">IFERROR(__xludf.DUMMYFUNCTION("""COMPUTED_VALUE"""),"Illés József")</f>
        <v>Illés József</v>
      </c>
      <c r="C917" s="1"/>
      <c r="D917" s="1" t="str">
        <f ca="1">IFERROR(__xludf.DUMMYFUNCTION("""COMPUTED_VALUE"""),"Férfi")</f>
        <v>Férfi</v>
      </c>
      <c r="E917" s="1"/>
      <c r="F917" s="1">
        <f ca="1">IFERROR(__xludf.DUMMYFUNCTION("""COMPUTED_VALUE"""),1983)</f>
        <v>1983</v>
      </c>
      <c r="G917" s="1">
        <f ca="1">IFERROR(__xludf.DUMMYFUNCTION("""COMPUTED_VALUE"""),4450)</f>
        <v>4450</v>
      </c>
      <c r="H917" s="1" t="str">
        <f ca="1">IFERROR(__xludf.DUMMYFUNCTION("""COMPUTED_VALUE"""),"MTLSZ004450A21")</f>
        <v>MTLSZ004450A21</v>
      </c>
      <c r="I917" s="2">
        <f ca="1">IFERROR(__xludf.DUMMYFUNCTION("""COMPUTED_VALUE"""),44269)</f>
        <v>44269</v>
      </c>
      <c r="J917" s="2">
        <f ca="1">IFERROR(__xludf.DUMMYFUNCTION("""COMPUTED_VALUE"""),44633)</f>
        <v>44633</v>
      </c>
    </row>
    <row r="918" spans="1:10" x14ac:dyDescent="0.25">
      <c r="A918" s="1" t="str">
        <f ca="1">IFERROR(__xludf.DUMMYFUNCTION("""COMPUTED_VALUE"""),"Életmód SE")</f>
        <v>Életmód SE</v>
      </c>
      <c r="B918" s="1" t="str">
        <f ca="1">IFERROR(__xludf.DUMMYFUNCTION("""COMPUTED_VALUE"""),"Jászberényi Károly")</f>
        <v>Jászberényi Károly</v>
      </c>
      <c r="C918" s="1"/>
      <c r="D918" s="1" t="str">
        <f ca="1">IFERROR(__xludf.DUMMYFUNCTION("""COMPUTED_VALUE"""),"Férfi")</f>
        <v>Férfi</v>
      </c>
      <c r="E918" s="1"/>
      <c r="F918" s="1">
        <f ca="1">IFERROR(__xludf.DUMMYFUNCTION("""COMPUTED_VALUE"""),1952)</f>
        <v>1952</v>
      </c>
      <c r="G918" s="1">
        <f ca="1">IFERROR(__xludf.DUMMYFUNCTION("""COMPUTED_VALUE"""),4448)</f>
        <v>4448</v>
      </c>
      <c r="H918" s="1" t="str">
        <f ca="1">IFERROR(__xludf.DUMMYFUNCTION("""COMPUTED_VALUE"""),"MTLSZ004448A21")</f>
        <v>MTLSZ004448A21</v>
      </c>
      <c r="I918" s="2">
        <f ca="1">IFERROR(__xludf.DUMMYFUNCTION("""COMPUTED_VALUE"""),44269)</f>
        <v>44269</v>
      </c>
      <c r="J918" s="2">
        <f ca="1">IFERROR(__xludf.DUMMYFUNCTION("""COMPUTED_VALUE"""),44633)</f>
        <v>44633</v>
      </c>
    </row>
    <row r="919" spans="1:10" x14ac:dyDescent="0.25">
      <c r="A919" s="1" t="str">
        <f ca="1">IFERROR(__xludf.DUMMYFUNCTION("""COMPUTED_VALUE"""),"Életmód SE")</f>
        <v>Életmód SE</v>
      </c>
      <c r="B919" s="1" t="str">
        <f ca="1">IFERROR(__xludf.DUMMYFUNCTION("""COMPUTED_VALUE"""),"Jászberényiné Kuli Jolán")</f>
        <v>Jászberényiné Kuli Jolán</v>
      </c>
      <c r="C919" s="1"/>
      <c r="D919" s="1" t="str">
        <f ca="1">IFERROR(__xludf.DUMMYFUNCTION("""COMPUTED_VALUE"""),"Nő")</f>
        <v>Nő</v>
      </c>
      <c r="E919" s="1"/>
      <c r="F919" s="1">
        <f ca="1">IFERROR(__xludf.DUMMYFUNCTION("""COMPUTED_VALUE"""),1960)</f>
        <v>1960</v>
      </c>
      <c r="G919" s="1">
        <f ca="1">IFERROR(__xludf.DUMMYFUNCTION("""COMPUTED_VALUE"""),4447)</f>
        <v>4447</v>
      </c>
      <c r="H919" s="1" t="str">
        <f ca="1">IFERROR(__xludf.DUMMYFUNCTION("""COMPUTED_VALUE"""),"MTLSZ004447A21")</f>
        <v>MTLSZ004447A21</v>
      </c>
      <c r="I919" s="2">
        <f ca="1">IFERROR(__xludf.DUMMYFUNCTION("""COMPUTED_VALUE"""),44269)</f>
        <v>44269</v>
      </c>
      <c r="J919" s="2">
        <f ca="1">IFERROR(__xludf.DUMMYFUNCTION("""COMPUTED_VALUE"""),44633)</f>
        <v>44633</v>
      </c>
    </row>
    <row r="920" spans="1:10" x14ac:dyDescent="0.25">
      <c r="A920" s="1" t="str">
        <f ca="1">IFERROR(__xludf.DUMMYFUNCTION("""COMPUTED_VALUE"""),"Életmód SE")</f>
        <v>Életmód SE</v>
      </c>
      <c r="B920" s="1" t="str">
        <f ca="1">IFERROR(__xludf.DUMMYFUNCTION("""COMPUTED_VALUE"""),"Misák Mónika")</f>
        <v>Misák Mónika</v>
      </c>
      <c r="C920" s="1"/>
      <c r="D920" s="1" t="str">
        <f ca="1">IFERROR(__xludf.DUMMYFUNCTION("""COMPUTED_VALUE"""),"Nő")</f>
        <v>Nő</v>
      </c>
      <c r="E920" s="1"/>
      <c r="F920" s="1">
        <f ca="1">IFERROR(__xludf.DUMMYFUNCTION("""COMPUTED_VALUE"""),1974)</f>
        <v>1974</v>
      </c>
      <c r="G920" s="1">
        <f ca="1">IFERROR(__xludf.DUMMYFUNCTION("""COMPUTED_VALUE"""),4443)</f>
        <v>4443</v>
      </c>
      <c r="H920" s="1" t="str">
        <f ca="1">IFERROR(__xludf.DUMMYFUNCTION("""COMPUTED_VALUE"""),"MTLSZ004443A21")</f>
        <v>MTLSZ004443A21</v>
      </c>
      <c r="I920" s="2">
        <f ca="1">IFERROR(__xludf.DUMMYFUNCTION("""COMPUTED_VALUE"""),44269)</f>
        <v>44269</v>
      </c>
      <c r="J920" s="2">
        <f ca="1">IFERROR(__xludf.DUMMYFUNCTION("""COMPUTED_VALUE"""),44633)</f>
        <v>44633</v>
      </c>
    </row>
    <row r="921" spans="1:10" x14ac:dyDescent="0.25">
      <c r="A921" s="1" t="str">
        <f ca="1">IFERROR(__xludf.DUMMYFUNCTION("""COMPUTED_VALUE"""),"Életmód SE")</f>
        <v>Életmód SE</v>
      </c>
      <c r="B921" s="1" t="str">
        <f ca="1">IFERROR(__xludf.DUMMYFUNCTION("""COMPUTED_VALUE"""),"Pap-Monori Éva")</f>
        <v>Pap-Monori Éva</v>
      </c>
      <c r="C921" s="1"/>
      <c r="D921" s="1" t="str">
        <f ca="1">IFERROR(__xludf.DUMMYFUNCTION("""COMPUTED_VALUE"""),"Nő")</f>
        <v>Nő</v>
      </c>
      <c r="E921" s="1"/>
      <c r="F921" s="1">
        <f ca="1">IFERROR(__xludf.DUMMYFUNCTION("""COMPUTED_VALUE"""),1973)</f>
        <v>1973</v>
      </c>
      <c r="G921" s="1">
        <f ca="1">IFERROR(__xludf.DUMMYFUNCTION("""COMPUTED_VALUE"""),4444)</f>
        <v>4444</v>
      </c>
      <c r="H921" s="1" t="str">
        <f ca="1">IFERROR(__xludf.DUMMYFUNCTION("""COMPUTED_VALUE"""),"MTLSZ004444A21")</f>
        <v>MTLSZ004444A21</v>
      </c>
      <c r="I921" s="2">
        <f ca="1">IFERROR(__xludf.DUMMYFUNCTION("""COMPUTED_VALUE"""),44269)</f>
        <v>44269</v>
      </c>
      <c r="J921" s="2">
        <f ca="1">IFERROR(__xludf.DUMMYFUNCTION("""COMPUTED_VALUE"""),44633)</f>
        <v>44633</v>
      </c>
    </row>
    <row r="922" spans="1:10" x14ac:dyDescent="0.25">
      <c r="A922" s="1" t="str">
        <f ca="1">IFERROR(__xludf.DUMMYFUNCTION("""COMPUTED_VALUE"""),"Életmód SE")</f>
        <v>Életmód SE</v>
      </c>
      <c r="B922" s="1" t="str">
        <f ca="1">IFERROR(__xludf.DUMMYFUNCTION("""COMPUTED_VALUE"""),"Sari Osman")</f>
        <v>Sari Osman</v>
      </c>
      <c r="C922" s="1"/>
      <c r="D922" s="1" t="str">
        <f ca="1">IFERROR(__xludf.DUMMYFUNCTION("""COMPUTED_VALUE"""),"Férfi")</f>
        <v>Férfi</v>
      </c>
      <c r="E922" s="1"/>
      <c r="F922" s="1">
        <f ca="1">IFERROR(__xludf.DUMMYFUNCTION("""COMPUTED_VALUE"""),1966)</f>
        <v>1966</v>
      </c>
      <c r="G922" s="1">
        <f ca="1">IFERROR(__xludf.DUMMYFUNCTION("""COMPUTED_VALUE"""),4442)</f>
        <v>4442</v>
      </c>
      <c r="H922" s="1" t="str">
        <f ca="1">IFERROR(__xludf.DUMMYFUNCTION("""COMPUTED_VALUE"""),"MTLSZ004442A21")</f>
        <v>MTLSZ004442A21</v>
      </c>
      <c r="I922" s="2">
        <f ca="1">IFERROR(__xludf.DUMMYFUNCTION("""COMPUTED_VALUE"""),44269)</f>
        <v>44269</v>
      </c>
      <c r="J922" s="2">
        <f ca="1">IFERROR(__xludf.DUMMYFUNCTION("""COMPUTED_VALUE"""),44633)</f>
        <v>44633</v>
      </c>
    </row>
    <row r="923" spans="1:10" x14ac:dyDescent="0.25">
      <c r="A923" s="1" t="str">
        <f ca="1">IFERROR(__xludf.DUMMYFUNCTION("""COMPUTED_VALUE"""),"Életmód SE")</f>
        <v>Életmód SE</v>
      </c>
      <c r="B923" s="1" t="str">
        <f ca="1">IFERROR(__xludf.DUMMYFUNCTION("""COMPUTED_VALUE"""),"Tóth József")</f>
        <v>Tóth József</v>
      </c>
      <c r="C923" s="1"/>
      <c r="D923" s="1" t="str">
        <f ca="1">IFERROR(__xludf.DUMMYFUNCTION("""COMPUTED_VALUE"""),"Férfi")</f>
        <v>Férfi</v>
      </c>
      <c r="E923" s="1"/>
      <c r="F923" s="1">
        <f ca="1">IFERROR(__xludf.DUMMYFUNCTION("""COMPUTED_VALUE"""),1967)</f>
        <v>1967</v>
      </c>
      <c r="G923" s="1">
        <f ca="1">IFERROR(__xludf.DUMMYFUNCTION("""COMPUTED_VALUE"""),4446)</f>
        <v>4446</v>
      </c>
      <c r="H923" s="1" t="str">
        <f ca="1">IFERROR(__xludf.DUMMYFUNCTION("""COMPUTED_VALUE"""),"MTLSZ004446A21")</f>
        <v>MTLSZ004446A21</v>
      </c>
      <c r="I923" s="2">
        <f ca="1">IFERROR(__xludf.DUMMYFUNCTION("""COMPUTED_VALUE"""),44269)</f>
        <v>44269</v>
      </c>
      <c r="J923" s="2">
        <f ca="1">IFERROR(__xludf.DUMMYFUNCTION("""COMPUTED_VALUE"""),44633)</f>
        <v>44633</v>
      </c>
    </row>
    <row r="924" spans="1:10" x14ac:dyDescent="0.25">
      <c r="A924" s="1" t="str">
        <f ca="1">IFERROR(__xludf.DUMMYFUNCTION("""COMPUTED_VALUE"""),"Életmód SE")</f>
        <v>Életmód SE</v>
      </c>
      <c r="B924" s="1" t="str">
        <f ca="1">IFERROR(__xludf.DUMMYFUNCTION("""COMPUTED_VALUE"""),"Tóth Józsefné")</f>
        <v>Tóth Józsefné</v>
      </c>
      <c r="C924" s="1"/>
      <c r="D924" s="1" t="str">
        <f ca="1">IFERROR(__xludf.DUMMYFUNCTION("""COMPUTED_VALUE"""),"Nő")</f>
        <v>Nő</v>
      </c>
      <c r="E924" s="1"/>
      <c r="F924" s="1">
        <f ca="1">IFERROR(__xludf.DUMMYFUNCTION("""COMPUTED_VALUE"""),1970)</f>
        <v>1970</v>
      </c>
      <c r="G924" s="1">
        <f ca="1">IFERROR(__xludf.DUMMYFUNCTION("""COMPUTED_VALUE"""),4445)</f>
        <v>4445</v>
      </c>
      <c r="H924" s="1" t="str">
        <f ca="1">IFERROR(__xludf.DUMMYFUNCTION("""COMPUTED_VALUE"""),"MTLSZ004445A21")</f>
        <v>MTLSZ004445A21</v>
      </c>
      <c r="I924" s="2">
        <f ca="1">IFERROR(__xludf.DUMMYFUNCTION("""COMPUTED_VALUE"""),44269)</f>
        <v>44269</v>
      </c>
      <c r="J924" s="2">
        <f ca="1">IFERROR(__xludf.DUMMYFUNCTION("""COMPUTED_VALUE"""),44633)</f>
        <v>44633</v>
      </c>
    </row>
    <row r="925" spans="1:10" x14ac:dyDescent="0.25">
      <c r="A925" s="1" t="str">
        <f ca="1">IFERROR(__xludf.DUMMYFUNCTION("""COMPUTED_VALUE"""),"JALTE")</f>
        <v>JALTE</v>
      </c>
      <c r="B925" s="1" t="str">
        <f ca="1">IFERROR(__xludf.DUMMYFUNCTION("""COMPUTED_VALUE"""),"Ancsin Árpád")</f>
        <v>Ancsin Árpád</v>
      </c>
      <c r="C925" s="1"/>
      <c r="D925" s="1" t="str">
        <f ca="1">IFERROR(__xludf.DUMMYFUNCTION("""COMPUTED_VALUE"""),"Férfi")</f>
        <v>Férfi</v>
      </c>
      <c r="E925" s="1"/>
      <c r="F925" s="1">
        <f ca="1">IFERROR(__xludf.DUMMYFUNCTION("""COMPUTED_VALUE"""),1971)</f>
        <v>1971</v>
      </c>
      <c r="G925" s="1">
        <f ca="1">IFERROR(__xludf.DUMMYFUNCTION("""COMPUTED_VALUE"""),3190)</f>
        <v>3190</v>
      </c>
      <c r="H925" s="1" t="str">
        <f ca="1">IFERROR(__xludf.DUMMYFUNCTION("""COMPUTED_VALUE"""),"MTLSZ003190A21")</f>
        <v>MTLSZ003190A21</v>
      </c>
      <c r="I925" s="2">
        <f ca="1">IFERROR(__xludf.DUMMYFUNCTION("""COMPUTED_VALUE"""),44269)</f>
        <v>44269</v>
      </c>
      <c r="J925" s="2">
        <f ca="1">IFERROR(__xludf.DUMMYFUNCTION("""COMPUTED_VALUE"""),44633)</f>
        <v>44633</v>
      </c>
    </row>
    <row r="926" spans="1:10" x14ac:dyDescent="0.25">
      <c r="A926" s="1" t="str">
        <f ca="1">IFERROR(__xludf.DUMMYFUNCTION("""COMPUTED_VALUE"""),"JALTE")</f>
        <v>JALTE</v>
      </c>
      <c r="B926" s="1" t="str">
        <f ca="1">IFERROR(__xludf.DUMMYFUNCTION("""COMPUTED_VALUE"""),"Gulyás Péter")</f>
        <v>Gulyás Péter</v>
      </c>
      <c r="C926" s="1"/>
      <c r="D926" s="1" t="str">
        <f ca="1">IFERROR(__xludf.DUMMYFUNCTION("""COMPUTED_VALUE"""),"Férfi")</f>
        <v>Férfi</v>
      </c>
      <c r="E926" s="1"/>
      <c r="F926" s="1">
        <f ca="1">IFERROR(__xludf.DUMMYFUNCTION("""COMPUTED_VALUE"""),2002)</f>
        <v>2002</v>
      </c>
      <c r="G926" s="1">
        <f ca="1">IFERROR(__xludf.DUMMYFUNCTION("""COMPUTED_VALUE"""),2963)</f>
        <v>2963</v>
      </c>
      <c r="H926" s="1" t="str">
        <f ca="1">IFERROR(__xludf.DUMMYFUNCTION("""COMPUTED_VALUE"""),"MTLSZ002963A21")</f>
        <v>MTLSZ002963A21</v>
      </c>
      <c r="I926" s="2">
        <f ca="1">IFERROR(__xludf.DUMMYFUNCTION("""COMPUTED_VALUE"""),44269)</f>
        <v>44269</v>
      </c>
      <c r="J926" s="2">
        <f ca="1">IFERROR(__xludf.DUMMYFUNCTION("""COMPUTED_VALUE"""),44633)</f>
        <v>44633</v>
      </c>
    </row>
    <row r="927" spans="1:10" x14ac:dyDescent="0.25">
      <c r="A927" s="1" t="str">
        <f ca="1">IFERROR(__xludf.DUMMYFUNCTION("""COMPUTED_VALUE"""),"Klébi DSE")</f>
        <v>Klébi DSE</v>
      </c>
      <c r="B927" s="1" t="str">
        <f ca="1">IFERROR(__xludf.DUMMYFUNCTION("""COMPUTED_VALUE"""),"Csuka Gábor")</f>
        <v>Csuka Gábor</v>
      </c>
      <c r="C927" s="1"/>
      <c r="D927" s="1" t="str">
        <f ca="1">IFERROR(__xludf.DUMMYFUNCTION("""COMPUTED_VALUE"""),"Férfi")</f>
        <v>Férfi</v>
      </c>
      <c r="E927" s="1"/>
      <c r="F927" s="1">
        <f ca="1">IFERROR(__xludf.DUMMYFUNCTION("""COMPUTED_VALUE"""),1955)</f>
        <v>1955</v>
      </c>
      <c r="G927" s="1">
        <f ca="1">IFERROR(__xludf.DUMMYFUNCTION("""COMPUTED_VALUE"""),4451)</f>
        <v>4451</v>
      </c>
      <c r="H927" s="1" t="str">
        <f ca="1">IFERROR(__xludf.DUMMYFUNCTION("""COMPUTED_VALUE"""),"MTLSZ004451A21")</f>
        <v>MTLSZ004451A21</v>
      </c>
      <c r="I927" s="2">
        <f ca="1">IFERROR(__xludf.DUMMYFUNCTION("""COMPUTED_VALUE"""),44269)</f>
        <v>44269</v>
      </c>
      <c r="J927" s="2">
        <f ca="1">IFERROR(__xludf.DUMMYFUNCTION("""COMPUTED_VALUE"""),44633)</f>
        <v>44633</v>
      </c>
    </row>
    <row r="928" spans="1:10" x14ac:dyDescent="0.25">
      <c r="A928" s="1" t="str">
        <f ca="1">IFERROR(__xludf.DUMMYFUNCTION("""COMPUTED_VALUE"""),"Klébi DSE")</f>
        <v>Klébi DSE</v>
      </c>
      <c r="B928" s="1" t="str">
        <f ca="1">IFERROR(__xludf.DUMMYFUNCTION("""COMPUTED_VALUE"""),"Herdlicska Róbert")</f>
        <v>Herdlicska Róbert</v>
      </c>
      <c r="C928" s="1"/>
      <c r="D928" s="1" t="str">
        <f ca="1">IFERROR(__xludf.DUMMYFUNCTION("""COMPUTED_VALUE"""),"Férfi")</f>
        <v>Férfi</v>
      </c>
      <c r="E928" s="1"/>
      <c r="F928" s="1">
        <f ca="1">IFERROR(__xludf.DUMMYFUNCTION("""COMPUTED_VALUE"""),1987)</f>
        <v>1987</v>
      </c>
      <c r="G928" s="1">
        <f ca="1">IFERROR(__xludf.DUMMYFUNCTION("""COMPUTED_VALUE"""),1273)</f>
        <v>1273</v>
      </c>
      <c r="H928" s="1" t="str">
        <f ca="1">IFERROR(__xludf.DUMMYFUNCTION("""COMPUTED_VALUE"""),"MTLSZ001273A21")</f>
        <v>MTLSZ001273A21</v>
      </c>
      <c r="I928" s="2">
        <f ca="1">IFERROR(__xludf.DUMMYFUNCTION("""COMPUTED_VALUE"""),44269)</f>
        <v>44269</v>
      </c>
      <c r="J928" s="2">
        <f ca="1">IFERROR(__xludf.DUMMYFUNCTION("""COMPUTED_VALUE"""),44633)</f>
        <v>44633</v>
      </c>
    </row>
    <row r="929" spans="1:10" x14ac:dyDescent="0.25">
      <c r="A929" s="1" t="str">
        <f ca="1">IFERROR(__xludf.DUMMYFUNCTION("""COMPUTED_VALUE"""),"Klébi DSE")</f>
        <v>Klébi DSE</v>
      </c>
      <c r="B929" s="1" t="str">
        <f ca="1">IFERROR(__xludf.DUMMYFUNCTION("""COMPUTED_VALUE"""),"Vargha Borbála")</f>
        <v>Vargha Borbála</v>
      </c>
      <c r="C929" s="1"/>
      <c r="D929" s="1" t="str">
        <f ca="1">IFERROR(__xludf.DUMMYFUNCTION("""COMPUTED_VALUE"""),"Nő")</f>
        <v>Nő</v>
      </c>
      <c r="E929" s="1"/>
      <c r="F929" s="1">
        <f ca="1">IFERROR(__xludf.DUMMYFUNCTION("""COMPUTED_VALUE"""),2009)</f>
        <v>2009</v>
      </c>
      <c r="G929" s="1">
        <f ca="1">IFERROR(__xludf.DUMMYFUNCTION("""COMPUTED_VALUE"""),4453)</f>
        <v>4453</v>
      </c>
      <c r="H929" s="1" t="str">
        <f ca="1">IFERROR(__xludf.DUMMYFUNCTION("""COMPUTED_VALUE"""),"MTLSZ004453A21")</f>
        <v>MTLSZ004453A21</v>
      </c>
      <c r="I929" s="2">
        <f ca="1">IFERROR(__xludf.DUMMYFUNCTION("""COMPUTED_VALUE"""),44269)</f>
        <v>44269</v>
      </c>
      <c r="J929" s="2">
        <f ca="1">IFERROR(__xludf.DUMMYFUNCTION("""COMPUTED_VALUE"""),44633)</f>
        <v>44633</v>
      </c>
    </row>
    <row r="930" spans="1:10" x14ac:dyDescent="0.25">
      <c r="A930" s="1" t="str">
        <f ca="1">IFERROR(__xludf.DUMMYFUNCTION("""COMPUTED_VALUE"""),"Klébi DSE")</f>
        <v>Klébi DSE</v>
      </c>
      <c r="B930" s="1"/>
      <c r="C930" s="1"/>
      <c r="D930" s="1"/>
      <c r="E930" s="1"/>
      <c r="F930" s="1">
        <f ca="1">IFERROR(__xludf.DUMMYFUNCTION("""COMPUTED_VALUE"""),1899)</f>
        <v>1899</v>
      </c>
      <c r="G930" s="1">
        <f ca="1">IFERROR(__xludf.DUMMYFUNCTION("""COMPUTED_VALUE"""),4454)</f>
        <v>4454</v>
      </c>
      <c r="H930" s="1"/>
      <c r="I930" s="2">
        <f ca="1">IFERROR(__xludf.DUMMYFUNCTION("""COMPUTED_VALUE"""),44269)</f>
        <v>44269</v>
      </c>
      <c r="J930" s="2">
        <f ca="1">IFERROR(__xludf.DUMMYFUNCTION("""COMPUTED_VALUE"""),44633)</f>
        <v>44633</v>
      </c>
    </row>
    <row r="931" spans="1:10" x14ac:dyDescent="0.25">
      <c r="A931" s="1" t="str">
        <f ca="1">IFERROR(__xludf.DUMMYFUNCTION("""COMPUTED_VALUE"""),"KörösTSE")</f>
        <v>KörösTSE</v>
      </c>
      <c r="B931" s="1" t="str">
        <f ca="1">IFERROR(__xludf.DUMMYFUNCTION("""COMPUTED_VALUE"""),"Deli Róbert")</f>
        <v>Deli Róbert</v>
      </c>
      <c r="C931" s="1"/>
      <c r="D931" s="1" t="str">
        <f ca="1">IFERROR(__xludf.DUMMYFUNCTION("""COMPUTED_VALUE"""),"Férfi")</f>
        <v>Férfi</v>
      </c>
      <c r="E931" s="1"/>
      <c r="F931" s="1">
        <f ca="1">IFERROR(__xludf.DUMMYFUNCTION("""COMPUTED_VALUE"""),1989)</f>
        <v>1989</v>
      </c>
      <c r="G931" s="1">
        <f ca="1">IFERROR(__xludf.DUMMYFUNCTION("""COMPUTED_VALUE"""),4475)</f>
        <v>4475</v>
      </c>
      <c r="H931" s="1" t="str">
        <f ca="1">IFERROR(__xludf.DUMMYFUNCTION("""COMPUTED_VALUE"""),"MTLSZ004475A21")</f>
        <v>MTLSZ004475A21</v>
      </c>
      <c r="I931" s="2">
        <f ca="1">IFERROR(__xludf.DUMMYFUNCTION("""COMPUTED_VALUE"""),44269)</f>
        <v>44269</v>
      </c>
      <c r="J931" s="2">
        <f ca="1">IFERROR(__xludf.DUMMYFUNCTION("""COMPUTED_VALUE"""),44633)</f>
        <v>44633</v>
      </c>
    </row>
    <row r="932" spans="1:10" x14ac:dyDescent="0.25">
      <c r="A932" s="1" t="str">
        <f ca="1">IFERROR(__xludf.DUMMYFUNCTION("""COMPUTED_VALUE"""),"KörösTSE")</f>
        <v>KörösTSE</v>
      </c>
      <c r="B932" s="1" t="str">
        <f ca="1">IFERROR(__xludf.DUMMYFUNCTION("""COMPUTED_VALUE"""),"Fábián Ágnes Dr.")</f>
        <v>Fábián Ágnes Dr.</v>
      </c>
      <c r="C932" s="1"/>
      <c r="D932" s="1" t="str">
        <f ca="1">IFERROR(__xludf.DUMMYFUNCTION("""COMPUTED_VALUE"""),"Nő")</f>
        <v>Nő</v>
      </c>
      <c r="E932" s="1"/>
      <c r="F932" s="1">
        <f ca="1">IFERROR(__xludf.DUMMYFUNCTION("""COMPUTED_VALUE"""),1956)</f>
        <v>1956</v>
      </c>
      <c r="G932" s="1">
        <f ca="1">IFERROR(__xludf.DUMMYFUNCTION("""COMPUTED_VALUE"""),4482)</f>
        <v>4482</v>
      </c>
      <c r="H932" s="1" t="str">
        <f ca="1">IFERROR(__xludf.DUMMYFUNCTION("""COMPUTED_VALUE"""),"MTLSZ004482A21")</f>
        <v>MTLSZ004482A21</v>
      </c>
      <c r="I932" s="2">
        <f ca="1">IFERROR(__xludf.DUMMYFUNCTION("""COMPUTED_VALUE"""),44269)</f>
        <v>44269</v>
      </c>
      <c r="J932" s="2">
        <f ca="1">IFERROR(__xludf.DUMMYFUNCTION("""COMPUTED_VALUE"""),44633)</f>
        <v>44633</v>
      </c>
    </row>
    <row r="933" spans="1:10" x14ac:dyDescent="0.25">
      <c r="A933" s="1" t="str">
        <f ca="1">IFERROR(__xludf.DUMMYFUNCTION("""COMPUTED_VALUE"""),"KörösTSE")</f>
        <v>KörösTSE</v>
      </c>
      <c r="B933" s="1" t="str">
        <f ca="1">IFERROR(__xludf.DUMMYFUNCTION("""COMPUTED_VALUE"""),"Farkas Katalin")</f>
        <v>Farkas Katalin</v>
      </c>
      <c r="C933" s="1"/>
      <c r="D933" s="1" t="str">
        <f ca="1">IFERROR(__xludf.DUMMYFUNCTION("""COMPUTED_VALUE"""),"Nő")</f>
        <v>Nő</v>
      </c>
      <c r="E933" s="1"/>
      <c r="F933" s="1">
        <f ca="1">IFERROR(__xludf.DUMMYFUNCTION("""COMPUTED_VALUE"""),1959)</f>
        <v>1959</v>
      </c>
      <c r="G933" s="1">
        <f ca="1">IFERROR(__xludf.DUMMYFUNCTION("""COMPUTED_VALUE"""),4479)</f>
        <v>4479</v>
      </c>
      <c r="H933" s="1" t="str">
        <f ca="1">IFERROR(__xludf.DUMMYFUNCTION("""COMPUTED_VALUE"""),"MTLSZ004479A21")</f>
        <v>MTLSZ004479A21</v>
      </c>
      <c r="I933" s="2">
        <f ca="1">IFERROR(__xludf.DUMMYFUNCTION("""COMPUTED_VALUE"""),44269)</f>
        <v>44269</v>
      </c>
      <c r="J933" s="2">
        <f ca="1">IFERROR(__xludf.DUMMYFUNCTION("""COMPUTED_VALUE"""),44633)</f>
        <v>44633</v>
      </c>
    </row>
    <row r="934" spans="1:10" x14ac:dyDescent="0.25">
      <c r="A934" s="1" t="str">
        <f ca="1">IFERROR(__xludf.DUMMYFUNCTION("""COMPUTED_VALUE"""),"KörösTSE")</f>
        <v>KörösTSE</v>
      </c>
      <c r="B934" s="1" t="str">
        <f ca="1">IFERROR(__xludf.DUMMYFUNCTION("""COMPUTED_VALUE"""),"Kotroczó Melitta")</f>
        <v>Kotroczó Melitta</v>
      </c>
      <c r="C934" s="1"/>
      <c r="D934" s="1" t="str">
        <f ca="1">IFERROR(__xludf.DUMMYFUNCTION("""COMPUTED_VALUE"""),"Nő")</f>
        <v>Nő</v>
      </c>
      <c r="E934" s="1"/>
      <c r="F934" s="1">
        <f ca="1">IFERROR(__xludf.DUMMYFUNCTION("""COMPUTED_VALUE"""),1981)</f>
        <v>1981</v>
      </c>
      <c r="G934" s="1">
        <f ca="1">IFERROR(__xludf.DUMMYFUNCTION("""COMPUTED_VALUE"""),4483)</f>
        <v>4483</v>
      </c>
      <c r="H934" s="1" t="str">
        <f ca="1">IFERROR(__xludf.DUMMYFUNCTION("""COMPUTED_VALUE"""),"MTLSZ004483A21")</f>
        <v>MTLSZ004483A21</v>
      </c>
      <c r="I934" s="2">
        <f ca="1">IFERROR(__xludf.DUMMYFUNCTION("""COMPUTED_VALUE"""),44269)</f>
        <v>44269</v>
      </c>
      <c r="J934" s="2">
        <f ca="1">IFERROR(__xludf.DUMMYFUNCTION("""COMPUTED_VALUE"""),44633)</f>
        <v>44633</v>
      </c>
    </row>
    <row r="935" spans="1:10" x14ac:dyDescent="0.25">
      <c r="A935" s="1" t="str">
        <f ca="1">IFERROR(__xludf.DUMMYFUNCTION("""COMPUTED_VALUE"""),"KörösTSE")</f>
        <v>KörösTSE</v>
      </c>
      <c r="B935" s="1" t="str">
        <f ca="1">IFERROR(__xludf.DUMMYFUNCTION("""COMPUTED_VALUE"""),"Mitykó Lászlóné")</f>
        <v>Mitykó Lászlóné</v>
      </c>
      <c r="C935" s="1"/>
      <c r="D935" s="1" t="str">
        <f ca="1">IFERROR(__xludf.DUMMYFUNCTION("""COMPUTED_VALUE"""),"Nő")</f>
        <v>Nő</v>
      </c>
      <c r="E935" s="1"/>
      <c r="F935" s="1">
        <f ca="1">IFERROR(__xludf.DUMMYFUNCTION("""COMPUTED_VALUE"""),1950)</f>
        <v>1950</v>
      </c>
      <c r="G935" s="1">
        <f ca="1">IFERROR(__xludf.DUMMYFUNCTION("""COMPUTED_VALUE"""),4476)</f>
        <v>4476</v>
      </c>
      <c r="H935" s="1" t="str">
        <f ca="1">IFERROR(__xludf.DUMMYFUNCTION("""COMPUTED_VALUE"""),"MTLSZ004476A21")</f>
        <v>MTLSZ004476A21</v>
      </c>
      <c r="I935" s="2">
        <f ca="1">IFERROR(__xludf.DUMMYFUNCTION("""COMPUTED_VALUE"""),44269)</f>
        <v>44269</v>
      </c>
      <c r="J935" s="2">
        <f ca="1">IFERROR(__xludf.DUMMYFUNCTION("""COMPUTED_VALUE"""),44633)</f>
        <v>44633</v>
      </c>
    </row>
    <row r="936" spans="1:10" x14ac:dyDescent="0.25">
      <c r="A936" s="1" t="str">
        <f ca="1">IFERROR(__xludf.DUMMYFUNCTION("""COMPUTED_VALUE"""),"KörösTSE")</f>
        <v>KörösTSE</v>
      </c>
      <c r="B936" s="1" t="str">
        <f ca="1">IFERROR(__xludf.DUMMYFUNCTION("""COMPUTED_VALUE"""),"Mladonyiczki Tibor")</f>
        <v>Mladonyiczki Tibor</v>
      </c>
      <c r="C936" s="1"/>
      <c r="D936" s="1" t="str">
        <f ca="1">IFERROR(__xludf.DUMMYFUNCTION("""COMPUTED_VALUE"""),"Férfi")</f>
        <v>Férfi</v>
      </c>
      <c r="E936" s="1"/>
      <c r="F936" s="1">
        <f ca="1">IFERROR(__xludf.DUMMYFUNCTION("""COMPUTED_VALUE"""),1971)</f>
        <v>1971</v>
      </c>
      <c r="G936" s="1">
        <f ca="1">IFERROR(__xludf.DUMMYFUNCTION("""COMPUTED_VALUE"""),4474)</f>
        <v>4474</v>
      </c>
      <c r="H936" s="1" t="str">
        <f ca="1">IFERROR(__xludf.DUMMYFUNCTION("""COMPUTED_VALUE"""),"MTLSZ004474A21")</f>
        <v>MTLSZ004474A21</v>
      </c>
      <c r="I936" s="2">
        <f ca="1">IFERROR(__xludf.DUMMYFUNCTION("""COMPUTED_VALUE"""),44269)</f>
        <v>44269</v>
      </c>
      <c r="J936" s="2">
        <f ca="1">IFERROR(__xludf.DUMMYFUNCTION("""COMPUTED_VALUE"""),44633)</f>
        <v>44633</v>
      </c>
    </row>
    <row r="937" spans="1:10" x14ac:dyDescent="0.25">
      <c r="A937" s="1" t="str">
        <f ca="1">IFERROR(__xludf.DUMMYFUNCTION("""COMPUTED_VALUE"""),"KörösTSE")</f>
        <v>KörösTSE</v>
      </c>
      <c r="B937" s="1" t="str">
        <f ca="1">IFERROR(__xludf.DUMMYFUNCTION("""COMPUTED_VALUE"""),"Ramasz András")</f>
        <v>Ramasz András</v>
      </c>
      <c r="C937" s="1"/>
      <c r="D937" s="1" t="str">
        <f ca="1">IFERROR(__xludf.DUMMYFUNCTION("""COMPUTED_VALUE"""),"Férfi")</f>
        <v>Férfi</v>
      </c>
      <c r="E937" s="1"/>
      <c r="F937" s="1">
        <f ca="1">IFERROR(__xludf.DUMMYFUNCTION("""COMPUTED_VALUE"""),1978)</f>
        <v>1978</v>
      </c>
      <c r="G937" s="1">
        <f ca="1">IFERROR(__xludf.DUMMYFUNCTION("""COMPUTED_VALUE"""),4480)</f>
        <v>4480</v>
      </c>
      <c r="H937" s="1" t="str">
        <f ca="1">IFERROR(__xludf.DUMMYFUNCTION("""COMPUTED_VALUE"""),"MTLSZ004480A21")</f>
        <v>MTLSZ004480A21</v>
      </c>
      <c r="I937" s="2">
        <f ca="1">IFERROR(__xludf.DUMMYFUNCTION("""COMPUTED_VALUE"""),44269)</f>
        <v>44269</v>
      </c>
      <c r="J937" s="2">
        <f ca="1">IFERROR(__xludf.DUMMYFUNCTION("""COMPUTED_VALUE"""),44633)</f>
        <v>44633</v>
      </c>
    </row>
    <row r="938" spans="1:10" x14ac:dyDescent="0.25">
      <c r="A938" s="1" t="str">
        <f ca="1">IFERROR(__xludf.DUMMYFUNCTION("""COMPUTED_VALUE"""),"KörösTSE")</f>
        <v>KörösTSE</v>
      </c>
      <c r="B938" s="1" t="str">
        <f ca="1">IFERROR(__xludf.DUMMYFUNCTION("""COMPUTED_VALUE"""),"Sajben János")</f>
        <v>Sajben János</v>
      </c>
      <c r="C938" s="1"/>
      <c r="D938" s="1" t="str">
        <f ca="1">IFERROR(__xludf.DUMMYFUNCTION("""COMPUTED_VALUE"""),"Férfi")</f>
        <v>Férfi</v>
      </c>
      <c r="E938" s="1"/>
      <c r="F938" s="1">
        <f ca="1">IFERROR(__xludf.DUMMYFUNCTION("""COMPUTED_VALUE"""),1959)</f>
        <v>1959</v>
      </c>
      <c r="G938" s="1">
        <f ca="1">IFERROR(__xludf.DUMMYFUNCTION("""COMPUTED_VALUE"""),4471)</f>
        <v>4471</v>
      </c>
      <c r="H938" s="1" t="str">
        <f ca="1">IFERROR(__xludf.DUMMYFUNCTION("""COMPUTED_VALUE"""),"MTLSZ004471A21")</f>
        <v>MTLSZ004471A21</v>
      </c>
      <c r="I938" s="2">
        <f ca="1">IFERROR(__xludf.DUMMYFUNCTION("""COMPUTED_VALUE"""),44269)</f>
        <v>44269</v>
      </c>
      <c r="J938" s="2">
        <f ca="1">IFERROR(__xludf.DUMMYFUNCTION("""COMPUTED_VALUE"""),44633)</f>
        <v>44633</v>
      </c>
    </row>
    <row r="939" spans="1:10" x14ac:dyDescent="0.25">
      <c r="A939" s="1" t="str">
        <f ca="1">IFERROR(__xludf.DUMMYFUNCTION("""COMPUTED_VALUE"""),"KörösTSE")</f>
        <v>KörösTSE</v>
      </c>
      <c r="B939" s="1" t="str">
        <f ca="1">IFERROR(__xludf.DUMMYFUNCTION("""COMPUTED_VALUE"""),"Szikora Károly")</f>
        <v>Szikora Károly</v>
      </c>
      <c r="C939" s="1"/>
      <c r="D939" s="1" t="str">
        <f ca="1">IFERROR(__xludf.DUMMYFUNCTION("""COMPUTED_VALUE"""),"Férfi")</f>
        <v>Férfi</v>
      </c>
      <c r="E939" s="1"/>
      <c r="F939" s="1">
        <f ca="1">IFERROR(__xludf.DUMMYFUNCTION("""COMPUTED_VALUE"""),1960)</f>
        <v>1960</v>
      </c>
      <c r="G939" s="1">
        <f ca="1">IFERROR(__xludf.DUMMYFUNCTION("""COMPUTED_VALUE"""),4470)</f>
        <v>4470</v>
      </c>
      <c r="H939" s="1" t="str">
        <f ca="1">IFERROR(__xludf.DUMMYFUNCTION("""COMPUTED_VALUE"""),"MTLSZ004470A21")</f>
        <v>MTLSZ004470A21</v>
      </c>
      <c r="I939" s="2">
        <f ca="1">IFERROR(__xludf.DUMMYFUNCTION("""COMPUTED_VALUE"""),44269)</f>
        <v>44269</v>
      </c>
      <c r="J939" s="2">
        <f ca="1">IFERROR(__xludf.DUMMYFUNCTION("""COMPUTED_VALUE"""),44633)</f>
        <v>44633</v>
      </c>
    </row>
    <row r="940" spans="1:10" x14ac:dyDescent="0.25">
      <c r="A940" s="1" t="str">
        <f ca="1">IFERROR(__xludf.DUMMYFUNCTION("""COMPUTED_VALUE"""),"KörösTSE")</f>
        <v>KörösTSE</v>
      </c>
      <c r="B940" s="1" t="str">
        <f ca="1">IFERROR(__xludf.DUMMYFUNCTION("""COMPUTED_VALUE"""),"Tószögi György Tamás")</f>
        <v>Tószögi György Tamás</v>
      </c>
      <c r="C940" s="1"/>
      <c r="D940" s="1" t="str">
        <f ca="1">IFERROR(__xludf.DUMMYFUNCTION("""COMPUTED_VALUE"""),"Férfi")</f>
        <v>Férfi</v>
      </c>
      <c r="E940" s="1"/>
      <c r="F940" s="1">
        <f ca="1">IFERROR(__xludf.DUMMYFUNCTION("""COMPUTED_VALUE"""),1974)</f>
        <v>1974</v>
      </c>
      <c r="G940" s="1">
        <f ca="1">IFERROR(__xludf.DUMMYFUNCTION("""COMPUTED_VALUE"""),3189)</f>
        <v>3189</v>
      </c>
      <c r="H940" s="1" t="str">
        <f ca="1">IFERROR(__xludf.DUMMYFUNCTION("""COMPUTED_VALUE"""),"MTLSZ003189A21")</f>
        <v>MTLSZ003189A21</v>
      </c>
      <c r="I940" s="2">
        <f ca="1">IFERROR(__xludf.DUMMYFUNCTION("""COMPUTED_VALUE"""),44269)</f>
        <v>44269</v>
      </c>
      <c r="J940" s="2">
        <f ca="1">IFERROR(__xludf.DUMMYFUNCTION("""COMPUTED_VALUE"""),44633)</f>
        <v>44633</v>
      </c>
    </row>
    <row r="941" spans="1:10" x14ac:dyDescent="0.25">
      <c r="A941" s="1" t="str">
        <f ca="1">IFERROR(__xludf.DUMMYFUNCTION("""COMPUTED_VALUE"""),"KörösTSE")</f>
        <v>KörösTSE</v>
      </c>
      <c r="B941" s="1" t="str">
        <f ca="1">IFERROR(__xludf.DUMMYFUNCTION("""COMPUTED_VALUE"""),"Zelenyánszki Miklós")</f>
        <v>Zelenyánszki Miklós</v>
      </c>
      <c r="C941" s="1"/>
      <c r="D941" s="1" t="str">
        <f ca="1">IFERROR(__xludf.DUMMYFUNCTION("""COMPUTED_VALUE"""),"Férfi")</f>
        <v>Férfi</v>
      </c>
      <c r="E941" s="1"/>
      <c r="F941" s="1">
        <f ca="1">IFERROR(__xludf.DUMMYFUNCTION("""COMPUTED_VALUE"""),1955)</f>
        <v>1955</v>
      </c>
      <c r="G941" s="1">
        <f ca="1">IFERROR(__xludf.DUMMYFUNCTION("""COMPUTED_VALUE"""),4481)</f>
        <v>4481</v>
      </c>
      <c r="H941" s="1" t="str">
        <f ca="1">IFERROR(__xludf.DUMMYFUNCTION("""COMPUTED_VALUE"""),"MTLSZ004481A21")</f>
        <v>MTLSZ004481A21</v>
      </c>
      <c r="I941" s="2">
        <f ca="1">IFERROR(__xludf.DUMMYFUNCTION("""COMPUTED_VALUE"""),44269)</f>
        <v>44269</v>
      </c>
      <c r="J941" s="2">
        <f ca="1">IFERROR(__xludf.DUMMYFUNCTION("""COMPUTED_VALUE"""),44633)</f>
        <v>44633</v>
      </c>
    </row>
    <row r="942" spans="1:10" x14ac:dyDescent="0.25">
      <c r="A942" s="1" t="str">
        <f ca="1">IFERROR(__xludf.DUMMYFUNCTION("""COMPUTED_VALUE"""),"KörösTSE")</f>
        <v>KörösTSE</v>
      </c>
      <c r="B942" s="1" t="str">
        <f ca="1">IFERROR(__xludf.DUMMYFUNCTION("""COMPUTED_VALUE"""),"Zelenyánszki Tamás")</f>
        <v>Zelenyánszki Tamás</v>
      </c>
      <c r="C942" s="1"/>
      <c r="D942" s="1" t="str">
        <f ca="1">IFERROR(__xludf.DUMMYFUNCTION("""COMPUTED_VALUE"""),"Férfi")</f>
        <v>Férfi</v>
      </c>
      <c r="E942" s="1"/>
      <c r="F942" s="1">
        <f ca="1">IFERROR(__xludf.DUMMYFUNCTION("""COMPUTED_VALUE"""),1988)</f>
        <v>1988</v>
      </c>
      <c r="G942" s="1">
        <f ca="1">IFERROR(__xludf.DUMMYFUNCTION("""COMPUTED_VALUE"""),4478)</f>
        <v>4478</v>
      </c>
      <c r="H942" s="1" t="str">
        <f ca="1">IFERROR(__xludf.DUMMYFUNCTION("""COMPUTED_VALUE"""),"MTLSZ004478A21")</f>
        <v>MTLSZ004478A21</v>
      </c>
      <c r="I942" s="2">
        <f ca="1">IFERROR(__xludf.DUMMYFUNCTION("""COMPUTED_VALUE"""),44269)</f>
        <v>44269</v>
      </c>
      <c r="J942" s="2">
        <f ca="1">IFERROR(__xludf.DUMMYFUNCTION("""COMPUTED_VALUE"""),44633)</f>
        <v>44633</v>
      </c>
    </row>
    <row r="943" spans="1:10" x14ac:dyDescent="0.25">
      <c r="A943" s="1" t="str">
        <f ca="1">IFERROR(__xludf.DUMMYFUNCTION("""COMPUTED_VALUE"""),"KörösTSE")</f>
        <v>KörösTSE</v>
      </c>
      <c r="B943" s="1" t="str">
        <f ca="1">IFERROR(__xludf.DUMMYFUNCTION("""COMPUTED_VALUE"""),"Zöld Imre")</f>
        <v>Zöld Imre</v>
      </c>
      <c r="C943" s="1"/>
      <c r="D943" s="1" t="str">
        <f ca="1">IFERROR(__xludf.DUMMYFUNCTION("""COMPUTED_VALUE"""),"Férfi")</f>
        <v>Férfi</v>
      </c>
      <c r="E943" s="1"/>
      <c r="F943" s="1">
        <f ca="1">IFERROR(__xludf.DUMMYFUNCTION("""COMPUTED_VALUE"""),1979)</f>
        <v>1979</v>
      </c>
      <c r="G943" s="1">
        <f ca="1">IFERROR(__xludf.DUMMYFUNCTION("""COMPUTED_VALUE"""),4477)</f>
        <v>4477</v>
      </c>
      <c r="H943" s="1" t="str">
        <f ca="1">IFERROR(__xludf.DUMMYFUNCTION("""COMPUTED_VALUE"""),"MTLSZ004477A21")</f>
        <v>MTLSZ004477A21</v>
      </c>
      <c r="I943" s="2">
        <f ca="1">IFERROR(__xludf.DUMMYFUNCTION("""COMPUTED_VALUE"""),44269)</f>
        <v>44269</v>
      </c>
      <c r="J943" s="2">
        <f ca="1">IFERROR(__xludf.DUMMYFUNCTION("""COMPUTED_VALUE"""),44633)</f>
        <v>44633</v>
      </c>
    </row>
    <row r="944" spans="1:10" x14ac:dyDescent="0.25">
      <c r="A944" s="1" t="str">
        <f ca="1">IFERROR(__xludf.DUMMYFUNCTION("""COMPUTED_VALUE"""),"KörösTSE")</f>
        <v>KörösTSE</v>
      </c>
      <c r="B944" s="1"/>
      <c r="C944" s="1"/>
      <c r="D944" s="1"/>
      <c r="E944" s="1"/>
      <c r="F944" s="1">
        <f ca="1">IFERROR(__xludf.DUMMYFUNCTION("""COMPUTED_VALUE"""),1899)</f>
        <v>1899</v>
      </c>
      <c r="G944" s="1">
        <f ca="1">IFERROR(__xludf.DUMMYFUNCTION("""COMPUTED_VALUE"""),4472)</f>
        <v>4472</v>
      </c>
      <c r="H944" s="1"/>
      <c r="I944" s="2">
        <f ca="1">IFERROR(__xludf.DUMMYFUNCTION("""COMPUTED_VALUE"""),44269)</f>
        <v>44269</v>
      </c>
      <c r="J944" s="2">
        <f ca="1">IFERROR(__xludf.DUMMYFUNCTION("""COMPUTED_VALUE"""),44633)</f>
        <v>44633</v>
      </c>
    </row>
    <row r="945" spans="1:10" x14ac:dyDescent="0.25">
      <c r="A945" s="1" t="str">
        <f ca="1">IFERROR(__xludf.DUMMYFUNCTION("""COMPUTED_VALUE"""),"KörösTSE")</f>
        <v>KörösTSE</v>
      </c>
      <c r="B945" s="1"/>
      <c r="C945" s="1"/>
      <c r="D945" s="1"/>
      <c r="E945" s="1"/>
      <c r="F945" s="1">
        <f ca="1">IFERROR(__xludf.DUMMYFUNCTION("""COMPUTED_VALUE"""),1899)</f>
        <v>1899</v>
      </c>
      <c r="G945" s="1">
        <f ca="1">IFERROR(__xludf.DUMMYFUNCTION("""COMPUTED_VALUE"""),4473)</f>
        <v>4473</v>
      </c>
      <c r="H945" s="1"/>
      <c r="I945" s="2">
        <f ca="1">IFERROR(__xludf.DUMMYFUNCTION("""COMPUTED_VALUE"""),44269)</f>
        <v>44269</v>
      </c>
      <c r="J945" s="2">
        <f ca="1">IFERROR(__xludf.DUMMYFUNCTION("""COMPUTED_VALUE"""),44633)</f>
        <v>44633</v>
      </c>
    </row>
    <row r="946" spans="1:10" x14ac:dyDescent="0.25">
      <c r="A946" s="1" t="str">
        <f ca="1">IFERROR(__xludf.DUMMYFUNCTION("""COMPUTED_VALUE"""),"Ludovika SE")</f>
        <v>Ludovika SE</v>
      </c>
      <c r="B946" s="1" t="str">
        <f ca="1">IFERROR(__xludf.DUMMYFUNCTION("""COMPUTED_VALUE"""),"Flachner Péter")</f>
        <v>Flachner Péter</v>
      </c>
      <c r="C946" s="1"/>
      <c r="D946" s="1" t="str">
        <f ca="1">IFERROR(__xludf.DUMMYFUNCTION("""COMPUTED_VALUE"""),"Férfi")</f>
        <v>Férfi</v>
      </c>
      <c r="E946" s="1"/>
      <c r="F946" s="1">
        <f ca="1">IFERROR(__xludf.DUMMYFUNCTION("""COMPUTED_VALUE"""),1971)</f>
        <v>1971</v>
      </c>
      <c r="G946" s="1">
        <f ca="1">IFERROR(__xludf.DUMMYFUNCTION("""COMPUTED_VALUE"""),4384)</f>
        <v>4384</v>
      </c>
      <c r="H946" s="1" t="str">
        <f ca="1">IFERROR(__xludf.DUMMYFUNCTION("""COMPUTED_VALUE"""),"MTLSZ004384A21")</f>
        <v>MTLSZ004384A21</v>
      </c>
      <c r="I946" s="2">
        <f ca="1">IFERROR(__xludf.DUMMYFUNCTION("""COMPUTED_VALUE"""),44269)</f>
        <v>44269</v>
      </c>
      <c r="J946" s="2">
        <f ca="1">IFERROR(__xludf.DUMMYFUNCTION("""COMPUTED_VALUE"""),44633)</f>
        <v>44633</v>
      </c>
    </row>
    <row r="947" spans="1:10" x14ac:dyDescent="0.25">
      <c r="A947" s="1" t="str">
        <f ca="1">IFERROR(__xludf.DUMMYFUNCTION("""COMPUTED_VALUE"""),"Ludovika SE")</f>
        <v>Ludovika SE</v>
      </c>
      <c r="B947" s="1" t="str">
        <f ca="1">IFERROR(__xludf.DUMMYFUNCTION("""COMPUTED_VALUE"""),"Pasaréti Piros")</f>
        <v>Pasaréti Piros</v>
      </c>
      <c r="C947" s="1"/>
      <c r="D947" s="1" t="str">
        <f ca="1">IFERROR(__xludf.DUMMYFUNCTION("""COMPUTED_VALUE"""),"Nő")</f>
        <v>Nő</v>
      </c>
      <c r="E947" s="1"/>
      <c r="F947" s="1">
        <f ca="1">IFERROR(__xludf.DUMMYFUNCTION("""COMPUTED_VALUE"""),2005)</f>
        <v>2005</v>
      </c>
      <c r="G947" s="1">
        <f ca="1">IFERROR(__xludf.DUMMYFUNCTION("""COMPUTED_VALUE"""),4386)</f>
        <v>4386</v>
      </c>
      <c r="H947" s="1" t="str">
        <f ca="1">IFERROR(__xludf.DUMMYFUNCTION("""COMPUTED_VALUE"""),"MTLSZ004386A21")</f>
        <v>MTLSZ004386A21</v>
      </c>
      <c r="I947" s="2">
        <f ca="1">IFERROR(__xludf.DUMMYFUNCTION("""COMPUTED_VALUE"""),44269)</f>
        <v>44269</v>
      </c>
      <c r="J947" s="2">
        <f ca="1">IFERROR(__xludf.DUMMYFUNCTION("""COMPUTED_VALUE"""),44633)</f>
        <v>44633</v>
      </c>
    </row>
    <row r="948" spans="1:10" x14ac:dyDescent="0.25">
      <c r="A948" s="1" t="str">
        <f ca="1">IFERROR(__xludf.DUMMYFUNCTION("""COMPUTED_VALUE"""),"Ludovika SE")</f>
        <v>Ludovika SE</v>
      </c>
      <c r="B948" s="1" t="str">
        <f ca="1">IFERROR(__xludf.DUMMYFUNCTION("""COMPUTED_VALUE"""),"Schwartz István")</f>
        <v>Schwartz István</v>
      </c>
      <c r="C948" s="1"/>
      <c r="D948" s="1" t="str">
        <f ca="1">IFERROR(__xludf.DUMMYFUNCTION("""COMPUTED_VALUE"""),"Férfi")</f>
        <v>Férfi</v>
      </c>
      <c r="E948" s="1"/>
      <c r="F948" s="1">
        <f ca="1">IFERROR(__xludf.DUMMYFUNCTION("""COMPUTED_VALUE"""),1971)</f>
        <v>1971</v>
      </c>
      <c r="G948" s="1">
        <f ca="1">IFERROR(__xludf.DUMMYFUNCTION("""COMPUTED_VALUE"""),4388)</f>
        <v>4388</v>
      </c>
      <c r="H948" s="1" t="str">
        <f ca="1">IFERROR(__xludf.DUMMYFUNCTION("""COMPUTED_VALUE"""),"MTLSZ004388A21")</f>
        <v>MTLSZ004388A21</v>
      </c>
      <c r="I948" s="2">
        <f ca="1">IFERROR(__xludf.DUMMYFUNCTION("""COMPUTED_VALUE"""),44269)</f>
        <v>44269</v>
      </c>
      <c r="J948" s="2">
        <f ca="1">IFERROR(__xludf.DUMMYFUNCTION("""COMPUTED_VALUE"""),44633)</f>
        <v>44633</v>
      </c>
    </row>
    <row r="949" spans="1:10" x14ac:dyDescent="0.25">
      <c r="A949" s="1" t="str">
        <f ca="1">IFERROR(__xludf.DUMMYFUNCTION("""COMPUTED_VALUE"""),"Ludovika SE")</f>
        <v>Ludovika SE</v>
      </c>
      <c r="B949" s="1" t="str">
        <f ca="1">IFERROR(__xludf.DUMMYFUNCTION("""COMPUTED_VALUE"""),"Stocz Zsuzsanna")</f>
        <v>Stocz Zsuzsanna</v>
      </c>
      <c r="C949" s="1"/>
      <c r="D949" s="1" t="str">
        <f ca="1">IFERROR(__xludf.DUMMYFUNCTION("""COMPUTED_VALUE"""),"Nő")</f>
        <v>Nő</v>
      </c>
      <c r="E949" s="1"/>
      <c r="F949" s="1">
        <f ca="1">IFERROR(__xludf.DUMMYFUNCTION("""COMPUTED_VALUE"""),1966)</f>
        <v>1966</v>
      </c>
      <c r="G949" s="1">
        <f ca="1">IFERROR(__xludf.DUMMYFUNCTION("""COMPUTED_VALUE"""),4385)</f>
        <v>4385</v>
      </c>
      <c r="H949" s="1" t="str">
        <f ca="1">IFERROR(__xludf.DUMMYFUNCTION("""COMPUTED_VALUE"""),"MTLSZ004385A21")</f>
        <v>MTLSZ004385A21</v>
      </c>
      <c r="I949" s="2">
        <f ca="1">IFERROR(__xludf.DUMMYFUNCTION("""COMPUTED_VALUE"""),44269)</f>
        <v>44269</v>
      </c>
      <c r="J949" s="2">
        <f ca="1">IFERROR(__xludf.DUMMYFUNCTION("""COMPUTED_VALUE"""),44633)</f>
        <v>44633</v>
      </c>
    </row>
    <row r="950" spans="1:10" x14ac:dyDescent="0.25">
      <c r="A950" s="1" t="str">
        <f ca="1">IFERROR(__xludf.DUMMYFUNCTION("""COMPUTED_VALUE"""),"Ludovika SE")</f>
        <v>Ludovika SE</v>
      </c>
      <c r="B950" s="1" t="str">
        <f ca="1">IFERROR(__xludf.DUMMYFUNCTION("""COMPUTED_VALUE"""),"Tóth Zita")</f>
        <v>Tóth Zita</v>
      </c>
      <c r="C950" s="1"/>
      <c r="D950" s="1" t="str">
        <f ca="1">IFERROR(__xludf.DUMMYFUNCTION("""COMPUTED_VALUE"""),"Nő")</f>
        <v>Nő</v>
      </c>
      <c r="E950" s="1"/>
      <c r="F950" s="1">
        <f ca="1">IFERROR(__xludf.DUMMYFUNCTION("""COMPUTED_VALUE"""),1978)</f>
        <v>1978</v>
      </c>
      <c r="G950" s="1">
        <f ca="1">IFERROR(__xludf.DUMMYFUNCTION("""COMPUTED_VALUE"""),4387)</f>
        <v>4387</v>
      </c>
      <c r="H950" s="1" t="str">
        <f ca="1">IFERROR(__xludf.DUMMYFUNCTION("""COMPUTED_VALUE"""),"MTLSZ004387A21")</f>
        <v>MTLSZ004387A21</v>
      </c>
      <c r="I950" s="2">
        <f ca="1">IFERROR(__xludf.DUMMYFUNCTION("""COMPUTED_VALUE"""),44269)</f>
        <v>44269</v>
      </c>
      <c r="J950" s="2">
        <f ca="1">IFERROR(__xludf.DUMMYFUNCTION("""COMPUTED_VALUE"""),44633)</f>
        <v>44633</v>
      </c>
    </row>
    <row r="951" spans="1:10" x14ac:dyDescent="0.25">
      <c r="A951" s="1" t="str">
        <f ca="1">IFERROR(__xludf.DUMMYFUNCTION("""COMPUTED_VALUE"""),"Multi Alarm SE")</f>
        <v>Multi Alarm SE</v>
      </c>
      <c r="B951" s="1" t="str">
        <f ca="1">IFERROR(__xludf.DUMMYFUNCTION("""COMPUTED_VALUE"""),"Kromek Lóránd Dr.")</f>
        <v>Kromek Lóránd Dr.</v>
      </c>
      <c r="C951" s="1"/>
      <c r="D951" s="1" t="str">
        <f ca="1">IFERROR(__xludf.DUMMYFUNCTION("""COMPUTED_VALUE"""),"Férfi")</f>
        <v>Férfi</v>
      </c>
      <c r="E951" s="1"/>
      <c r="F951" s="1">
        <f ca="1">IFERROR(__xludf.DUMMYFUNCTION("""COMPUTED_VALUE"""),1969)</f>
        <v>1969</v>
      </c>
      <c r="G951" s="1">
        <f ca="1">IFERROR(__xludf.DUMMYFUNCTION("""COMPUTED_VALUE"""),4456)</f>
        <v>4456</v>
      </c>
      <c r="H951" s="1" t="str">
        <f ca="1">IFERROR(__xludf.DUMMYFUNCTION("""COMPUTED_VALUE"""),"MTLSZ004456A21")</f>
        <v>MTLSZ004456A21</v>
      </c>
      <c r="I951" s="2">
        <f ca="1">IFERROR(__xludf.DUMMYFUNCTION("""COMPUTED_VALUE"""),44269)</f>
        <v>44269</v>
      </c>
      <c r="J951" s="2">
        <f ca="1">IFERROR(__xludf.DUMMYFUNCTION("""COMPUTED_VALUE"""),44633)</f>
        <v>44633</v>
      </c>
    </row>
    <row r="952" spans="1:10" x14ac:dyDescent="0.25">
      <c r="A952" s="1" t="str">
        <f ca="1">IFERROR(__xludf.DUMMYFUNCTION("""COMPUTED_VALUE"""),"Multi Alarm SE")</f>
        <v>Multi Alarm SE</v>
      </c>
      <c r="B952" s="1" t="str">
        <f ca="1">IFERROR(__xludf.DUMMYFUNCTION("""COMPUTED_VALUE"""),"Reidl Henrietta")</f>
        <v>Reidl Henrietta</v>
      </c>
      <c r="C952" s="1"/>
      <c r="D952" s="1" t="str">
        <f ca="1">IFERROR(__xludf.DUMMYFUNCTION("""COMPUTED_VALUE"""),"Nő")</f>
        <v>Nő</v>
      </c>
      <c r="E952" s="1"/>
      <c r="F952" s="1">
        <f ca="1">IFERROR(__xludf.DUMMYFUNCTION("""COMPUTED_VALUE"""),1983)</f>
        <v>1983</v>
      </c>
      <c r="G952" s="1">
        <f ca="1">IFERROR(__xludf.DUMMYFUNCTION("""COMPUTED_VALUE"""),4457)</f>
        <v>4457</v>
      </c>
      <c r="H952" s="1" t="str">
        <f ca="1">IFERROR(__xludf.DUMMYFUNCTION("""COMPUTED_VALUE"""),"MTLSZ004457A21")</f>
        <v>MTLSZ004457A21</v>
      </c>
      <c r="I952" s="2">
        <f ca="1">IFERROR(__xludf.DUMMYFUNCTION("""COMPUTED_VALUE"""),44269)</f>
        <v>44269</v>
      </c>
      <c r="J952" s="2">
        <f ca="1">IFERROR(__xludf.DUMMYFUNCTION("""COMPUTED_VALUE"""),44633)</f>
        <v>44633</v>
      </c>
    </row>
    <row r="953" spans="1:10" x14ac:dyDescent="0.25">
      <c r="A953" s="1" t="str">
        <f ca="1">IFERROR(__xludf.DUMMYFUNCTION("""COMPUTED_VALUE"""),"Talentum TSE")</f>
        <v>Talentum TSE</v>
      </c>
      <c r="B953" s="1" t="str">
        <f ca="1">IFERROR(__xludf.DUMMYFUNCTION("""COMPUTED_VALUE"""),"Fehér Minka")</f>
        <v>Fehér Minka</v>
      </c>
      <c r="C953" s="1"/>
      <c r="D953" s="1" t="str">
        <f ca="1">IFERROR(__xludf.DUMMYFUNCTION("""COMPUTED_VALUE"""),"Nő")</f>
        <v>Nő</v>
      </c>
      <c r="E953" s="1"/>
      <c r="F953" s="1">
        <f ca="1">IFERROR(__xludf.DUMMYFUNCTION("""COMPUTED_VALUE"""),2006)</f>
        <v>2006</v>
      </c>
      <c r="G953" s="1">
        <f ca="1">IFERROR(__xludf.DUMMYFUNCTION("""COMPUTED_VALUE"""),4484)</f>
        <v>4484</v>
      </c>
      <c r="H953" s="1" t="str">
        <f ca="1">IFERROR(__xludf.DUMMYFUNCTION("""COMPUTED_VALUE"""),"MTLSZ004484A21")</f>
        <v>MTLSZ004484A21</v>
      </c>
      <c r="I953" s="2">
        <f ca="1">IFERROR(__xludf.DUMMYFUNCTION("""COMPUTED_VALUE"""),44269)</f>
        <v>44269</v>
      </c>
      <c r="J953" s="2">
        <f ca="1">IFERROR(__xludf.DUMMYFUNCTION("""COMPUTED_VALUE"""),44633)</f>
        <v>44633</v>
      </c>
    </row>
    <row r="954" spans="1:10" x14ac:dyDescent="0.25">
      <c r="A954" s="1" t="str">
        <f ca="1">IFERROR(__xludf.DUMMYFUNCTION("""COMPUTED_VALUE"""),"Talentum TSE")</f>
        <v>Talentum TSE</v>
      </c>
      <c r="B954" s="1" t="str">
        <f ca="1">IFERROR(__xludf.DUMMYFUNCTION("""COMPUTED_VALUE"""),"Kovács Zsombor")</f>
        <v>Kovács Zsombor</v>
      </c>
      <c r="C954" s="1"/>
      <c r="D954" s="1" t="str">
        <f ca="1">IFERROR(__xludf.DUMMYFUNCTION("""COMPUTED_VALUE"""),"Férfi")</f>
        <v>Férfi</v>
      </c>
      <c r="E954" s="1"/>
      <c r="F954" s="1">
        <f ca="1">IFERROR(__xludf.DUMMYFUNCTION("""COMPUTED_VALUE"""),2008)</f>
        <v>2008</v>
      </c>
      <c r="G954" s="1">
        <f ca="1">IFERROR(__xludf.DUMMYFUNCTION("""COMPUTED_VALUE"""),4485)</f>
        <v>4485</v>
      </c>
      <c r="H954" s="1" t="str">
        <f ca="1">IFERROR(__xludf.DUMMYFUNCTION("""COMPUTED_VALUE"""),"MTLSZ004485A21")</f>
        <v>MTLSZ004485A21</v>
      </c>
      <c r="I954" s="2">
        <f ca="1">IFERROR(__xludf.DUMMYFUNCTION("""COMPUTED_VALUE"""),44269)</f>
        <v>44269</v>
      </c>
      <c r="J954" s="2">
        <f ca="1">IFERROR(__xludf.DUMMYFUNCTION("""COMPUTED_VALUE"""),44633)</f>
        <v>44633</v>
      </c>
    </row>
    <row r="955" spans="1:10" x14ac:dyDescent="0.25">
      <c r="A955" s="1" t="str">
        <f ca="1">IFERROR(__xludf.DUMMYFUNCTION("""COMPUTED_VALUE"""),"Talentum TSE")</f>
        <v>Talentum TSE</v>
      </c>
      <c r="B955" s="1" t="str">
        <f ca="1">IFERROR(__xludf.DUMMYFUNCTION("""COMPUTED_VALUE"""),"Lapos Milán")</f>
        <v>Lapos Milán</v>
      </c>
      <c r="C955" s="1"/>
      <c r="D955" s="1" t="str">
        <f ca="1">IFERROR(__xludf.DUMMYFUNCTION("""COMPUTED_VALUE"""),"Férfi")</f>
        <v>Férfi</v>
      </c>
      <c r="E955" s="1"/>
      <c r="F955" s="1">
        <f ca="1">IFERROR(__xludf.DUMMYFUNCTION("""COMPUTED_VALUE"""),2007)</f>
        <v>2007</v>
      </c>
      <c r="G955" s="1">
        <f ca="1">IFERROR(__xludf.DUMMYFUNCTION("""COMPUTED_VALUE"""),4487)</f>
        <v>4487</v>
      </c>
      <c r="H955" s="1" t="str">
        <f ca="1">IFERROR(__xludf.DUMMYFUNCTION("""COMPUTED_VALUE"""),"MTLSZ004487A21")</f>
        <v>MTLSZ004487A21</v>
      </c>
      <c r="I955" s="2">
        <f ca="1">IFERROR(__xludf.DUMMYFUNCTION("""COMPUTED_VALUE"""),44269)</f>
        <v>44269</v>
      </c>
      <c r="J955" s="2">
        <f ca="1">IFERROR(__xludf.DUMMYFUNCTION("""COMPUTED_VALUE"""),44633)</f>
        <v>44633</v>
      </c>
    </row>
    <row r="956" spans="1:10" x14ac:dyDescent="0.25">
      <c r="A956" s="1" t="str">
        <f ca="1">IFERROR(__xludf.DUMMYFUNCTION("""COMPUTED_VALUE"""),"T(r)ollas SE")</f>
        <v>T(r)ollas SE</v>
      </c>
      <c r="B956" s="1" t="str">
        <f ca="1">IFERROR(__xludf.DUMMYFUNCTION("""COMPUTED_VALUE"""),"Kardos Eszter")</f>
        <v>Kardos Eszter</v>
      </c>
      <c r="C956" s="1"/>
      <c r="D956" s="1" t="str">
        <f ca="1">IFERROR(__xludf.DUMMYFUNCTION("""COMPUTED_VALUE"""),"Nő")</f>
        <v>Nő</v>
      </c>
      <c r="E956" s="1"/>
      <c r="F956" s="1">
        <f ca="1">IFERROR(__xludf.DUMMYFUNCTION("""COMPUTED_VALUE"""),2004)</f>
        <v>2004</v>
      </c>
      <c r="G956" s="1">
        <f ca="1">IFERROR(__xludf.DUMMYFUNCTION("""COMPUTED_VALUE"""),4458)</f>
        <v>4458</v>
      </c>
      <c r="H956" s="1" t="str">
        <f ca="1">IFERROR(__xludf.DUMMYFUNCTION("""COMPUTED_VALUE"""),"MTLSZ004458A21")</f>
        <v>MTLSZ004458A21</v>
      </c>
      <c r="I956" s="2">
        <f ca="1">IFERROR(__xludf.DUMMYFUNCTION("""COMPUTED_VALUE"""),44269)</f>
        <v>44269</v>
      </c>
      <c r="J956" s="2">
        <f ca="1">IFERROR(__xludf.DUMMYFUNCTION("""COMPUTED_VALUE"""),44633)</f>
        <v>44633</v>
      </c>
    </row>
    <row r="957" spans="1:10" x14ac:dyDescent="0.25">
      <c r="A957" s="1" t="str">
        <f ca="1">IFERROR(__xludf.DUMMYFUNCTION("""COMPUTED_VALUE"""),"T(r)ollas SE")</f>
        <v>T(r)ollas SE</v>
      </c>
      <c r="B957" s="1" t="str">
        <f ca="1">IFERROR(__xludf.DUMMYFUNCTION("""COMPUTED_VALUE"""),"Kardos Luca")</f>
        <v>Kardos Luca</v>
      </c>
      <c r="C957" s="1"/>
      <c r="D957" s="1" t="str">
        <f ca="1">IFERROR(__xludf.DUMMYFUNCTION("""COMPUTED_VALUE"""),"Nő")</f>
        <v>Nő</v>
      </c>
      <c r="E957" s="1"/>
      <c r="F957" s="1">
        <f ca="1">IFERROR(__xludf.DUMMYFUNCTION("""COMPUTED_VALUE"""),2003)</f>
        <v>2003</v>
      </c>
      <c r="G957" s="1">
        <f ca="1">IFERROR(__xludf.DUMMYFUNCTION("""COMPUTED_VALUE"""),4459)</f>
        <v>4459</v>
      </c>
      <c r="H957" s="1" t="str">
        <f ca="1">IFERROR(__xludf.DUMMYFUNCTION("""COMPUTED_VALUE"""),"MTLSZ004459A21")</f>
        <v>MTLSZ004459A21</v>
      </c>
      <c r="I957" s="2">
        <f ca="1">IFERROR(__xludf.DUMMYFUNCTION("""COMPUTED_VALUE"""),44269)</f>
        <v>44269</v>
      </c>
      <c r="J957" s="2">
        <f ca="1">IFERROR(__xludf.DUMMYFUNCTION("""COMPUTED_VALUE"""),44633)</f>
        <v>44633</v>
      </c>
    </row>
    <row r="958" spans="1:10" x14ac:dyDescent="0.25">
      <c r="A958" s="1" t="str">
        <f ca="1">IFERROR(__xludf.DUMMYFUNCTION("""COMPUTED_VALUE"""),"T(r)ollas SE")</f>
        <v>T(r)ollas SE</v>
      </c>
      <c r="B958" s="1" t="str">
        <f ca="1">IFERROR(__xludf.DUMMYFUNCTION("""COMPUTED_VALUE"""),"Kármán Csaba")</f>
        <v>Kármán Csaba</v>
      </c>
      <c r="C958" s="1"/>
      <c r="D958" s="1" t="str">
        <f ca="1">IFERROR(__xludf.DUMMYFUNCTION("""COMPUTED_VALUE"""),"Férfi")</f>
        <v>Férfi</v>
      </c>
      <c r="E958" s="1"/>
      <c r="F958" s="1">
        <f ca="1">IFERROR(__xludf.DUMMYFUNCTION("""COMPUTED_VALUE"""),1993)</f>
        <v>1993</v>
      </c>
      <c r="G958" s="1">
        <f ca="1">IFERROR(__xludf.DUMMYFUNCTION("""COMPUTED_VALUE"""),4460)</f>
        <v>4460</v>
      </c>
      <c r="H958" s="1" t="str">
        <f ca="1">IFERROR(__xludf.DUMMYFUNCTION("""COMPUTED_VALUE"""),"MTLSZ004460A21")</f>
        <v>MTLSZ004460A21</v>
      </c>
      <c r="I958" s="2">
        <f ca="1">IFERROR(__xludf.DUMMYFUNCTION("""COMPUTED_VALUE"""),44269)</f>
        <v>44269</v>
      </c>
      <c r="J958" s="2">
        <f ca="1">IFERROR(__xludf.DUMMYFUNCTION("""COMPUTED_VALUE"""),44633)</f>
        <v>44633</v>
      </c>
    </row>
    <row r="959" spans="1:10" x14ac:dyDescent="0.25">
      <c r="A959" s="1" t="str">
        <f ca="1">IFERROR(__xludf.DUMMYFUNCTION("""COMPUTED_VALUE"""),"T(r)ollas SE")</f>
        <v>T(r)ollas SE</v>
      </c>
      <c r="B959" s="1" t="str">
        <f ca="1">IFERROR(__xludf.DUMMYFUNCTION("""COMPUTED_VALUE"""),"Kármán Miklós")</f>
        <v>Kármán Miklós</v>
      </c>
      <c r="C959" s="1"/>
      <c r="D959" s="1" t="str">
        <f ca="1">IFERROR(__xludf.DUMMYFUNCTION("""COMPUTED_VALUE"""),"Férfi")</f>
        <v>Férfi</v>
      </c>
      <c r="E959" s="1"/>
      <c r="F959" s="1">
        <f ca="1">IFERROR(__xludf.DUMMYFUNCTION("""COMPUTED_VALUE"""),1990)</f>
        <v>1990</v>
      </c>
      <c r="G959" s="1">
        <f ca="1">IFERROR(__xludf.DUMMYFUNCTION("""COMPUTED_VALUE"""),4461)</f>
        <v>4461</v>
      </c>
      <c r="H959" s="1" t="str">
        <f ca="1">IFERROR(__xludf.DUMMYFUNCTION("""COMPUTED_VALUE"""),"MTLSZ004461A21")</f>
        <v>MTLSZ004461A21</v>
      </c>
      <c r="I959" s="2">
        <f ca="1">IFERROR(__xludf.DUMMYFUNCTION("""COMPUTED_VALUE"""),44269)</f>
        <v>44269</v>
      </c>
      <c r="J959" s="2">
        <f ca="1">IFERROR(__xludf.DUMMYFUNCTION("""COMPUTED_VALUE"""),44633)</f>
        <v>44633</v>
      </c>
    </row>
    <row r="960" spans="1:10" x14ac:dyDescent="0.25">
      <c r="A960" s="1" t="str">
        <f ca="1">IFERROR(__xludf.DUMMYFUNCTION("""COMPUTED_VALUE"""),"T(r)ollas SE")</f>
        <v>T(r)ollas SE</v>
      </c>
      <c r="B960" s="1" t="str">
        <f ca="1">IFERROR(__xludf.DUMMYFUNCTION("""COMPUTED_VALUE"""),"Kocsis Lili Jusztina")</f>
        <v>Kocsis Lili Jusztina</v>
      </c>
      <c r="C960" s="1"/>
      <c r="D960" s="1" t="str">
        <f ca="1">IFERROR(__xludf.DUMMYFUNCTION("""COMPUTED_VALUE"""),"Nő")</f>
        <v>Nő</v>
      </c>
      <c r="E960" s="1"/>
      <c r="F960" s="1">
        <f ca="1">IFERROR(__xludf.DUMMYFUNCTION("""COMPUTED_VALUE"""),2004)</f>
        <v>2004</v>
      </c>
      <c r="G960" s="1">
        <f ca="1">IFERROR(__xludf.DUMMYFUNCTION("""COMPUTED_VALUE"""),4462)</f>
        <v>4462</v>
      </c>
      <c r="H960" s="1" t="str">
        <f ca="1">IFERROR(__xludf.DUMMYFUNCTION("""COMPUTED_VALUE"""),"MTLSZ004462A21")</f>
        <v>MTLSZ004462A21</v>
      </c>
      <c r="I960" s="2">
        <f ca="1">IFERROR(__xludf.DUMMYFUNCTION("""COMPUTED_VALUE"""),44269)</f>
        <v>44269</v>
      </c>
      <c r="J960" s="2">
        <f ca="1">IFERROR(__xludf.DUMMYFUNCTION("""COMPUTED_VALUE"""),44633)</f>
        <v>44633</v>
      </c>
    </row>
    <row r="961" spans="1:10" x14ac:dyDescent="0.25">
      <c r="A961" s="1" t="str">
        <f ca="1">IFERROR(__xludf.DUMMYFUNCTION("""COMPUTED_VALUE"""),"T(r)ollas SE")</f>
        <v>T(r)ollas SE</v>
      </c>
      <c r="B961" s="1" t="str">
        <f ca="1">IFERROR(__xludf.DUMMYFUNCTION("""COMPUTED_VALUE"""),"Novák Adrienn")</f>
        <v>Novák Adrienn</v>
      </c>
      <c r="C961" s="1"/>
      <c r="D961" s="1" t="str">
        <f ca="1">IFERROR(__xludf.DUMMYFUNCTION("""COMPUTED_VALUE"""),"Nő")</f>
        <v>Nő</v>
      </c>
      <c r="E961" s="1"/>
      <c r="F961" s="1">
        <f ca="1">IFERROR(__xludf.DUMMYFUNCTION("""COMPUTED_VALUE"""),2009)</f>
        <v>2009</v>
      </c>
      <c r="G961" s="1">
        <f ca="1">IFERROR(__xludf.DUMMYFUNCTION("""COMPUTED_VALUE"""),4463)</f>
        <v>4463</v>
      </c>
      <c r="H961" s="1" t="str">
        <f ca="1">IFERROR(__xludf.DUMMYFUNCTION("""COMPUTED_VALUE"""),"MTLSZ004463A21")</f>
        <v>MTLSZ004463A21</v>
      </c>
      <c r="I961" s="2">
        <f ca="1">IFERROR(__xludf.DUMMYFUNCTION("""COMPUTED_VALUE"""),44269)</f>
        <v>44269</v>
      </c>
      <c r="J961" s="2">
        <f ca="1">IFERROR(__xludf.DUMMYFUNCTION("""COMPUTED_VALUE"""),44633)</f>
        <v>44633</v>
      </c>
    </row>
    <row r="962" spans="1:10" x14ac:dyDescent="0.25">
      <c r="A962" s="1" t="str">
        <f ca="1">IFERROR(__xludf.DUMMYFUNCTION("""COMPUTED_VALUE"""),"T(r)ollas SE")</f>
        <v>T(r)ollas SE</v>
      </c>
      <c r="B962" s="1" t="str">
        <f ca="1">IFERROR(__xludf.DUMMYFUNCTION("""COMPUTED_VALUE"""),"Novák Barabás")</f>
        <v>Novák Barabás</v>
      </c>
      <c r="C962" s="1"/>
      <c r="D962" s="1" t="str">
        <f ca="1">IFERROR(__xludf.DUMMYFUNCTION("""COMPUTED_VALUE"""),"Férfi")</f>
        <v>Férfi</v>
      </c>
      <c r="E962" s="1"/>
      <c r="F962" s="1">
        <f ca="1">IFERROR(__xludf.DUMMYFUNCTION("""COMPUTED_VALUE"""),2003)</f>
        <v>2003</v>
      </c>
      <c r="G962" s="1">
        <f ca="1">IFERROR(__xludf.DUMMYFUNCTION("""COMPUTED_VALUE"""),4464)</f>
        <v>4464</v>
      </c>
      <c r="H962" s="1" t="str">
        <f ca="1">IFERROR(__xludf.DUMMYFUNCTION("""COMPUTED_VALUE"""),"MTLSZ004464A21")</f>
        <v>MTLSZ004464A21</v>
      </c>
      <c r="I962" s="2">
        <f ca="1">IFERROR(__xludf.DUMMYFUNCTION("""COMPUTED_VALUE"""),44269)</f>
        <v>44269</v>
      </c>
      <c r="J962" s="2">
        <f ca="1">IFERROR(__xludf.DUMMYFUNCTION("""COMPUTED_VALUE"""),44633)</f>
        <v>44633</v>
      </c>
    </row>
    <row r="963" spans="1:10" x14ac:dyDescent="0.25">
      <c r="A963" s="1" t="str">
        <f ca="1">IFERROR(__xludf.DUMMYFUNCTION("""COMPUTED_VALUE"""),"T(r)ollas SE")</f>
        <v>T(r)ollas SE</v>
      </c>
      <c r="B963" s="1" t="str">
        <f ca="1">IFERROR(__xludf.DUMMYFUNCTION("""COMPUTED_VALUE"""),"Novák Rebeka")</f>
        <v>Novák Rebeka</v>
      </c>
      <c r="C963" s="1"/>
      <c r="D963" s="1" t="str">
        <f ca="1">IFERROR(__xludf.DUMMYFUNCTION("""COMPUTED_VALUE"""),"Nő")</f>
        <v>Nő</v>
      </c>
      <c r="E963" s="1"/>
      <c r="F963" s="1">
        <f ca="1">IFERROR(__xludf.DUMMYFUNCTION("""COMPUTED_VALUE"""),2006)</f>
        <v>2006</v>
      </c>
      <c r="G963" s="1">
        <f ca="1">IFERROR(__xludf.DUMMYFUNCTION("""COMPUTED_VALUE"""),4465)</f>
        <v>4465</v>
      </c>
      <c r="H963" s="1" t="str">
        <f ca="1">IFERROR(__xludf.DUMMYFUNCTION("""COMPUTED_VALUE"""),"MTLSZ004465A21")</f>
        <v>MTLSZ004465A21</v>
      </c>
      <c r="I963" s="2">
        <f ca="1">IFERROR(__xludf.DUMMYFUNCTION("""COMPUTED_VALUE"""),44269)</f>
        <v>44269</v>
      </c>
      <c r="J963" s="2">
        <f ca="1">IFERROR(__xludf.DUMMYFUNCTION("""COMPUTED_VALUE"""),44633)</f>
        <v>44633</v>
      </c>
    </row>
    <row r="964" spans="1:10" x14ac:dyDescent="0.25">
      <c r="A964" s="1" t="str">
        <f ca="1">IFERROR(__xludf.DUMMYFUNCTION("""COMPUTED_VALUE"""),"T(r)ollas SE")</f>
        <v>T(r)ollas SE</v>
      </c>
      <c r="B964" s="1" t="str">
        <f ca="1">IFERROR(__xludf.DUMMYFUNCTION("""COMPUTED_VALUE"""),"Onder Júlia")</f>
        <v>Onder Júlia</v>
      </c>
      <c r="C964" s="1"/>
      <c r="D964" s="1" t="str">
        <f ca="1">IFERROR(__xludf.DUMMYFUNCTION("""COMPUTED_VALUE"""),"Nő")</f>
        <v>Nő</v>
      </c>
      <c r="E964" s="1"/>
      <c r="F964" s="1">
        <f ca="1">IFERROR(__xludf.DUMMYFUNCTION("""COMPUTED_VALUE"""),2002)</f>
        <v>2002</v>
      </c>
      <c r="G964" s="1">
        <f ca="1">IFERROR(__xludf.DUMMYFUNCTION("""COMPUTED_VALUE"""),4466)</f>
        <v>4466</v>
      </c>
      <c r="H964" s="1" t="str">
        <f ca="1">IFERROR(__xludf.DUMMYFUNCTION("""COMPUTED_VALUE"""),"MTLSZ004466A21")</f>
        <v>MTLSZ004466A21</v>
      </c>
      <c r="I964" s="2">
        <f ca="1">IFERROR(__xludf.DUMMYFUNCTION("""COMPUTED_VALUE"""),44269)</f>
        <v>44269</v>
      </c>
      <c r="J964" s="2">
        <f ca="1">IFERROR(__xludf.DUMMYFUNCTION("""COMPUTED_VALUE"""),44633)</f>
        <v>44633</v>
      </c>
    </row>
    <row r="965" spans="1:10" x14ac:dyDescent="0.25">
      <c r="A965" s="1" t="str">
        <f ca="1">IFERROR(__xludf.DUMMYFUNCTION("""COMPUTED_VALUE"""),"T(r)ollas SE")</f>
        <v>T(r)ollas SE</v>
      </c>
      <c r="B965" s="1" t="str">
        <f ca="1">IFERROR(__xludf.DUMMYFUNCTION("""COMPUTED_VALUE"""),"Onder Sára")</f>
        <v>Onder Sára</v>
      </c>
      <c r="C965" s="1"/>
      <c r="D965" s="1" t="str">
        <f ca="1">IFERROR(__xludf.DUMMYFUNCTION("""COMPUTED_VALUE"""),"Nő")</f>
        <v>Nő</v>
      </c>
      <c r="E965" s="1"/>
      <c r="F965" s="1">
        <f ca="1">IFERROR(__xludf.DUMMYFUNCTION("""COMPUTED_VALUE"""),2005)</f>
        <v>2005</v>
      </c>
      <c r="G965" s="1">
        <f ca="1">IFERROR(__xludf.DUMMYFUNCTION("""COMPUTED_VALUE"""),4467)</f>
        <v>4467</v>
      </c>
      <c r="H965" s="1" t="str">
        <f ca="1">IFERROR(__xludf.DUMMYFUNCTION("""COMPUTED_VALUE"""),"MTLSZ004467A21")</f>
        <v>MTLSZ004467A21</v>
      </c>
      <c r="I965" s="2">
        <f ca="1">IFERROR(__xludf.DUMMYFUNCTION("""COMPUTED_VALUE"""),44269)</f>
        <v>44269</v>
      </c>
      <c r="J965" s="2">
        <f ca="1">IFERROR(__xludf.DUMMYFUNCTION("""COMPUTED_VALUE"""),44633)</f>
        <v>44633</v>
      </c>
    </row>
    <row r="966" spans="1:10" x14ac:dyDescent="0.25">
      <c r="A966" s="1" t="str">
        <f ca="1">IFERROR(__xludf.DUMMYFUNCTION("""COMPUTED_VALUE"""),"T(r)ollas SE")</f>
        <v>T(r)ollas SE</v>
      </c>
      <c r="B966" s="1" t="str">
        <f ca="1">IFERROR(__xludf.DUMMYFUNCTION("""COMPUTED_VALUE"""),"Onder Tamara")</f>
        <v>Onder Tamara</v>
      </c>
      <c r="C966" s="1"/>
      <c r="D966" s="1" t="str">
        <f ca="1">IFERROR(__xludf.DUMMYFUNCTION("""COMPUTED_VALUE"""),"Nő")</f>
        <v>Nő</v>
      </c>
      <c r="E966" s="1"/>
      <c r="F966" s="1">
        <f ca="1">IFERROR(__xludf.DUMMYFUNCTION("""COMPUTED_VALUE"""),2007)</f>
        <v>2007</v>
      </c>
      <c r="G966" s="1">
        <f ca="1">IFERROR(__xludf.DUMMYFUNCTION("""COMPUTED_VALUE"""),4468)</f>
        <v>4468</v>
      </c>
      <c r="H966" s="1" t="str">
        <f ca="1">IFERROR(__xludf.DUMMYFUNCTION("""COMPUTED_VALUE"""),"MTLSZ004468A21")</f>
        <v>MTLSZ004468A21</v>
      </c>
      <c r="I966" s="2">
        <f ca="1">IFERROR(__xludf.DUMMYFUNCTION("""COMPUTED_VALUE"""),44269)</f>
        <v>44269</v>
      </c>
      <c r="J966" s="2">
        <f ca="1">IFERROR(__xludf.DUMMYFUNCTION("""COMPUTED_VALUE"""),44633)</f>
        <v>44633</v>
      </c>
    </row>
    <row r="967" spans="1:10" x14ac:dyDescent="0.25">
      <c r="A967" s="1" t="str">
        <f ca="1">IFERROR(__xludf.DUMMYFUNCTION("""COMPUTED_VALUE"""),"T(r)ollas SE")</f>
        <v>T(r)ollas SE</v>
      </c>
      <c r="B967" s="1" t="str">
        <f ca="1">IFERROR(__xludf.DUMMYFUNCTION("""COMPUTED_VALUE"""),"Petri Csilla")</f>
        <v>Petri Csilla</v>
      </c>
      <c r="C967" s="1"/>
      <c r="D967" s="1" t="str">
        <f ca="1">IFERROR(__xludf.DUMMYFUNCTION("""COMPUTED_VALUE"""),"Nő")</f>
        <v>Nő</v>
      </c>
      <c r="E967" s="1"/>
      <c r="F967" s="1">
        <f ca="1">IFERROR(__xludf.DUMMYFUNCTION("""COMPUTED_VALUE"""),1969)</f>
        <v>1969</v>
      </c>
      <c r="G967" s="1">
        <f ca="1">IFERROR(__xludf.DUMMYFUNCTION("""COMPUTED_VALUE"""),4469)</f>
        <v>4469</v>
      </c>
      <c r="H967" s="1" t="str">
        <f ca="1">IFERROR(__xludf.DUMMYFUNCTION("""COMPUTED_VALUE"""),"MTLSZ004469A21")</f>
        <v>MTLSZ004469A21</v>
      </c>
      <c r="I967" s="2">
        <f ca="1">IFERROR(__xludf.DUMMYFUNCTION("""COMPUTED_VALUE"""),44269)</f>
        <v>44269</v>
      </c>
      <c r="J967" s="2">
        <f ca="1">IFERROR(__xludf.DUMMYFUNCTION("""COMPUTED_VALUE"""),44633)</f>
        <v>44633</v>
      </c>
    </row>
    <row r="968" spans="1:10" x14ac:dyDescent="0.25">
      <c r="A968" s="1" t="str">
        <f ca="1">IFERROR(__xludf.DUMMYFUNCTION("""COMPUTED_VALUE"""),"T(r)ollas SE")</f>
        <v>T(r)ollas SE</v>
      </c>
      <c r="B968" s="1" t="str">
        <f ca="1">IFERROR(__xludf.DUMMYFUNCTION("""COMPUTED_VALUE"""),"Tóth Dániel")</f>
        <v>Tóth Dániel</v>
      </c>
      <c r="C968" s="1"/>
      <c r="D968" s="1" t="str">
        <f ca="1">IFERROR(__xludf.DUMMYFUNCTION("""COMPUTED_VALUE"""),"Férfi")</f>
        <v>Férfi</v>
      </c>
      <c r="E968" s="1"/>
      <c r="F968" s="1">
        <f ca="1">IFERROR(__xludf.DUMMYFUNCTION("""COMPUTED_VALUE"""),1982)</f>
        <v>1982</v>
      </c>
      <c r="G968" s="1">
        <f ca="1">IFERROR(__xludf.DUMMYFUNCTION("""COMPUTED_VALUE"""),3058)</f>
        <v>3058</v>
      </c>
      <c r="H968" s="1" t="str">
        <f ca="1">IFERROR(__xludf.DUMMYFUNCTION("""COMPUTED_VALUE"""),"MTLSZ003058A21")</f>
        <v>MTLSZ003058A21</v>
      </c>
      <c r="I968" s="2">
        <f ca="1">IFERROR(__xludf.DUMMYFUNCTION("""COMPUTED_VALUE"""),44269)</f>
        <v>44269</v>
      </c>
      <c r="J968" s="2">
        <f ca="1">IFERROR(__xludf.DUMMYFUNCTION("""COMPUTED_VALUE"""),44633)</f>
        <v>44633</v>
      </c>
    </row>
    <row r="969" spans="1:10" x14ac:dyDescent="0.25">
      <c r="A969" s="1" t="str">
        <f ca="1">IFERROR(__xludf.DUMMYFUNCTION("""COMPUTED_VALUE"""),"T(r)ollas SE")</f>
        <v>T(r)ollas SE</v>
      </c>
      <c r="B969" s="1" t="str">
        <f ca="1">IFERROR(__xludf.DUMMYFUNCTION("""COMPUTED_VALUE"""),"Zimek Gábor")</f>
        <v>Zimek Gábor</v>
      </c>
      <c r="C969" s="1"/>
      <c r="D969" s="1" t="str">
        <f ca="1">IFERROR(__xludf.DUMMYFUNCTION("""COMPUTED_VALUE"""),"Férfi")</f>
        <v>Férfi</v>
      </c>
      <c r="E969" s="1"/>
      <c r="F969" s="1">
        <f ca="1">IFERROR(__xludf.DUMMYFUNCTION("""COMPUTED_VALUE"""),1980)</f>
        <v>1980</v>
      </c>
      <c r="G969" s="1">
        <f ca="1">IFERROR(__xludf.DUMMYFUNCTION("""COMPUTED_VALUE"""),1560)</f>
        <v>1560</v>
      </c>
      <c r="H969" s="1" t="str">
        <f ca="1">IFERROR(__xludf.DUMMYFUNCTION("""COMPUTED_VALUE"""),"MTLSZ001560A21")</f>
        <v>MTLSZ001560A21</v>
      </c>
      <c r="I969" s="2">
        <f ca="1">IFERROR(__xludf.DUMMYFUNCTION("""COMPUTED_VALUE"""),44269)</f>
        <v>44269</v>
      </c>
      <c r="J969" s="2">
        <f ca="1">IFERROR(__xludf.DUMMYFUNCTION("""COMPUTED_VALUE"""),44633)</f>
        <v>44633</v>
      </c>
    </row>
    <row r="970" spans="1:10" x14ac:dyDescent="0.25">
      <c r="A970" s="1" t="str">
        <f ca="1">IFERROR(__xludf.DUMMYFUNCTION("""COMPUTED_VALUE"""),"Főtaxi SC")</f>
        <v>Főtaxi SC</v>
      </c>
      <c r="B970" s="1" t="str">
        <f ca="1">IFERROR(__xludf.DUMMYFUNCTION("""COMPUTED_VALUE"""),"Détár Veronika")</f>
        <v>Détár Veronika</v>
      </c>
      <c r="C970" s="1"/>
      <c r="D970" s="1" t="str">
        <f ca="1">IFERROR(__xludf.DUMMYFUNCTION("""COMPUTED_VALUE"""),"Nő")</f>
        <v>Nő</v>
      </c>
      <c r="E970" s="1"/>
      <c r="F970" s="1">
        <f ca="1">IFERROR(__xludf.DUMMYFUNCTION("""COMPUTED_VALUE"""),1967)</f>
        <v>1967</v>
      </c>
      <c r="G970" s="1">
        <f ca="1">IFERROR(__xludf.DUMMYFUNCTION("""COMPUTED_VALUE"""),4434)</f>
        <v>4434</v>
      </c>
      <c r="H970" s="1" t="str">
        <f ca="1">IFERROR(__xludf.DUMMYFUNCTION("""COMPUTED_VALUE"""),"MTLSZ004434A21")</f>
        <v>MTLSZ004434A21</v>
      </c>
      <c r="I970" s="2">
        <f ca="1">IFERROR(__xludf.DUMMYFUNCTION("""COMPUTED_VALUE"""),44266)</f>
        <v>44266</v>
      </c>
      <c r="J970" s="2">
        <f ca="1">IFERROR(__xludf.DUMMYFUNCTION("""COMPUTED_VALUE"""),44630)</f>
        <v>44630</v>
      </c>
    </row>
    <row r="971" spans="1:10" x14ac:dyDescent="0.25">
      <c r="A971" s="1" t="str">
        <f ca="1">IFERROR(__xludf.DUMMYFUNCTION("""COMPUTED_VALUE"""),"Főtaxi SC")</f>
        <v>Főtaxi SC</v>
      </c>
      <c r="B971" s="1" t="str">
        <f ca="1">IFERROR(__xludf.DUMMYFUNCTION("""COMPUTED_VALUE"""),"Gan Yee Han")</f>
        <v>Gan Yee Han</v>
      </c>
      <c r="C971" s="1"/>
      <c r="D971" s="1" t="str">
        <f ca="1">IFERROR(__xludf.DUMMYFUNCTION("""COMPUTED_VALUE"""),"Férfi")</f>
        <v>Férfi</v>
      </c>
      <c r="E971" s="1"/>
      <c r="F971" s="1">
        <f ca="1">IFERROR(__xludf.DUMMYFUNCTION("""COMPUTED_VALUE"""),1971)</f>
        <v>1971</v>
      </c>
      <c r="G971" s="1">
        <f ca="1">IFERROR(__xludf.DUMMYFUNCTION("""COMPUTED_VALUE"""),4438)</f>
        <v>4438</v>
      </c>
      <c r="H971" s="1" t="str">
        <f ca="1">IFERROR(__xludf.DUMMYFUNCTION("""COMPUTED_VALUE"""),"MTLSZ004438A21")</f>
        <v>MTLSZ004438A21</v>
      </c>
      <c r="I971" s="2">
        <f ca="1">IFERROR(__xludf.DUMMYFUNCTION("""COMPUTED_VALUE"""),44266)</f>
        <v>44266</v>
      </c>
      <c r="J971" s="2">
        <f ca="1">IFERROR(__xludf.DUMMYFUNCTION("""COMPUTED_VALUE"""),44630)</f>
        <v>44630</v>
      </c>
    </row>
    <row r="972" spans="1:10" x14ac:dyDescent="0.25">
      <c r="A972" s="1" t="str">
        <f ca="1">IFERROR(__xludf.DUMMYFUNCTION("""COMPUTED_VALUE"""),"Főtaxi SC")</f>
        <v>Főtaxi SC</v>
      </c>
      <c r="B972" s="1" t="str">
        <f ca="1">IFERROR(__xludf.DUMMYFUNCTION("""COMPUTED_VALUE"""),"Gilbert Teh")</f>
        <v>Gilbert Teh</v>
      </c>
      <c r="C972" s="1"/>
      <c r="D972" s="1" t="str">
        <f ca="1">IFERROR(__xludf.DUMMYFUNCTION("""COMPUTED_VALUE"""),"Férfi")</f>
        <v>Férfi</v>
      </c>
      <c r="E972" s="1"/>
      <c r="F972" s="1">
        <f ca="1">IFERROR(__xludf.DUMMYFUNCTION("""COMPUTED_VALUE"""),1988)</f>
        <v>1988</v>
      </c>
      <c r="G972" s="1">
        <f ca="1">IFERROR(__xludf.DUMMYFUNCTION("""COMPUTED_VALUE"""),4439)</f>
        <v>4439</v>
      </c>
      <c r="H972" s="1" t="str">
        <f ca="1">IFERROR(__xludf.DUMMYFUNCTION("""COMPUTED_VALUE"""),"MTLSZ004439A21")</f>
        <v>MTLSZ004439A21</v>
      </c>
      <c r="I972" s="2">
        <f ca="1">IFERROR(__xludf.DUMMYFUNCTION("""COMPUTED_VALUE"""),44266)</f>
        <v>44266</v>
      </c>
      <c r="J972" s="2">
        <f ca="1">IFERROR(__xludf.DUMMYFUNCTION("""COMPUTED_VALUE"""),44630)</f>
        <v>44630</v>
      </c>
    </row>
    <row r="973" spans="1:10" x14ac:dyDescent="0.25">
      <c r="A973" s="1" t="str">
        <f ca="1">IFERROR(__xludf.DUMMYFUNCTION("""COMPUTED_VALUE"""),"Főtaxi SC")</f>
        <v>Főtaxi SC</v>
      </c>
      <c r="B973" s="1" t="str">
        <f ca="1">IFERROR(__xludf.DUMMYFUNCTION("""COMPUTED_VALUE"""),"Long Weiran")</f>
        <v>Long Weiran</v>
      </c>
      <c r="C973" s="1"/>
      <c r="D973" s="1" t="str">
        <f ca="1">IFERROR(__xludf.DUMMYFUNCTION("""COMPUTED_VALUE"""),"Férfi")</f>
        <v>Férfi</v>
      </c>
      <c r="E973" s="1"/>
      <c r="F973" s="1">
        <f ca="1">IFERROR(__xludf.DUMMYFUNCTION("""COMPUTED_VALUE"""),2005)</f>
        <v>2005</v>
      </c>
      <c r="G973" s="1">
        <f ca="1">IFERROR(__xludf.DUMMYFUNCTION("""COMPUTED_VALUE"""),4436)</f>
        <v>4436</v>
      </c>
      <c r="H973" s="1" t="str">
        <f ca="1">IFERROR(__xludf.DUMMYFUNCTION("""COMPUTED_VALUE"""),"MTLSZ004436A21")</f>
        <v>MTLSZ004436A21</v>
      </c>
      <c r="I973" s="2">
        <f ca="1">IFERROR(__xludf.DUMMYFUNCTION("""COMPUTED_VALUE"""),44266)</f>
        <v>44266</v>
      </c>
      <c r="J973" s="2">
        <f ca="1">IFERROR(__xludf.DUMMYFUNCTION("""COMPUTED_VALUE"""),44630)</f>
        <v>44630</v>
      </c>
    </row>
    <row r="974" spans="1:10" x14ac:dyDescent="0.25">
      <c r="A974" s="1" t="str">
        <f ca="1">IFERROR(__xludf.DUMMYFUNCTION("""COMPUTED_VALUE"""),"Főtaxi SC")</f>
        <v>Főtaxi SC</v>
      </c>
      <c r="B974" s="1" t="str">
        <f ca="1">IFERROR(__xludf.DUMMYFUNCTION("""COMPUTED_VALUE"""),"Oyefeso Sarah")</f>
        <v>Oyefeso Sarah</v>
      </c>
      <c r="C974" s="1"/>
      <c r="D974" s="1" t="str">
        <f ca="1">IFERROR(__xludf.DUMMYFUNCTION("""COMPUTED_VALUE"""),"Nő")</f>
        <v>Nő</v>
      </c>
      <c r="E974" s="1"/>
      <c r="F974" s="1">
        <f ca="1">IFERROR(__xludf.DUMMYFUNCTION("""COMPUTED_VALUE"""),1994)</f>
        <v>1994</v>
      </c>
      <c r="G974" s="1">
        <f ca="1">IFERROR(__xludf.DUMMYFUNCTION("""COMPUTED_VALUE"""),4437)</f>
        <v>4437</v>
      </c>
      <c r="H974" s="1" t="str">
        <f ca="1">IFERROR(__xludf.DUMMYFUNCTION("""COMPUTED_VALUE"""),"MTLSZ004437A21")</f>
        <v>MTLSZ004437A21</v>
      </c>
      <c r="I974" s="2">
        <f ca="1">IFERROR(__xludf.DUMMYFUNCTION("""COMPUTED_VALUE"""),44266)</f>
        <v>44266</v>
      </c>
      <c r="J974" s="2">
        <f ca="1">IFERROR(__xludf.DUMMYFUNCTION("""COMPUTED_VALUE"""),44630)</f>
        <v>44630</v>
      </c>
    </row>
    <row r="975" spans="1:10" x14ac:dyDescent="0.25">
      <c r="A975" s="1" t="str">
        <f ca="1">IFERROR(__xludf.DUMMYFUNCTION("""COMPUTED_VALUE"""),"Főtaxi SC")</f>
        <v>Főtaxi SC</v>
      </c>
      <c r="B975" s="1" t="str">
        <f ca="1">IFERROR(__xludf.DUMMYFUNCTION("""COMPUTED_VALUE"""),"Sabbavarapu Madhu")</f>
        <v>Sabbavarapu Madhu</v>
      </c>
      <c r="C975" s="1"/>
      <c r="D975" s="1" t="str">
        <f ca="1">IFERROR(__xludf.DUMMYFUNCTION("""COMPUTED_VALUE"""),"Férfi")</f>
        <v>Férfi</v>
      </c>
      <c r="E975" s="1"/>
      <c r="F975" s="1">
        <f ca="1">IFERROR(__xludf.DUMMYFUNCTION("""COMPUTED_VALUE"""),1996)</f>
        <v>1996</v>
      </c>
      <c r="G975" s="1">
        <f ca="1">IFERROR(__xludf.DUMMYFUNCTION("""COMPUTED_VALUE"""),4440)</f>
        <v>4440</v>
      </c>
      <c r="H975" s="1" t="str">
        <f ca="1">IFERROR(__xludf.DUMMYFUNCTION("""COMPUTED_VALUE"""),"MTLSZ004440A21")</f>
        <v>MTLSZ004440A21</v>
      </c>
      <c r="I975" s="2">
        <f ca="1">IFERROR(__xludf.DUMMYFUNCTION("""COMPUTED_VALUE"""),44266)</f>
        <v>44266</v>
      </c>
      <c r="J975" s="2">
        <f ca="1">IFERROR(__xludf.DUMMYFUNCTION("""COMPUTED_VALUE"""),44630)</f>
        <v>44630</v>
      </c>
    </row>
    <row r="976" spans="1:10" x14ac:dyDescent="0.25">
      <c r="A976" s="1" t="str">
        <f ca="1">IFERROR(__xludf.DUMMYFUNCTION("""COMPUTED_VALUE"""),"Főtaxi SC")</f>
        <v>Főtaxi SC</v>
      </c>
      <c r="B976" s="1" t="str">
        <f ca="1">IFERROR(__xludf.DUMMYFUNCTION("""COMPUTED_VALUE"""),"Sivakumar Omkar")</f>
        <v>Sivakumar Omkar</v>
      </c>
      <c r="C976" s="1"/>
      <c r="D976" s="1" t="str">
        <f ca="1">IFERROR(__xludf.DUMMYFUNCTION("""COMPUTED_VALUE"""),"Férfi")</f>
        <v>Férfi</v>
      </c>
      <c r="E976" s="1"/>
      <c r="F976" s="1">
        <f ca="1">IFERROR(__xludf.DUMMYFUNCTION("""COMPUTED_VALUE"""),1991)</f>
        <v>1991</v>
      </c>
      <c r="G976" s="1">
        <f ca="1">IFERROR(__xludf.DUMMYFUNCTION("""COMPUTED_VALUE"""),4441)</f>
        <v>4441</v>
      </c>
      <c r="H976" s="1" t="str">
        <f ca="1">IFERROR(__xludf.DUMMYFUNCTION("""COMPUTED_VALUE"""),"MTLSZ004441A21")</f>
        <v>MTLSZ004441A21</v>
      </c>
      <c r="I976" s="2">
        <f ca="1">IFERROR(__xludf.DUMMYFUNCTION("""COMPUTED_VALUE"""),44266)</f>
        <v>44266</v>
      </c>
      <c r="J976" s="2">
        <f ca="1">IFERROR(__xludf.DUMMYFUNCTION("""COMPUTED_VALUE"""),44630)</f>
        <v>44630</v>
      </c>
    </row>
    <row r="977" spans="1:10" x14ac:dyDescent="0.25">
      <c r="A977" s="1" t="str">
        <f ca="1">IFERROR(__xludf.DUMMYFUNCTION("""COMPUTED_VALUE"""),"Főtaxi SC")</f>
        <v>Főtaxi SC</v>
      </c>
      <c r="B977" s="1" t="str">
        <f ca="1">IFERROR(__xludf.DUMMYFUNCTION("""COMPUTED_VALUE"""),"Zong Zhifu")</f>
        <v>Zong Zhifu</v>
      </c>
      <c r="C977" s="1"/>
      <c r="D977" s="1" t="str">
        <f ca="1">IFERROR(__xludf.DUMMYFUNCTION("""COMPUTED_VALUE"""),"Férfi")</f>
        <v>Férfi</v>
      </c>
      <c r="E977" s="1"/>
      <c r="F977" s="1">
        <f ca="1">IFERROR(__xludf.DUMMYFUNCTION("""COMPUTED_VALUE"""),1974)</f>
        <v>1974</v>
      </c>
      <c r="G977" s="1">
        <f ca="1">IFERROR(__xludf.DUMMYFUNCTION("""COMPUTED_VALUE"""),4435)</f>
        <v>4435</v>
      </c>
      <c r="H977" s="1" t="str">
        <f ca="1">IFERROR(__xludf.DUMMYFUNCTION("""COMPUTED_VALUE"""),"MTLSZ004435A21")</f>
        <v>MTLSZ004435A21</v>
      </c>
      <c r="I977" s="2">
        <f ca="1">IFERROR(__xludf.DUMMYFUNCTION("""COMPUTED_VALUE"""),44266)</f>
        <v>44266</v>
      </c>
      <c r="J977" s="2">
        <f ca="1">IFERROR(__xludf.DUMMYFUNCTION("""COMPUTED_VALUE"""),44630)</f>
        <v>44630</v>
      </c>
    </row>
    <row r="978" spans="1:10" x14ac:dyDescent="0.25">
      <c r="A978" s="1" t="str">
        <f ca="1">IFERROR(__xludf.DUMMYFUNCTION("""COMPUTED_VALUE"""),"Verőcei DE")</f>
        <v>Verőcei DE</v>
      </c>
      <c r="B978" s="1" t="str">
        <f ca="1">IFERROR(__xludf.DUMMYFUNCTION("""COMPUTED_VALUE"""),"Füredi Zsófia")</f>
        <v>Füredi Zsófia</v>
      </c>
      <c r="C978" s="1"/>
      <c r="D978" s="1" t="str">
        <f ca="1">IFERROR(__xludf.DUMMYFUNCTION("""COMPUTED_VALUE"""),"Nő")</f>
        <v>Nő</v>
      </c>
      <c r="E978" s="1"/>
      <c r="F978" s="1">
        <f ca="1">IFERROR(__xludf.DUMMYFUNCTION("""COMPUTED_VALUE"""),2007)</f>
        <v>2007</v>
      </c>
      <c r="G978" s="1">
        <f ca="1">IFERROR(__xludf.DUMMYFUNCTION("""COMPUTED_VALUE"""),4428)</f>
        <v>4428</v>
      </c>
      <c r="H978" s="1" t="str">
        <f ca="1">IFERROR(__xludf.DUMMYFUNCTION("""COMPUTED_VALUE"""),"MTLSZ004428A21")</f>
        <v>MTLSZ004428A21</v>
      </c>
      <c r="I978" s="2">
        <f ca="1">IFERROR(__xludf.DUMMYFUNCTION("""COMPUTED_VALUE"""),44262)</f>
        <v>44262</v>
      </c>
      <c r="J978" s="2">
        <f ca="1">IFERROR(__xludf.DUMMYFUNCTION("""COMPUTED_VALUE"""),44626)</f>
        <v>44626</v>
      </c>
    </row>
    <row r="979" spans="1:10" x14ac:dyDescent="0.25">
      <c r="A979" s="1" t="str">
        <f ca="1">IFERROR(__xludf.DUMMYFUNCTION("""COMPUTED_VALUE"""),"Verőcei DE")</f>
        <v>Verőcei DE</v>
      </c>
      <c r="B979" s="1" t="str">
        <f ca="1">IFERROR(__xludf.DUMMYFUNCTION("""COMPUTED_VALUE"""),"Koltai Adél")</f>
        <v>Koltai Adél</v>
      </c>
      <c r="C979" s="1"/>
      <c r="D979" s="1" t="str">
        <f ca="1">IFERROR(__xludf.DUMMYFUNCTION("""COMPUTED_VALUE"""),"Nő")</f>
        <v>Nő</v>
      </c>
      <c r="E979" s="1"/>
      <c r="F979" s="1">
        <f ca="1">IFERROR(__xludf.DUMMYFUNCTION("""COMPUTED_VALUE"""),2007)</f>
        <v>2007</v>
      </c>
      <c r="G979" s="1">
        <f ca="1">IFERROR(__xludf.DUMMYFUNCTION("""COMPUTED_VALUE"""),4431)</f>
        <v>4431</v>
      </c>
      <c r="H979" s="1" t="str">
        <f ca="1">IFERROR(__xludf.DUMMYFUNCTION("""COMPUTED_VALUE"""),"MTLSZ004431A21")</f>
        <v>MTLSZ004431A21</v>
      </c>
      <c r="I979" s="2">
        <f ca="1">IFERROR(__xludf.DUMMYFUNCTION("""COMPUTED_VALUE"""),44262)</f>
        <v>44262</v>
      </c>
      <c r="J979" s="2">
        <f ca="1">IFERROR(__xludf.DUMMYFUNCTION("""COMPUTED_VALUE"""),44626)</f>
        <v>44626</v>
      </c>
    </row>
    <row r="980" spans="1:10" x14ac:dyDescent="0.25">
      <c r="A980" s="1" t="str">
        <f ca="1">IFERROR(__xludf.DUMMYFUNCTION("""COMPUTED_VALUE"""),"Verőcei DE")</f>
        <v>Verőcei DE</v>
      </c>
      <c r="B980" s="1" t="str">
        <f ca="1">IFERROR(__xludf.DUMMYFUNCTION("""COMPUTED_VALUE"""),"Koltai György")</f>
        <v>Koltai György</v>
      </c>
      <c r="C980" s="1"/>
      <c r="D980" s="1" t="str">
        <f ca="1">IFERROR(__xludf.DUMMYFUNCTION("""COMPUTED_VALUE"""),"Férfi")</f>
        <v>Férfi</v>
      </c>
      <c r="E980" s="1"/>
      <c r="F980" s="1">
        <f ca="1">IFERROR(__xludf.DUMMYFUNCTION("""COMPUTED_VALUE"""),2008)</f>
        <v>2008</v>
      </c>
      <c r="G980" s="1">
        <f ca="1">IFERROR(__xludf.DUMMYFUNCTION("""COMPUTED_VALUE"""),4429)</f>
        <v>4429</v>
      </c>
      <c r="H980" s="1" t="str">
        <f ca="1">IFERROR(__xludf.DUMMYFUNCTION("""COMPUTED_VALUE"""),"MTLSZ004429A21")</f>
        <v>MTLSZ004429A21</v>
      </c>
      <c r="I980" s="2">
        <f ca="1">IFERROR(__xludf.DUMMYFUNCTION("""COMPUTED_VALUE"""),44262)</f>
        <v>44262</v>
      </c>
      <c r="J980" s="2">
        <f ca="1">IFERROR(__xludf.DUMMYFUNCTION("""COMPUTED_VALUE"""),44626)</f>
        <v>44626</v>
      </c>
    </row>
    <row r="981" spans="1:10" x14ac:dyDescent="0.25">
      <c r="A981" s="1" t="str">
        <f ca="1">IFERROR(__xludf.DUMMYFUNCTION("""COMPUTED_VALUE"""),"Verőcei DE")</f>
        <v>Verőcei DE</v>
      </c>
      <c r="B981" s="1" t="str">
        <f ca="1">IFERROR(__xludf.DUMMYFUNCTION("""COMPUTED_VALUE"""),"Koltai Írisz")</f>
        <v>Koltai Írisz</v>
      </c>
      <c r="C981" s="1"/>
      <c r="D981" s="1" t="str">
        <f ca="1">IFERROR(__xludf.DUMMYFUNCTION("""COMPUTED_VALUE"""),"Nő")</f>
        <v>Nő</v>
      </c>
      <c r="E981" s="1"/>
      <c r="F981" s="1">
        <f ca="1">IFERROR(__xludf.DUMMYFUNCTION("""COMPUTED_VALUE"""),2005)</f>
        <v>2005</v>
      </c>
      <c r="G981" s="1">
        <f ca="1">IFERROR(__xludf.DUMMYFUNCTION("""COMPUTED_VALUE"""),4430)</f>
        <v>4430</v>
      </c>
      <c r="H981" s="1" t="str">
        <f ca="1">IFERROR(__xludf.DUMMYFUNCTION("""COMPUTED_VALUE"""),"MTLSZ004430A21")</f>
        <v>MTLSZ004430A21</v>
      </c>
      <c r="I981" s="2">
        <f ca="1">IFERROR(__xludf.DUMMYFUNCTION("""COMPUTED_VALUE"""),44262)</f>
        <v>44262</v>
      </c>
      <c r="J981" s="2">
        <f ca="1">IFERROR(__xludf.DUMMYFUNCTION("""COMPUTED_VALUE"""),44626)</f>
        <v>44626</v>
      </c>
    </row>
    <row r="982" spans="1:10" x14ac:dyDescent="0.25">
      <c r="A982" s="1" t="str">
        <f ca="1">IFERROR(__xludf.DUMMYFUNCTION("""COMPUTED_VALUE"""),"Verőcei DE")</f>
        <v>Verőcei DE</v>
      </c>
      <c r="B982" s="1" t="str">
        <f ca="1">IFERROR(__xludf.DUMMYFUNCTION("""COMPUTED_VALUE"""),"Tamás Alex")</f>
        <v>Tamás Alex</v>
      </c>
      <c r="C982" s="1"/>
      <c r="D982" s="1" t="str">
        <f ca="1">IFERROR(__xludf.DUMMYFUNCTION("""COMPUTED_VALUE"""),"Férfi")</f>
        <v>Férfi</v>
      </c>
      <c r="E982" s="1"/>
      <c r="F982" s="1">
        <f ca="1">IFERROR(__xludf.DUMMYFUNCTION("""COMPUTED_VALUE"""),2007)</f>
        <v>2007</v>
      </c>
      <c r="G982" s="1">
        <f ca="1">IFERROR(__xludf.DUMMYFUNCTION("""COMPUTED_VALUE"""),4432)</f>
        <v>4432</v>
      </c>
      <c r="H982" s="1" t="str">
        <f ca="1">IFERROR(__xludf.DUMMYFUNCTION("""COMPUTED_VALUE"""),"MTLSZ004432A21")</f>
        <v>MTLSZ004432A21</v>
      </c>
      <c r="I982" s="2">
        <f ca="1">IFERROR(__xludf.DUMMYFUNCTION("""COMPUTED_VALUE"""),44262)</f>
        <v>44262</v>
      </c>
      <c r="J982" s="2">
        <f ca="1">IFERROR(__xludf.DUMMYFUNCTION("""COMPUTED_VALUE"""),44626)</f>
        <v>44626</v>
      </c>
    </row>
    <row r="983" spans="1:10" x14ac:dyDescent="0.25">
      <c r="A983" s="1" t="str">
        <f ca="1">IFERROR(__xludf.DUMMYFUNCTION("""COMPUTED_VALUE"""),"BEAC")</f>
        <v>BEAC</v>
      </c>
      <c r="B983" s="1" t="str">
        <f ca="1">IFERROR(__xludf.DUMMYFUNCTION("""COMPUTED_VALUE"""),"Zombori Andrea")</f>
        <v>Zombori Andrea</v>
      </c>
      <c r="C983" s="1"/>
      <c r="D983" s="1" t="str">
        <f ca="1">IFERROR(__xludf.DUMMYFUNCTION("""COMPUTED_VALUE"""),"Nő")</f>
        <v>Nő</v>
      </c>
      <c r="E983" s="1"/>
      <c r="F983" s="1">
        <f ca="1">IFERROR(__xludf.DUMMYFUNCTION("""COMPUTED_VALUE"""),1977)</f>
        <v>1977</v>
      </c>
      <c r="G983" s="1">
        <f ca="1">IFERROR(__xludf.DUMMYFUNCTION("""COMPUTED_VALUE"""),1146)</f>
        <v>1146</v>
      </c>
      <c r="H983" s="1" t="str">
        <f ca="1">IFERROR(__xludf.DUMMYFUNCTION("""COMPUTED_VALUE"""),"MTLSZ001146A21")</f>
        <v>MTLSZ001146A21</v>
      </c>
      <c r="I983" s="2">
        <f ca="1">IFERROR(__xludf.DUMMYFUNCTION("""COMPUTED_VALUE"""),44260)</f>
        <v>44260</v>
      </c>
      <c r="J983" s="2">
        <f ca="1">IFERROR(__xludf.DUMMYFUNCTION("""COMPUTED_VALUE"""),44624)</f>
        <v>44624</v>
      </c>
    </row>
    <row r="984" spans="1:10" x14ac:dyDescent="0.25">
      <c r="A984" s="1" t="str">
        <f ca="1">IFERROR(__xludf.DUMMYFUNCTION("""COMPUTED_VALUE"""),"Multi Alarm SE")</f>
        <v>Multi Alarm SE</v>
      </c>
      <c r="B984" s="1" t="str">
        <f ca="1">IFERROR(__xludf.DUMMYFUNCTION("""COMPUTED_VALUE"""),"Tovannakasame Samatcha")</f>
        <v>Tovannakasame Samatcha</v>
      </c>
      <c r="C984" s="1"/>
      <c r="D984" s="1" t="str">
        <f ca="1">IFERROR(__xludf.DUMMYFUNCTION("""COMPUTED_VALUE"""),"Férfi")</f>
        <v>Férfi</v>
      </c>
      <c r="E984" s="1"/>
      <c r="F984" s="1">
        <f ca="1">IFERROR(__xludf.DUMMYFUNCTION("""COMPUTED_VALUE"""),1993)</f>
        <v>1993</v>
      </c>
      <c r="G984" s="1">
        <f ca="1">IFERROR(__xludf.DUMMYFUNCTION("""COMPUTED_VALUE"""),2752)</f>
        <v>2752</v>
      </c>
      <c r="H984" s="1" t="str">
        <f ca="1">IFERROR(__xludf.DUMMYFUNCTION("""COMPUTED_VALUE"""),"MTLSZ002752A21")</f>
        <v>MTLSZ002752A21</v>
      </c>
      <c r="I984" s="2">
        <f ca="1">IFERROR(__xludf.DUMMYFUNCTION("""COMPUTED_VALUE"""),44260)</f>
        <v>44260</v>
      </c>
      <c r="J984" s="2">
        <f ca="1">IFERROR(__xludf.DUMMYFUNCTION("""COMPUTED_VALUE"""),44624)</f>
        <v>44624</v>
      </c>
    </row>
    <row r="985" spans="1:10" x14ac:dyDescent="0.25">
      <c r="A985" s="1" t="str">
        <f ca="1">IFERROR(__xludf.DUMMYFUNCTION("""COMPUTED_VALUE"""),"Újpest TSE")</f>
        <v>Újpest TSE</v>
      </c>
      <c r="B985" s="1" t="str">
        <f ca="1">IFERROR(__xludf.DUMMYFUNCTION("""COMPUTED_VALUE"""),"Szántó Eszter")</f>
        <v>Szántó Eszter</v>
      </c>
      <c r="C985" s="1"/>
      <c r="D985" s="1" t="str">
        <f ca="1">IFERROR(__xludf.DUMMYFUNCTION("""COMPUTED_VALUE"""),"Nő")</f>
        <v>Nő</v>
      </c>
      <c r="E985" s="1"/>
      <c r="F985" s="1">
        <f ca="1">IFERROR(__xludf.DUMMYFUNCTION("""COMPUTED_VALUE"""),2002)</f>
        <v>2002</v>
      </c>
      <c r="G985" s="1">
        <f ca="1">IFERROR(__xludf.DUMMYFUNCTION("""COMPUTED_VALUE"""),2731)</f>
        <v>2731</v>
      </c>
      <c r="H985" s="1" t="str">
        <f ca="1">IFERROR(__xludf.DUMMYFUNCTION("""COMPUTED_VALUE"""),"MTLSZ002731A21")</f>
        <v>MTLSZ002731A21</v>
      </c>
      <c r="I985" s="2">
        <f ca="1">IFERROR(__xludf.DUMMYFUNCTION("""COMPUTED_VALUE"""),44260)</f>
        <v>44260</v>
      </c>
      <c r="J985" s="2">
        <f ca="1">IFERROR(__xludf.DUMMYFUNCTION("""COMPUTED_VALUE"""),44624)</f>
        <v>44624</v>
      </c>
    </row>
    <row r="986" spans="1:10" x14ac:dyDescent="0.25">
      <c r="A986" s="1" t="str">
        <f ca="1">IFERROR(__xludf.DUMMYFUNCTION("""COMPUTED_VALUE"""),"Életmód SE")</f>
        <v>Életmód SE</v>
      </c>
      <c r="B986" s="1" t="str">
        <f ca="1">IFERROR(__xludf.DUMMYFUNCTION("""COMPUTED_VALUE"""),"Deáki Jenő Tamás")</f>
        <v>Deáki Jenő Tamás</v>
      </c>
      <c r="C986" s="1"/>
      <c r="D986" s="1" t="str">
        <f ca="1">IFERROR(__xludf.DUMMYFUNCTION("""COMPUTED_VALUE"""),"Férfi")</f>
        <v>Férfi</v>
      </c>
      <c r="E986" s="1"/>
      <c r="F986" s="1">
        <f ca="1">IFERROR(__xludf.DUMMYFUNCTION("""COMPUTED_VALUE"""),1994)</f>
        <v>1994</v>
      </c>
      <c r="G986" s="1">
        <f ca="1">IFERROR(__xludf.DUMMYFUNCTION("""COMPUTED_VALUE"""),4419)</f>
        <v>4419</v>
      </c>
      <c r="H986" s="1" t="str">
        <f ca="1">IFERROR(__xludf.DUMMYFUNCTION("""COMPUTED_VALUE"""),"MTLSZ004419A21")</f>
        <v>MTLSZ004419A21</v>
      </c>
      <c r="I986" s="2">
        <f ca="1">IFERROR(__xludf.DUMMYFUNCTION("""COMPUTED_VALUE"""),44259)</f>
        <v>44259</v>
      </c>
      <c r="J986" s="2">
        <f ca="1">IFERROR(__xludf.DUMMYFUNCTION("""COMPUTED_VALUE"""),44623)</f>
        <v>44623</v>
      </c>
    </row>
    <row r="987" spans="1:10" x14ac:dyDescent="0.25">
      <c r="A987" s="1" t="str">
        <f ca="1">IFERROR(__xludf.DUMMYFUNCTION("""COMPUTED_VALUE"""),"Formás SE")</f>
        <v>Formás SE</v>
      </c>
      <c r="B987" s="1" t="str">
        <f ca="1">IFERROR(__xludf.DUMMYFUNCTION("""COMPUTED_VALUE"""),"Bojtor Lilien")</f>
        <v>Bojtor Lilien</v>
      </c>
      <c r="C987" s="1"/>
      <c r="D987" s="1" t="str">
        <f ca="1">IFERROR(__xludf.DUMMYFUNCTION("""COMPUTED_VALUE"""),"Nő")</f>
        <v>Nő</v>
      </c>
      <c r="E987" s="1"/>
      <c r="F987" s="1">
        <f ca="1">IFERROR(__xludf.DUMMYFUNCTION("""COMPUTED_VALUE"""),1998)</f>
        <v>1998</v>
      </c>
      <c r="G987" s="1">
        <f ca="1">IFERROR(__xludf.DUMMYFUNCTION("""COMPUTED_VALUE"""),4424)</f>
        <v>4424</v>
      </c>
      <c r="H987" s="1" t="str">
        <f ca="1">IFERROR(__xludf.DUMMYFUNCTION("""COMPUTED_VALUE"""),"MTLSZ004424A21")</f>
        <v>MTLSZ004424A21</v>
      </c>
      <c r="I987" s="2">
        <f ca="1">IFERROR(__xludf.DUMMYFUNCTION("""COMPUTED_VALUE"""),44259)</f>
        <v>44259</v>
      </c>
      <c r="J987" s="2">
        <f ca="1">IFERROR(__xludf.DUMMYFUNCTION("""COMPUTED_VALUE"""),44623)</f>
        <v>44623</v>
      </c>
    </row>
    <row r="988" spans="1:10" x14ac:dyDescent="0.25">
      <c r="A988" s="1" t="str">
        <f ca="1">IFERROR(__xludf.DUMMYFUNCTION("""COMPUTED_VALUE"""),"Formás SE")</f>
        <v>Formás SE</v>
      </c>
      <c r="B988" s="1" t="str">
        <f ca="1">IFERROR(__xludf.DUMMYFUNCTION("""COMPUTED_VALUE"""),"Bujdosó Diána")</f>
        <v>Bujdosó Diána</v>
      </c>
      <c r="C988" s="1"/>
      <c r="D988" s="1" t="str">
        <f ca="1">IFERROR(__xludf.DUMMYFUNCTION("""COMPUTED_VALUE"""),"Nő")</f>
        <v>Nő</v>
      </c>
      <c r="E988" s="1"/>
      <c r="F988" s="1">
        <f ca="1">IFERROR(__xludf.DUMMYFUNCTION("""COMPUTED_VALUE"""),1988)</f>
        <v>1988</v>
      </c>
      <c r="G988" s="1">
        <f ca="1">IFERROR(__xludf.DUMMYFUNCTION("""COMPUTED_VALUE"""),3883)</f>
        <v>3883</v>
      </c>
      <c r="H988" s="1" t="str">
        <f ca="1">IFERROR(__xludf.DUMMYFUNCTION("""COMPUTED_VALUE"""),"MTLSZ003883A21")</f>
        <v>MTLSZ003883A21</v>
      </c>
      <c r="I988" s="2">
        <f ca="1">IFERROR(__xludf.DUMMYFUNCTION("""COMPUTED_VALUE"""),44259)</f>
        <v>44259</v>
      </c>
      <c r="J988" s="2">
        <f ca="1">IFERROR(__xludf.DUMMYFUNCTION("""COMPUTED_VALUE"""),44623)</f>
        <v>44623</v>
      </c>
    </row>
    <row r="989" spans="1:10" x14ac:dyDescent="0.25">
      <c r="A989" s="1" t="str">
        <f ca="1">IFERROR(__xludf.DUMMYFUNCTION("""COMPUTED_VALUE"""),"Formás SE")</f>
        <v>Formás SE</v>
      </c>
      <c r="B989" s="1" t="str">
        <f ca="1">IFERROR(__xludf.DUMMYFUNCTION("""COMPUTED_VALUE"""),"Varga Lilien")</f>
        <v>Varga Lilien</v>
      </c>
      <c r="C989" s="1"/>
      <c r="D989" s="1" t="str">
        <f ca="1">IFERROR(__xludf.DUMMYFUNCTION("""COMPUTED_VALUE"""),"Nő")</f>
        <v>Nő</v>
      </c>
      <c r="E989" s="1"/>
      <c r="F989" s="1">
        <f ca="1">IFERROR(__xludf.DUMMYFUNCTION("""COMPUTED_VALUE"""),2013)</f>
        <v>2013</v>
      </c>
      <c r="G989" s="1">
        <f ca="1">IFERROR(__xludf.DUMMYFUNCTION("""COMPUTED_VALUE"""),4423)</f>
        <v>4423</v>
      </c>
      <c r="H989" s="1" t="str">
        <f ca="1">IFERROR(__xludf.DUMMYFUNCTION("""COMPUTED_VALUE"""),"MTLSZ004423A21")</f>
        <v>MTLSZ004423A21</v>
      </c>
      <c r="I989" s="2">
        <f ca="1">IFERROR(__xludf.DUMMYFUNCTION("""COMPUTED_VALUE"""),44259)</f>
        <v>44259</v>
      </c>
      <c r="J989" s="2">
        <f ca="1">IFERROR(__xludf.DUMMYFUNCTION("""COMPUTED_VALUE"""),44623)</f>
        <v>44623</v>
      </c>
    </row>
    <row r="990" spans="1:10" x14ac:dyDescent="0.25">
      <c r="A990" s="1" t="str">
        <f ca="1">IFERROR(__xludf.DUMMYFUNCTION("""COMPUTED_VALUE"""),"Katonatelepi SE")</f>
        <v>Katonatelepi SE</v>
      </c>
      <c r="B990" s="1" t="str">
        <f ca="1">IFERROR(__xludf.DUMMYFUNCTION("""COMPUTED_VALUE"""),"Tholt Róbert")</f>
        <v>Tholt Róbert</v>
      </c>
      <c r="C990" s="1"/>
      <c r="D990" s="1" t="str">
        <f ca="1">IFERROR(__xludf.DUMMYFUNCTION("""COMPUTED_VALUE"""),"Férfi")</f>
        <v>Férfi</v>
      </c>
      <c r="E990" s="1"/>
      <c r="F990" s="1">
        <f ca="1">IFERROR(__xludf.DUMMYFUNCTION("""COMPUTED_VALUE"""),1985)</f>
        <v>1985</v>
      </c>
      <c r="G990" s="1">
        <f ca="1">IFERROR(__xludf.DUMMYFUNCTION("""COMPUTED_VALUE"""),4420)</f>
        <v>4420</v>
      </c>
      <c r="H990" s="1" t="str">
        <f ca="1">IFERROR(__xludf.DUMMYFUNCTION("""COMPUTED_VALUE"""),"MTLSZ004420A21")</f>
        <v>MTLSZ004420A21</v>
      </c>
      <c r="I990" s="2">
        <f ca="1">IFERROR(__xludf.DUMMYFUNCTION("""COMPUTED_VALUE"""),44259)</f>
        <v>44259</v>
      </c>
      <c r="J990" s="2">
        <f ca="1">IFERROR(__xludf.DUMMYFUNCTION("""COMPUTED_VALUE"""),44623)</f>
        <v>44623</v>
      </c>
    </row>
    <row r="991" spans="1:10" x14ac:dyDescent="0.25">
      <c r="A991" s="1" t="str">
        <f ca="1">IFERROR(__xludf.DUMMYFUNCTION("""COMPUTED_VALUE"""),"Klébi DSE")</f>
        <v>Klébi DSE</v>
      </c>
      <c r="B991" s="1" t="str">
        <f ca="1">IFERROR(__xludf.DUMMYFUNCTION("""COMPUTED_VALUE"""),"Pinczi Tamás")</f>
        <v>Pinczi Tamás</v>
      </c>
      <c r="C991" s="1"/>
      <c r="D991" s="1" t="str">
        <f ca="1">IFERROR(__xludf.DUMMYFUNCTION("""COMPUTED_VALUE"""),"Férfi")</f>
        <v>Férfi</v>
      </c>
      <c r="E991" s="1"/>
      <c r="F991" s="1">
        <f ca="1">IFERROR(__xludf.DUMMYFUNCTION("""COMPUTED_VALUE"""),2006)</f>
        <v>2006</v>
      </c>
      <c r="G991" s="1">
        <f ca="1">IFERROR(__xludf.DUMMYFUNCTION("""COMPUTED_VALUE"""),4422)</f>
        <v>4422</v>
      </c>
      <c r="H991" s="1" t="str">
        <f ca="1">IFERROR(__xludf.DUMMYFUNCTION("""COMPUTED_VALUE"""),"MTLSZ004422A21")</f>
        <v>MTLSZ004422A21</v>
      </c>
      <c r="I991" s="2">
        <f ca="1">IFERROR(__xludf.DUMMYFUNCTION("""COMPUTED_VALUE"""),44259)</f>
        <v>44259</v>
      </c>
      <c r="J991" s="2">
        <f ca="1">IFERROR(__xludf.DUMMYFUNCTION("""COMPUTED_VALUE"""),44623)</f>
        <v>44623</v>
      </c>
    </row>
    <row r="992" spans="1:10" x14ac:dyDescent="0.25">
      <c r="A992" s="1" t="str">
        <f ca="1">IFERROR(__xludf.DUMMYFUNCTION("""COMPUTED_VALUE"""),"Multi Alarm SE")</f>
        <v>Multi Alarm SE</v>
      </c>
      <c r="B992" s="1" t="str">
        <f ca="1">IFERROR(__xludf.DUMMYFUNCTION("""COMPUTED_VALUE"""),"Pintér István")</f>
        <v>Pintér István</v>
      </c>
      <c r="C992" s="1"/>
      <c r="D992" s="1" t="str">
        <f ca="1">IFERROR(__xludf.DUMMYFUNCTION("""COMPUTED_VALUE"""),"Férfi")</f>
        <v>Férfi</v>
      </c>
      <c r="E992" s="1"/>
      <c r="F992" s="1">
        <f ca="1">IFERROR(__xludf.DUMMYFUNCTION("""COMPUTED_VALUE"""),1949)</f>
        <v>1949</v>
      </c>
      <c r="G992" s="1">
        <f ca="1">IFERROR(__xludf.DUMMYFUNCTION("""COMPUTED_VALUE"""),4425)</f>
        <v>4425</v>
      </c>
      <c r="H992" s="1" t="str">
        <f ca="1">IFERROR(__xludf.DUMMYFUNCTION("""COMPUTED_VALUE"""),"MTLSZ004425A21")</f>
        <v>MTLSZ004425A21</v>
      </c>
      <c r="I992" s="2">
        <f ca="1">IFERROR(__xludf.DUMMYFUNCTION("""COMPUTED_VALUE"""),44259)</f>
        <v>44259</v>
      </c>
      <c r="J992" s="2">
        <f ca="1">IFERROR(__xludf.DUMMYFUNCTION("""COMPUTED_VALUE"""),44623)</f>
        <v>44623</v>
      </c>
    </row>
    <row r="993" spans="1:10" x14ac:dyDescent="0.25">
      <c r="A993" s="1" t="str">
        <f ca="1">IFERROR(__xludf.DUMMYFUNCTION("""COMPUTED_VALUE"""),"Tisza TSE")</f>
        <v>Tisza TSE</v>
      </c>
      <c r="B993" s="1" t="str">
        <f ca="1">IFERROR(__xludf.DUMMYFUNCTION("""COMPUTED_VALUE"""),"Iskander Zurkarnain")</f>
        <v>Iskander Zurkarnain</v>
      </c>
      <c r="C993" s="1"/>
      <c r="D993" s="1" t="str">
        <f ca="1">IFERROR(__xludf.DUMMYFUNCTION("""COMPUTED_VALUE"""),"Férfi")</f>
        <v>Férfi</v>
      </c>
      <c r="E993" s="1"/>
      <c r="F993" s="1">
        <f ca="1">IFERROR(__xludf.DUMMYFUNCTION("""COMPUTED_VALUE"""),1991)</f>
        <v>1991</v>
      </c>
      <c r="G993" s="1">
        <f ca="1">IFERROR(__xludf.DUMMYFUNCTION("""COMPUTED_VALUE"""),4418)</f>
        <v>4418</v>
      </c>
      <c r="H993" s="1" t="str">
        <f ca="1">IFERROR(__xludf.DUMMYFUNCTION("""COMPUTED_VALUE"""),"MTLSZ004418A21")</f>
        <v>MTLSZ004418A21</v>
      </c>
      <c r="I993" s="2">
        <f ca="1">IFERROR(__xludf.DUMMYFUNCTION("""COMPUTED_VALUE"""),44259)</f>
        <v>44259</v>
      </c>
      <c r="J993" s="2">
        <f ca="1">IFERROR(__xludf.DUMMYFUNCTION("""COMPUTED_VALUE"""),44623)</f>
        <v>44623</v>
      </c>
    </row>
    <row r="994" spans="1:10" x14ac:dyDescent="0.25">
      <c r="A994" s="1" t="str">
        <f ca="1">IFERROR(__xludf.DUMMYFUNCTION("""COMPUTED_VALUE"""),"Újpest TSE")</f>
        <v>Újpest TSE</v>
      </c>
      <c r="B994" s="1" t="str">
        <f ca="1">IFERROR(__xludf.DUMMYFUNCTION("""COMPUTED_VALUE"""),"Rusznák Brave-Manoucheca")</f>
        <v>Rusznák Brave-Manoucheca</v>
      </c>
      <c r="C994" s="1"/>
      <c r="D994" s="1" t="str">
        <f ca="1">IFERROR(__xludf.DUMMYFUNCTION("""COMPUTED_VALUE"""),"Nő")</f>
        <v>Nő</v>
      </c>
      <c r="E994" s="1"/>
      <c r="F994" s="1">
        <f ca="1">IFERROR(__xludf.DUMMYFUNCTION("""COMPUTED_VALUE"""),1985)</f>
        <v>1985</v>
      </c>
      <c r="G994" s="1">
        <f ca="1">IFERROR(__xludf.DUMMYFUNCTION("""COMPUTED_VALUE"""),4426)</f>
        <v>4426</v>
      </c>
      <c r="H994" s="1" t="str">
        <f ca="1">IFERROR(__xludf.DUMMYFUNCTION("""COMPUTED_VALUE"""),"MTLSZ004426A21")</f>
        <v>MTLSZ004426A21</v>
      </c>
      <c r="I994" s="2">
        <f ca="1">IFERROR(__xludf.DUMMYFUNCTION("""COMPUTED_VALUE"""),44259)</f>
        <v>44259</v>
      </c>
      <c r="J994" s="2">
        <f ca="1">IFERROR(__xludf.DUMMYFUNCTION("""COMPUTED_VALUE"""),44623)</f>
        <v>44623</v>
      </c>
    </row>
    <row r="995" spans="1:10" x14ac:dyDescent="0.25">
      <c r="A995" s="1" t="str">
        <f ca="1">IFERROR(__xludf.DUMMYFUNCTION("""COMPUTED_VALUE"""),"CET SE")</f>
        <v>CET SE</v>
      </c>
      <c r="B995" s="1" t="str">
        <f ca="1">IFERROR(__xludf.DUMMYFUNCTION("""COMPUTED_VALUE"""),"Molnár István")</f>
        <v>Molnár István</v>
      </c>
      <c r="C995" s="1"/>
      <c r="D995" s="1" t="str">
        <f ca="1">IFERROR(__xludf.DUMMYFUNCTION("""COMPUTED_VALUE"""),"Férfi")</f>
        <v>Férfi</v>
      </c>
      <c r="E995" s="1"/>
      <c r="F995" s="1">
        <f ca="1">IFERROR(__xludf.DUMMYFUNCTION("""COMPUTED_VALUE"""),1998)</f>
        <v>1998</v>
      </c>
      <c r="G995" s="1">
        <f ca="1">IFERROR(__xludf.DUMMYFUNCTION("""COMPUTED_VALUE"""),4408)</f>
        <v>4408</v>
      </c>
      <c r="H995" s="1" t="str">
        <f ca="1">IFERROR(__xludf.DUMMYFUNCTION("""COMPUTED_VALUE"""),"MTLSZ004408A21")</f>
        <v>MTLSZ004408A21</v>
      </c>
      <c r="I995" s="2">
        <f ca="1">IFERROR(__xludf.DUMMYFUNCTION("""COMPUTED_VALUE"""),44258)</f>
        <v>44258</v>
      </c>
      <c r="J995" s="2">
        <f ca="1">IFERROR(__xludf.DUMMYFUNCTION("""COMPUTED_VALUE"""),44622)</f>
        <v>44622</v>
      </c>
    </row>
    <row r="996" spans="1:10" x14ac:dyDescent="0.25">
      <c r="A996" s="1" t="str">
        <f ca="1">IFERROR(__xludf.DUMMYFUNCTION("""COMPUTED_VALUE"""),"Életmód SE")</f>
        <v>Életmód SE</v>
      </c>
      <c r="B996" s="1" t="str">
        <f ca="1">IFERROR(__xludf.DUMMYFUNCTION("""COMPUTED_VALUE"""),"Balog Adrienn")</f>
        <v>Balog Adrienn</v>
      </c>
      <c r="C996" s="1"/>
      <c r="D996" s="1" t="str">
        <f ca="1">IFERROR(__xludf.DUMMYFUNCTION("""COMPUTED_VALUE"""),"Nő")</f>
        <v>Nő</v>
      </c>
      <c r="E996" s="1"/>
      <c r="F996" s="1">
        <f ca="1">IFERROR(__xludf.DUMMYFUNCTION("""COMPUTED_VALUE"""),2014)</f>
        <v>2014</v>
      </c>
      <c r="G996" s="1">
        <f ca="1">IFERROR(__xludf.DUMMYFUNCTION("""COMPUTED_VALUE"""),4413)</f>
        <v>4413</v>
      </c>
      <c r="H996" s="1" t="str">
        <f ca="1">IFERROR(__xludf.DUMMYFUNCTION("""COMPUTED_VALUE"""),"MTLSZ004413A21")</f>
        <v>MTLSZ004413A21</v>
      </c>
      <c r="I996" s="2">
        <f ca="1">IFERROR(__xludf.DUMMYFUNCTION("""COMPUTED_VALUE"""),44258)</f>
        <v>44258</v>
      </c>
      <c r="J996" s="2">
        <f ca="1">IFERROR(__xludf.DUMMYFUNCTION("""COMPUTED_VALUE"""),44622)</f>
        <v>44622</v>
      </c>
    </row>
    <row r="997" spans="1:10" x14ac:dyDescent="0.25">
      <c r="A997" s="1" t="str">
        <f ca="1">IFERROR(__xludf.DUMMYFUNCTION("""COMPUTED_VALUE"""),"Életmód SE")</f>
        <v>Életmód SE</v>
      </c>
      <c r="B997" s="1" t="str">
        <f ca="1">IFERROR(__xludf.DUMMYFUNCTION("""COMPUTED_VALUE"""),"Bedő Beáta")</f>
        <v>Bedő Beáta</v>
      </c>
      <c r="C997" s="1"/>
      <c r="D997" s="1" t="str">
        <f ca="1">IFERROR(__xludf.DUMMYFUNCTION("""COMPUTED_VALUE"""),"Nő")</f>
        <v>Nő</v>
      </c>
      <c r="E997" s="1"/>
      <c r="F997" s="1">
        <f ca="1">IFERROR(__xludf.DUMMYFUNCTION("""COMPUTED_VALUE"""),1974)</f>
        <v>1974</v>
      </c>
      <c r="G997" s="1">
        <f ca="1">IFERROR(__xludf.DUMMYFUNCTION("""COMPUTED_VALUE"""),4412)</f>
        <v>4412</v>
      </c>
      <c r="H997" s="1" t="str">
        <f ca="1">IFERROR(__xludf.DUMMYFUNCTION("""COMPUTED_VALUE"""),"MTLSZ004412A21")</f>
        <v>MTLSZ004412A21</v>
      </c>
      <c r="I997" s="2">
        <f ca="1">IFERROR(__xludf.DUMMYFUNCTION("""COMPUTED_VALUE"""),44258)</f>
        <v>44258</v>
      </c>
      <c r="J997" s="2">
        <f ca="1">IFERROR(__xludf.DUMMYFUNCTION("""COMPUTED_VALUE"""),44622)</f>
        <v>44622</v>
      </c>
    </row>
    <row r="998" spans="1:10" x14ac:dyDescent="0.25">
      <c r="A998" s="1" t="str">
        <f ca="1">IFERROR(__xludf.DUMMYFUNCTION("""COMPUTED_VALUE"""),"Életmód SE")</f>
        <v>Életmód SE</v>
      </c>
      <c r="B998" s="1" t="str">
        <f ca="1">IFERROR(__xludf.DUMMYFUNCTION("""COMPUTED_VALUE"""),"Halasi Diána")</f>
        <v>Halasi Diána</v>
      </c>
      <c r="C998" s="1"/>
      <c r="D998" s="1" t="str">
        <f ca="1">IFERROR(__xludf.DUMMYFUNCTION("""COMPUTED_VALUE"""),"Nő")</f>
        <v>Nő</v>
      </c>
      <c r="E998" s="1"/>
      <c r="F998" s="1">
        <f ca="1">IFERROR(__xludf.DUMMYFUNCTION("""COMPUTED_VALUE"""),1984)</f>
        <v>1984</v>
      </c>
      <c r="G998" s="1">
        <f ca="1">IFERROR(__xludf.DUMMYFUNCTION("""COMPUTED_VALUE"""),4415)</f>
        <v>4415</v>
      </c>
      <c r="H998" s="1" t="str">
        <f ca="1">IFERROR(__xludf.DUMMYFUNCTION("""COMPUTED_VALUE"""),"MTLSZ004415A21")</f>
        <v>MTLSZ004415A21</v>
      </c>
      <c r="I998" s="2">
        <f ca="1">IFERROR(__xludf.DUMMYFUNCTION("""COMPUTED_VALUE"""),44258)</f>
        <v>44258</v>
      </c>
      <c r="J998" s="2">
        <f ca="1">IFERROR(__xludf.DUMMYFUNCTION("""COMPUTED_VALUE"""),44622)</f>
        <v>44622</v>
      </c>
    </row>
    <row r="999" spans="1:10" x14ac:dyDescent="0.25">
      <c r="A999" s="1" t="str">
        <f ca="1">IFERROR(__xludf.DUMMYFUNCTION("""COMPUTED_VALUE"""),"Életmód SE")</f>
        <v>Életmód SE</v>
      </c>
      <c r="B999" s="1" t="str">
        <f ca="1">IFERROR(__xludf.DUMMYFUNCTION("""COMPUTED_VALUE"""),"Kiss Papp Bori")</f>
        <v>Kiss Papp Bori</v>
      </c>
      <c r="C999" s="1"/>
      <c r="D999" s="1" t="str">
        <f ca="1">IFERROR(__xludf.DUMMYFUNCTION("""COMPUTED_VALUE"""),"Nő")</f>
        <v>Nő</v>
      </c>
      <c r="E999" s="1"/>
      <c r="F999" s="1">
        <f ca="1">IFERROR(__xludf.DUMMYFUNCTION("""COMPUTED_VALUE"""),2012)</f>
        <v>2012</v>
      </c>
      <c r="G999" s="1">
        <f ca="1">IFERROR(__xludf.DUMMYFUNCTION("""COMPUTED_VALUE"""),4409)</f>
        <v>4409</v>
      </c>
      <c r="H999" s="1" t="str">
        <f ca="1">IFERROR(__xludf.DUMMYFUNCTION("""COMPUTED_VALUE"""),"MTLSZ004409A21")</f>
        <v>MTLSZ004409A21</v>
      </c>
      <c r="I999" s="2">
        <f ca="1">IFERROR(__xludf.DUMMYFUNCTION("""COMPUTED_VALUE"""),44258)</f>
        <v>44258</v>
      </c>
      <c r="J999" s="2">
        <f ca="1">IFERROR(__xludf.DUMMYFUNCTION("""COMPUTED_VALUE"""),44622)</f>
        <v>44622</v>
      </c>
    </row>
    <row r="1000" spans="1:10" x14ac:dyDescent="0.25">
      <c r="A1000" s="1" t="str">
        <f ca="1">IFERROR(__xludf.DUMMYFUNCTION("""COMPUTED_VALUE"""),"Életmód SE")</f>
        <v>Életmód SE</v>
      </c>
      <c r="B1000" s="1" t="str">
        <f ca="1">IFERROR(__xludf.DUMMYFUNCTION("""COMPUTED_VALUE"""),"Kocsis Róbert")</f>
        <v>Kocsis Róbert</v>
      </c>
      <c r="C1000" s="1"/>
      <c r="D1000" s="1" t="str">
        <f ca="1">IFERROR(__xludf.DUMMYFUNCTION("""COMPUTED_VALUE"""),"Férfi")</f>
        <v>Férfi</v>
      </c>
      <c r="E1000" s="1"/>
      <c r="F1000" s="1">
        <f ca="1">IFERROR(__xludf.DUMMYFUNCTION("""COMPUTED_VALUE"""),1971)</f>
        <v>1971</v>
      </c>
      <c r="G1000" s="1">
        <f ca="1">IFERROR(__xludf.DUMMYFUNCTION("""COMPUTED_VALUE"""),4411)</f>
        <v>4411</v>
      </c>
      <c r="H1000" s="1" t="str">
        <f ca="1">IFERROR(__xludf.DUMMYFUNCTION("""COMPUTED_VALUE"""),"MTLSZ004411A21")</f>
        <v>MTLSZ004411A21</v>
      </c>
      <c r="I1000" s="2">
        <f ca="1">IFERROR(__xludf.DUMMYFUNCTION("""COMPUTED_VALUE"""),44258)</f>
        <v>44258</v>
      </c>
      <c r="J1000" s="2">
        <f ca="1">IFERROR(__xludf.DUMMYFUNCTION("""COMPUTED_VALUE"""),44622)</f>
        <v>44622</v>
      </c>
    </row>
    <row r="1001" spans="1:10" x14ac:dyDescent="0.25">
      <c r="A1001" s="1" t="str">
        <f ca="1">IFERROR(__xludf.DUMMYFUNCTION("""COMPUTED_VALUE"""),"Életmód SE")</f>
        <v>Életmód SE</v>
      </c>
      <c r="B1001" s="1" t="str">
        <f ca="1">IFERROR(__xludf.DUMMYFUNCTION("""COMPUTED_VALUE"""),"Kunszt Zsófia")</f>
        <v>Kunszt Zsófia</v>
      </c>
      <c r="C1001" s="1"/>
      <c r="D1001" s="1" t="str">
        <f ca="1">IFERROR(__xludf.DUMMYFUNCTION("""COMPUTED_VALUE"""),"Nő")</f>
        <v>Nő</v>
      </c>
      <c r="E1001" s="1"/>
      <c r="F1001" s="1">
        <f ca="1">IFERROR(__xludf.DUMMYFUNCTION("""COMPUTED_VALUE"""),2012)</f>
        <v>2012</v>
      </c>
      <c r="G1001" s="1">
        <f ca="1">IFERROR(__xludf.DUMMYFUNCTION("""COMPUTED_VALUE"""),4416)</f>
        <v>4416</v>
      </c>
      <c r="H1001" s="1" t="str">
        <f ca="1">IFERROR(__xludf.DUMMYFUNCTION("""COMPUTED_VALUE"""),"MTLSZ004416A21")</f>
        <v>MTLSZ004416A21</v>
      </c>
      <c r="I1001" s="2">
        <f ca="1">IFERROR(__xludf.DUMMYFUNCTION("""COMPUTED_VALUE"""),44258)</f>
        <v>44258</v>
      </c>
      <c r="J1001" s="2">
        <f ca="1">IFERROR(__xludf.DUMMYFUNCTION("""COMPUTED_VALUE"""),44622)</f>
        <v>44622</v>
      </c>
    </row>
    <row r="1002" spans="1:10" x14ac:dyDescent="0.25">
      <c r="A1002" s="1" t="str">
        <f ca="1">IFERROR(__xludf.DUMMYFUNCTION("""COMPUTED_VALUE"""),"Életmód SE")</f>
        <v>Életmód SE</v>
      </c>
      <c r="B1002" s="1" t="str">
        <f ca="1">IFERROR(__xludf.DUMMYFUNCTION("""COMPUTED_VALUE"""),"Sallai Lili")</f>
        <v>Sallai Lili</v>
      </c>
      <c r="C1002" s="1"/>
      <c r="D1002" s="1" t="str">
        <f ca="1">IFERROR(__xludf.DUMMYFUNCTION("""COMPUTED_VALUE"""),"Nő")</f>
        <v>Nő</v>
      </c>
      <c r="E1002" s="1"/>
      <c r="F1002" s="1">
        <f ca="1">IFERROR(__xludf.DUMMYFUNCTION("""COMPUTED_VALUE"""),2016)</f>
        <v>2016</v>
      </c>
      <c r="G1002" s="1">
        <f ca="1">IFERROR(__xludf.DUMMYFUNCTION("""COMPUTED_VALUE"""),4414)</f>
        <v>4414</v>
      </c>
      <c r="H1002" s="1" t="str">
        <f ca="1">IFERROR(__xludf.DUMMYFUNCTION("""COMPUTED_VALUE"""),"MTLSZ004414A21")</f>
        <v>MTLSZ004414A21</v>
      </c>
      <c r="I1002" s="2">
        <f ca="1">IFERROR(__xludf.DUMMYFUNCTION("""COMPUTED_VALUE"""),44258)</f>
        <v>44258</v>
      </c>
      <c r="J1002" s="2">
        <f ca="1">IFERROR(__xludf.DUMMYFUNCTION("""COMPUTED_VALUE"""),44622)</f>
        <v>44622</v>
      </c>
    </row>
    <row r="1003" spans="1:10" x14ac:dyDescent="0.25">
      <c r="A1003" s="1" t="str">
        <f ca="1">IFERROR(__xludf.DUMMYFUNCTION("""COMPUTED_VALUE"""),"Életmód SE")</f>
        <v>Életmód SE</v>
      </c>
      <c r="B1003" s="1" t="str">
        <f ca="1">IFERROR(__xludf.DUMMYFUNCTION("""COMPUTED_VALUE"""),"Takács Péter")</f>
        <v>Takács Péter</v>
      </c>
      <c r="C1003" s="1"/>
      <c r="D1003" s="1" t="str">
        <f ca="1">IFERROR(__xludf.DUMMYFUNCTION("""COMPUTED_VALUE"""),"Férfi")</f>
        <v>Férfi</v>
      </c>
      <c r="E1003" s="1"/>
      <c r="F1003" s="1">
        <f ca="1">IFERROR(__xludf.DUMMYFUNCTION("""COMPUTED_VALUE"""),1975)</f>
        <v>1975</v>
      </c>
      <c r="G1003" s="1">
        <f ca="1">IFERROR(__xludf.DUMMYFUNCTION("""COMPUTED_VALUE"""),4410)</f>
        <v>4410</v>
      </c>
      <c r="H1003" s="1" t="str">
        <f ca="1">IFERROR(__xludf.DUMMYFUNCTION("""COMPUTED_VALUE"""),"MTLSZ004410A21")</f>
        <v>MTLSZ004410A21</v>
      </c>
      <c r="I1003" s="2">
        <f ca="1">IFERROR(__xludf.DUMMYFUNCTION("""COMPUTED_VALUE"""),44258)</f>
        <v>44258</v>
      </c>
      <c r="J1003" s="2">
        <f ca="1">IFERROR(__xludf.DUMMYFUNCTION("""COMPUTED_VALUE"""),44622)</f>
        <v>44622</v>
      </c>
    </row>
    <row r="1004" spans="1:10" x14ac:dyDescent="0.25">
      <c r="A1004" s="1" t="str">
        <f ca="1">IFERROR(__xludf.DUMMYFUNCTION("""COMPUTED_VALUE"""),"FBSE")</f>
        <v>FBSE</v>
      </c>
      <c r="B1004" s="1" t="str">
        <f ca="1">IFERROR(__xludf.DUMMYFUNCTION("""COMPUTED_VALUE"""),"Tóth Hanna")</f>
        <v>Tóth Hanna</v>
      </c>
      <c r="C1004" s="1"/>
      <c r="D1004" s="1" t="str">
        <f ca="1">IFERROR(__xludf.DUMMYFUNCTION("""COMPUTED_VALUE"""),"Nő")</f>
        <v>Nő</v>
      </c>
      <c r="E1004" s="1"/>
      <c r="F1004" s="1">
        <f ca="1">IFERROR(__xludf.DUMMYFUNCTION("""COMPUTED_VALUE"""),1998)</f>
        <v>1998</v>
      </c>
      <c r="G1004" s="1">
        <f ca="1">IFERROR(__xludf.DUMMYFUNCTION("""COMPUTED_VALUE"""),2100)</f>
        <v>2100</v>
      </c>
      <c r="H1004" s="1" t="str">
        <f ca="1">IFERROR(__xludf.DUMMYFUNCTION("""COMPUTED_VALUE"""),"MTLSZ002100A21")</f>
        <v>MTLSZ002100A21</v>
      </c>
      <c r="I1004" s="2">
        <f ca="1">IFERROR(__xludf.DUMMYFUNCTION("""COMPUTED_VALUE"""),44258)</f>
        <v>44258</v>
      </c>
      <c r="J1004" s="2">
        <f ca="1">IFERROR(__xludf.DUMMYFUNCTION("""COMPUTED_VALUE"""),44622)</f>
        <v>44622</v>
      </c>
    </row>
    <row r="1005" spans="1:10" x14ac:dyDescent="0.25">
      <c r="A1005" s="1" t="str">
        <f ca="1">IFERROR(__xludf.DUMMYFUNCTION("""COMPUTED_VALUE"""),"Multi Alarm SE")</f>
        <v>Multi Alarm SE</v>
      </c>
      <c r="B1005" s="1" t="str">
        <f ca="1">IFERROR(__xludf.DUMMYFUNCTION("""COMPUTED_VALUE"""),"Balogh Csaba Zoltán")</f>
        <v>Balogh Csaba Zoltán</v>
      </c>
      <c r="C1005" s="1"/>
      <c r="D1005" s="1" t="str">
        <f ca="1">IFERROR(__xludf.DUMMYFUNCTION("""COMPUTED_VALUE"""),"Férfi")</f>
        <v>Férfi</v>
      </c>
      <c r="E1005" s="1"/>
      <c r="F1005" s="1">
        <f ca="1">IFERROR(__xludf.DUMMYFUNCTION("""COMPUTED_VALUE"""),1969)</f>
        <v>1969</v>
      </c>
      <c r="G1005" s="1">
        <f ca="1">IFERROR(__xludf.DUMMYFUNCTION("""COMPUTED_VALUE"""),4402)</f>
        <v>4402</v>
      </c>
      <c r="H1005" s="1" t="str">
        <f ca="1">IFERROR(__xludf.DUMMYFUNCTION("""COMPUTED_VALUE"""),"MTLSZ004402A21")</f>
        <v>MTLSZ004402A21</v>
      </c>
      <c r="I1005" s="2">
        <f ca="1">IFERROR(__xludf.DUMMYFUNCTION("""COMPUTED_VALUE"""),44258)</f>
        <v>44258</v>
      </c>
      <c r="J1005" s="2">
        <f ca="1">IFERROR(__xludf.DUMMYFUNCTION("""COMPUTED_VALUE"""),44622)</f>
        <v>44622</v>
      </c>
    </row>
    <row r="1006" spans="1:10" x14ac:dyDescent="0.25">
      <c r="A1006" s="1" t="str">
        <f ca="1">IFERROR(__xludf.DUMMYFUNCTION("""COMPUTED_VALUE"""),"Multi Alarm SE")</f>
        <v>Multi Alarm SE</v>
      </c>
      <c r="B1006" s="1" t="str">
        <f ca="1">IFERROR(__xludf.DUMMYFUNCTION("""COMPUTED_VALUE"""),"Bősz Róbert")</f>
        <v>Bősz Róbert</v>
      </c>
      <c r="C1006" s="1"/>
      <c r="D1006" s="1" t="str">
        <f ca="1">IFERROR(__xludf.DUMMYFUNCTION("""COMPUTED_VALUE"""),"Férfi")</f>
        <v>Férfi</v>
      </c>
      <c r="E1006" s="1"/>
      <c r="F1006" s="1">
        <f ca="1">IFERROR(__xludf.DUMMYFUNCTION("""COMPUTED_VALUE"""),1963)</f>
        <v>1963</v>
      </c>
      <c r="G1006" s="1">
        <f ca="1">IFERROR(__xludf.DUMMYFUNCTION("""COMPUTED_VALUE"""),4398)</f>
        <v>4398</v>
      </c>
      <c r="H1006" s="1" t="str">
        <f ca="1">IFERROR(__xludf.DUMMYFUNCTION("""COMPUTED_VALUE"""),"MTLSZ004398A21")</f>
        <v>MTLSZ004398A21</v>
      </c>
      <c r="I1006" s="2">
        <f ca="1">IFERROR(__xludf.DUMMYFUNCTION("""COMPUTED_VALUE"""),44258)</f>
        <v>44258</v>
      </c>
      <c r="J1006" s="2">
        <f ca="1">IFERROR(__xludf.DUMMYFUNCTION("""COMPUTED_VALUE"""),44622)</f>
        <v>44622</v>
      </c>
    </row>
    <row r="1007" spans="1:10" x14ac:dyDescent="0.25">
      <c r="A1007" s="1" t="str">
        <f ca="1">IFERROR(__xludf.DUMMYFUNCTION("""COMPUTED_VALUE"""),"Multi Alarm SE")</f>
        <v>Multi Alarm SE</v>
      </c>
      <c r="B1007" s="1" t="str">
        <f ca="1">IFERROR(__xludf.DUMMYFUNCTION("""COMPUTED_VALUE"""),"Bözöri Imre")</f>
        <v>Bözöri Imre</v>
      </c>
      <c r="C1007" s="1"/>
      <c r="D1007" s="1" t="str">
        <f ca="1">IFERROR(__xludf.DUMMYFUNCTION("""COMPUTED_VALUE"""),"Férfi")</f>
        <v>Férfi</v>
      </c>
      <c r="E1007" s="1"/>
      <c r="F1007" s="1">
        <f ca="1">IFERROR(__xludf.DUMMYFUNCTION("""COMPUTED_VALUE"""),1957)</f>
        <v>1957</v>
      </c>
      <c r="G1007" s="1">
        <f ca="1">IFERROR(__xludf.DUMMYFUNCTION("""COMPUTED_VALUE"""),4405)</f>
        <v>4405</v>
      </c>
      <c r="H1007" s="1" t="str">
        <f ca="1">IFERROR(__xludf.DUMMYFUNCTION("""COMPUTED_VALUE"""),"MTLSZ004405A21")</f>
        <v>MTLSZ004405A21</v>
      </c>
      <c r="I1007" s="2">
        <f ca="1">IFERROR(__xludf.DUMMYFUNCTION("""COMPUTED_VALUE"""),44258)</f>
        <v>44258</v>
      </c>
      <c r="J1007" s="2">
        <f ca="1">IFERROR(__xludf.DUMMYFUNCTION("""COMPUTED_VALUE"""),44622)</f>
        <v>44622</v>
      </c>
    </row>
    <row r="1008" spans="1:10" x14ac:dyDescent="0.25">
      <c r="A1008" s="1" t="str">
        <f ca="1">IFERROR(__xludf.DUMMYFUNCTION("""COMPUTED_VALUE"""),"Multi Alarm SE")</f>
        <v>Multi Alarm SE</v>
      </c>
      <c r="B1008" s="1" t="str">
        <f ca="1">IFERROR(__xludf.DUMMYFUNCTION("""COMPUTED_VALUE"""),"Dóra Sára")</f>
        <v>Dóra Sára</v>
      </c>
      <c r="C1008" s="1"/>
      <c r="D1008" s="1" t="str">
        <f ca="1">IFERROR(__xludf.DUMMYFUNCTION("""COMPUTED_VALUE"""),"Nő")</f>
        <v>Nő</v>
      </c>
      <c r="E1008" s="1"/>
      <c r="F1008" s="1">
        <f ca="1">IFERROR(__xludf.DUMMYFUNCTION("""COMPUTED_VALUE"""),2008)</f>
        <v>2008</v>
      </c>
      <c r="G1008" s="1">
        <f ca="1">IFERROR(__xludf.DUMMYFUNCTION("""COMPUTED_VALUE"""),4394)</f>
        <v>4394</v>
      </c>
      <c r="H1008" s="1" t="str">
        <f ca="1">IFERROR(__xludf.DUMMYFUNCTION("""COMPUTED_VALUE"""),"MTLSZ004394A21")</f>
        <v>MTLSZ004394A21</v>
      </c>
      <c r="I1008" s="2">
        <f ca="1">IFERROR(__xludf.DUMMYFUNCTION("""COMPUTED_VALUE"""),44258)</f>
        <v>44258</v>
      </c>
      <c r="J1008" s="2">
        <f ca="1">IFERROR(__xludf.DUMMYFUNCTION("""COMPUTED_VALUE"""),44622)</f>
        <v>44622</v>
      </c>
    </row>
    <row r="1009" spans="1:10" x14ac:dyDescent="0.25">
      <c r="A1009" s="1" t="str">
        <f ca="1">IFERROR(__xludf.DUMMYFUNCTION("""COMPUTED_VALUE"""),"Multi Alarm SE")</f>
        <v>Multi Alarm SE</v>
      </c>
      <c r="B1009" s="1" t="str">
        <f ca="1">IFERROR(__xludf.DUMMYFUNCTION("""COMPUTED_VALUE"""),"dr. Varga Irén")</f>
        <v>dr. Varga Irén</v>
      </c>
      <c r="C1009" s="1"/>
      <c r="D1009" s="1" t="str">
        <f ca="1">IFERROR(__xludf.DUMMYFUNCTION("""COMPUTED_VALUE"""),"Nő")</f>
        <v>Nő</v>
      </c>
      <c r="E1009" s="1"/>
      <c r="F1009" s="1">
        <f ca="1">IFERROR(__xludf.DUMMYFUNCTION("""COMPUTED_VALUE"""),1957)</f>
        <v>1957</v>
      </c>
      <c r="G1009" s="1">
        <f ca="1">IFERROR(__xludf.DUMMYFUNCTION("""COMPUTED_VALUE"""),4406)</f>
        <v>4406</v>
      </c>
      <c r="H1009" s="1" t="str">
        <f ca="1">IFERROR(__xludf.DUMMYFUNCTION("""COMPUTED_VALUE"""),"MTLSZ004406A21")</f>
        <v>MTLSZ004406A21</v>
      </c>
      <c r="I1009" s="2">
        <f ca="1">IFERROR(__xludf.DUMMYFUNCTION("""COMPUTED_VALUE"""),44258)</f>
        <v>44258</v>
      </c>
      <c r="J1009" s="2">
        <f ca="1">IFERROR(__xludf.DUMMYFUNCTION("""COMPUTED_VALUE"""),44622)</f>
        <v>44622</v>
      </c>
    </row>
    <row r="1010" spans="1:10" x14ac:dyDescent="0.25">
      <c r="A1010" s="1" t="str">
        <f ca="1">IFERROR(__xludf.DUMMYFUNCTION("""COMPUTED_VALUE"""),"Multi Alarm SE")</f>
        <v>Multi Alarm SE</v>
      </c>
      <c r="B1010" s="1" t="str">
        <f ca="1">IFERROR(__xludf.DUMMYFUNCTION("""COMPUTED_VALUE"""),"Kónya János")</f>
        <v>Kónya János</v>
      </c>
      <c r="C1010" s="1"/>
      <c r="D1010" s="1" t="str">
        <f ca="1">IFERROR(__xludf.DUMMYFUNCTION("""COMPUTED_VALUE"""),"Férfi")</f>
        <v>Férfi</v>
      </c>
      <c r="E1010" s="1"/>
      <c r="F1010" s="1">
        <f ca="1">IFERROR(__xludf.DUMMYFUNCTION("""COMPUTED_VALUE"""),1961)</f>
        <v>1961</v>
      </c>
      <c r="G1010" s="1">
        <f ca="1">IFERROR(__xludf.DUMMYFUNCTION("""COMPUTED_VALUE"""),4396)</f>
        <v>4396</v>
      </c>
      <c r="H1010" s="1" t="str">
        <f ca="1">IFERROR(__xludf.DUMMYFUNCTION("""COMPUTED_VALUE"""),"MTLSZ004396A21")</f>
        <v>MTLSZ004396A21</v>
      </c>
      <c r="I1010" s="2">
        <f ca="1">IFERROR(__xludf.DUMMYFUNCTION("""COMPUTED_VALUE"""),44258)</f>
        <v>44258</v>
      </c>
      <c r="J1010" s="2">
        <f ca="1">IFERROR(__xludf.DUMMYFUNCTION("""COMPUTED_VALUE"""),44622)</f>
        <v>44622</v>
      </c>
    </row>
    <row r="1011" spans="1:10" x14ac:dyDescent="0.25">
      <c r="A1011" s="1" t="str">
        <f ca="1">IFERROR(__xludf.DUMMYFUNCTION("""COMPUTED_VALUE"""),"Multi Alarm SE")</f>
        <v>Multi Alarm SE</v>
      </c>
      <c r="B1011" s="1" t="str">
        <f ca="1">IFERROR(__xludf.DUMMYFUNCTION("""COMPUTED_VALUE"""),"Ponnert Viktor")</f>
        <v>Ponnert Viktor</v>
      </c>
      <c r="C1011" s="1"/>
      <c r="D1011" s="1" t="str">
        <f ca="1">IFERROR(__xludf.DUMMYFUNCTION("""COMPUTED_VALUE"""),"Férfi")</f>
        <v>Férfi</v>
      </c>
      <c r="E1011" s="1"/>
      <c r="F1011" s="1">
        <f ca="1">IFERROR(__xludf.DUMMYFUNCTION("""COMPUTED_VALUE"""),1988)</f>
        <v>1988</v>
      </c>
      <c r="G1011" s="1">
        <f ca="1">IFERROR(__xludf.DUMMYFUNCTION("""COMPUTED_VALUE"""),4403)</f>
        <v>4403</v>
      </c>
      <c r="H1011" s="1" t="str">
        <f ca="1">IFERROR(__xludf.DUMMYFUNCTION("""COMPUTED_VALUE"""),"MTLSZ004403A21")</f>
        <v>MTLSZ004403A21</v>
      </c>
      <c r="I1011" s="2">
        <f ca="1">IFERROR(__xludf.DUMMYFUNCTION("""COMPUTED_VALUE"""),44258)</f>
        <v>44258</v>
      </c>
      <c r="J1011" s="2">
        <f ca="1">IFERROR(__xludf.DUMMYFUNCTION("""COMPUTED_VALUE"""),44622)</f>
        <v>44622</v>
      </c>
    </row>
    <row r="1012" spans="1:10" x14ac:dyDescent="0.25">
      <c r="A1012" s="1" t="str">
        <f ca="1">IFERROR(__xludf.DUMMYFUNCTION("""COMPUTED_VALUE"""),"Multi Alarm SE")</f>
        <v>Multi Alarm SE</v>
      </c>
      <c r="B1012" s="1" t="str">
        <f ca="1">IFERROR(__xludf.DUMMYFUNCTION("""COMPUTED_VALUE"""),"Ritter Dániel")</f>
        <v>Ritter Dániel</v>
      </c>
      <c r="C1012" s="1"/>
      <c r="D1012" s="1" t="str">
        <f ca="1">IFERROR(__xludf.DUMMYFUNCTION("""COMPUTED_VALUE"""),"Férfi")</f>
        <v>Férfi</v>
      </c>
      <c r="E1012" s="1"/>
      <c r="F1012" s="1">
        <f ca="1">IFERROR(__xludf.DUMMYFUNCTION("""COMPUTED_VALUE"""),1988)</f>
        <v>1988</v>
      </c>
      <c r="G1012" s="1">
        <f ca="1">IFERROR(__xludf.DUMMYFUNCTION("""COMPUTED_VALUE"""),4397)</f>
        <v>4397</v>
      </c>
      <c r="H1012" s="1" t="str">
        <f ca="1">IFERROR(__xludf.DUMMYFUNCTION("""COMPUTED_VALUE"""),"MTLSZ004397A21")</f>
        <v>MTLSZ004397A21</v>
      </c>
      <c r="I1012" s="2">
        <f ca="1">IFERROR(__xludf.DUMMYFUNCTION("""COMPUTED_VALUE"""),44258)</f>
        <v>44258</v>
      </c>
      <c r="J1012" s="2">
        <f ca="1">IFERROR(__xludf.DUMMYFUNCTION("""COMPUTED_VALUE"""),44622)</f>
        <v>44622</v>
      </c>
    </row>
    <row r="1013" spans="1:10" x14ac:dyDescent="0.25">
      <c r="A1013" s="1" t="str">
        <f ca="1">IFERROR(__xludf.DUMMYFUNCTION("""COMPUTED_VALUE"""),"Multi Alarm SE")</f>
        <v>Multi Alarm SE</v>
      </c>
      <c r="B1013" s="1" t="str">
        <f ca="1">IFERROR(__xludf.DUMMYFUNCTION("""COMPUTED_VALUE"""),"Török Bálint")</f>
        <v>Török Bálint</v>
      </c>
      <c r="C1013" s="1"/>
      <c r="D1013" s="1" t="str">
        <f ca="1">IFERROR(__xludf.DUMMYFUNCTION("""COMPUTED_VALUE"""),"Férfi")</f>
        <v>Férfi</v>
      </c>
      <c r="E1013" s="1"/>
      <c r="F1013" s="1">
        <f ca="1">IFERROR(__xludf.DUMMYFUNCTION("""COMPUTED_VALUE"""),1972)</f>
        <v>1972</v>
      </c>
      <c r="G1013" s="1">
        <f ca="1">IFERROR(__xludf.DUMMYFUNCTION("""COMPUTED_VALUE"""),4400)</f>
        <v>4400</v>
      </c>
      <c r="H1013" s="1" t="str">
        <f ca="1">IFERROR(__xludf.DUMMYFUNCTION("""COMPUTED_VALUE"""),"MTLSZ004400A21")</f>
        <v>MTLSZ004400A21</v>
      </c>
      <c r="I1013" s="2">
        <f ca="1">IFERROR(__xludf.DUMMYFUNCTION("""COMPUTED_VALUE"""),44258)</f>
        <v>44258</v>
      </c>
      <c r="J1013" s="2">
        <f ca="1">IFERROR(__xludf.DUMMYFUNCTION("""COMPUTED_VALUE"""),44622)</f>
        <v>44622</v>
      </c>
    </row>
    <row r="1014" spans="1:10" x14ac:dyDescent="0.25">
      <c r="A1014" s="1" t="str">
        <f ca="1">IFERROR(__xludf.DUMMYFUNCTION("""COMPUTED_VALUE"""),"Multi Alarm SE")</f>
        <v>Multi Alarm SE</v>
      </c>
      <c r="B1014" s="1" t="str">
        <f ca="1">IFERROR(__xludf.DUMMYFUNCTION("""COMPUTED_VALUE"""),"Török Vince")</f>
        <v>Török Vince</v>
      </c>
      <c r="C1014" s="1"/>
      <c r="D1014" s="1" t="str">
        <f ca="1">IFERROR(__xludf.DUMMYFUNCTION("""COMPUTED_VALUE"""),"Férfi")</f>
        <v>Férfi</v>
      </c>
      <c r="E1014" s="1"/>
      <c r="F1014" s="1">
        <f ca="1">IFERROR(__xludf.DUMMYFUNCTION("""COMPUTED_VALUE"""),1999)</f>
        <v>1999</v>
      </c>
      <c r="G1014" s="1">
        <f ca="1">IFERROR(__xludf.DUMMYFUNCTION("""COMPUTED_VALUE"""),4401)</f>
        <v>4401</v>
      </c>
      <c r="H1014" s="1" t="str">
        <f ca="1">IFERROR(__xludf.DUMMYFUNCTION("""COMPUTED_VALUE"""),"MTLSZ004401A21")</f>
        <v>MTLSZ004401A21</v>
      </c>
      <c r="I1014" s="2">
        <f ca="1">IFERROR(__xludf.DUMMYFUNCTION("""COMPUTED_VALUE"""),44258)</f>
        <v>44258</v>
      </c>
      <c r="J1014" s="2">
        <f ca="1">IFERROR(__xludf.DUMMYFUNCTION("""COMPUTED_VALUE"""),44622)</f>
        <v>44622</v>
      </c>
    </row>
    <row r="1015" spans="1:10" x14ac:dyDescent="0.25">
      <c r="A1015" s="1" t="str">
        <f ca="1">IFERROR(__xludf.DUMMYFUNCTION("""COMPUTED_VALUE"""),"Multi Alarm SE")</f>
        <v>Multi Alarm SE</v>
      </c>
      <c r="B1015" s="1" t="str">
        <f ca="1">IFERROR(__xludf.DUMMYFUNCTION("""COMPUTED_VALUE"""),"Vessző Adrienn")</f>
        <v>Vessző Adrienn</v>
      </c>
      <c r="C1015" s="1"/>
      <c r="D1015" s="1" t="str">
        <f ca="1">IFERROR(__xludf.DUMMYFUNCTION("""COMPUTED_VALUE"""),"Nő")</f>
        <v>Nő</v>
      </c>
      <c r="E1015" s="1"/>
      <c r="F1015" s="1">
        <f ca="1">IFERROR(__xludf.DUMMYFUNCTION("""COMPUTED_VALUE"""),1973)</f>
        <v>1973</v>
      </c>
      <c r="G1015" s="1">
        <f ca="1">IFERROR(__xludf.DUMMYFUNCTION("""COMPUTED_VALUE"""),4399)</f>
        <v>4399</v>
      </c>
      <c r="H1015" s="1" t="str">
        <f ca="1">IFERROR(__xludf.DUMMYFUNCTION("""COMPUTED_VALUE"""),"MTLSZ004399A21")</f>
        <v>MTLSZ004399A21</v>
      </c>
      <c r="I1015" s="2">
        <f ca="1">IFERROR(__xludf.DUMMYFUNCTION("""COMPUTED_VALUE"""),44258)</f>
        <v>44258</v>
      </c>
      <c r="J1015" s="2">
        <f ca="1">IFERROR(__xludf.DUMMYFUNCTION("""COMPUTED_VALUE"""),44622)</f>
        <v>44622</v>
      </c>
    </row>
    <row r="1016" spans="1:10" x14ac:dyDescent="0.25">
      <c r="A1016" s="1" t="str">
        <f ca="1">IFERROR(__xludf.DUMMYFUNCTION("""COMPUTED_VALUE"""),"T(r)ollas SE")</f>
        <v>T(r)ollas SE</v>
      </c>
      <c r="B1016" s="1" t="str">
        <f ca="1">IFERROR(__xludf.DUMMYFUNCTION("""COMPUTED_VALUE"""),"Németvári Tibor")</f>
        <v>Németvári Tibor</v>
      </c>
      <c r="C1016" s="1"/>
      <c r="D1016" s="1" t="str">
        <f ca="1">IFERROR(__xludf.DUMMYFUNCTION("""COMPUTED_VALUE"""),"Férfi")</f>
        <v>Férfi</v>
      </c>
      <c r="E1016" s="1"/>
      <c r="F1016" s="1">
        <f ca="1">IFERROR(__xludf.DUMMYFUNCTION("""COMPUTED_VALUE"""),1986)</f>
        <v>1986</v>
      </c>
      <c r="G1016" s="1">
        <f ca="1">IFERROR(__xludf.DUMMYFUNCTION("""COMPUTED_VALUE"""),4417)</f>
        <v>4417</v>
      </c>
      <c r="H1016" s="1" t="str">
        <f ca="1">IFERROR(__xludf.DUMMYFUNCTION("""COMPUTED_VALUE"""),"MTLSZ004417A21")</f>
        <v>MTLSZ004417A21</v>
      </c>
      <c r="I1016" s="2">
        <f ca="1">IFERROR(__xludf.DUMMYFUNCTION("""COMPUTED_VALUE"""),44258)</f>
        <v>44258</v>
      </c>
      <c r="J1016" s="2">
        <f ca="1">IFERROR(__xludf.DUMMYFUNCTION("""COMPUTED_VALUE"""),44622)</f>
        <v>44622</v>
      </c>
    </row>
    <row r="1017" spans="1:10" x14ac:dyDescent="0.25">
      <c r="A1017" s="1" t="str">
        <f ca="1">IFERROR(__xludf.DUMMYFUNCTION("""COMPUTED_VALUE"""),"FBSE")</f>
        <v>FBSE</v>
      </c>
      <c r="B1017" s="1" t="str">
        <f ca="1">IFERROR(__xludf.DUMMYFUNCTION("""COMPUTED_VALUE"""),"Takács Ábel Péter")</f>
        <v>Takács Ábel Péter</v>
      </c>
      <c r="C1017" s="1"/>
      <c r="D1017" s="1" t="str">
        <f ca="1">IFERROR(__xludf.DUMMYFUNCTION("""COMPUTED_VALUE"""),"Férfi")</f>
        <v>Férfi</v>
      </c>
      <c r="E1017" s="1"/>
      <c r="F1017" s="1">
        <f ca="1">IFERROR(__xludf.DUMMYFUNCTION("""COMPUTED_VALUE"""),1996)</f>
        <v>1996</v>
      </c>
      <c r="G1017" s="1">
        <f ca="1">IFERROR(__xludf.DUMMYFUNCTION("""COMPUTED_VALUE"""),4390)</f>
        <v>4390</v>
      </c>
      <c r="H1017" s="1" t="str">
        <f ca="1">IFERROR(__xludf.DUMMYFUNCTION("""COMPUTED_VALUE"""),"MTLSZ004390A21")</f>
        <v>MTLSZ004390A21</v>
      </c>
      <c r="I1017" s="2">
        <f ca="1">IFERROR(__xludf.DUMMYFUNCTION("""COMPUTED_VALUE"""),44256)</f>
        <v>44256</v>
      </c>
      <c r="J1017" s="2">
        <f ca="1">IFERROR(__xludf.DUMMYFUNCTION("""COMPUTED_VALUE"""),44620)</f>
        <v>44620</v>
      </c>
    </row>
    <row r="1018" spans="1:10" x14ac:dyDescent="0.25">
      <c r="A1018" s="1" t="str">
        <f ca="1">IFERROR(__xludf.DUMMYFUNCTION("""COMPUTED_VALUE"""),"MEAFC")</f>
        <v>MEAFC</v>
      </c>
      <c r="B1018" s="1" t="str">
        <f ca="1">IFERROR(__xludf.DUMMYFUNCTION("""COMPUTED_VALUE"""),"Petrik Lujza")</f>
        <v>Petrik Lujza</v>
      </c>
      <c r="C1018" s="1"/>
      <c r="D1018" s="1" t="str">
        <f ca="1">IFERROR(__xludf.DUMMYFUNCTION("""COMPUTED_VALUE"""),"Nő")</f>
        <v>Nő</v>
      </c>
      <c r="E1018" s="1"/>
      <c r="F1018" s="1">
        <f ca="1">IFERROR(__xludf.DUMMYFUNCTION("""COMPUTED_VALUE"""),2006)</f>
        <v>2006</v>
      </c>
      <c r="G1018" s="1">
        <f ca="1">IFERROR(__xludf.DUMMYFUNCTION("""COMPUTED_VALUE"""),4393)</f>
        <v>4393</v>
      </c>
      <c r="H1018" s="1" t="str">
        <f ca="1">IFERROR(__xludf.DUMMYFUNCTION("""COMPUTED_VALUE"""),"MTLSZ004393A21")</f>
        <v>MTLSZ004393A21</v>
      </c>
      <c r="I1018" s="2">
        <f ca="1">IFERROR(__xludf.DUMMYFUNCTION("""COMPUTED_VALUE"""),44256)</f>
        <v>44256</v>
      </c>
      <c r="J1018" s="2">
        <f ca="1">IFERROR(__xludf.DUMMYFUNCTION("""COMPUTED_VALUE"""),44620)</f>
        <v>44620</v>
      </c>
    </row>
    <row r="1019" spans="1:10" x14ac:dyDescent="0.25">
      <c r="A1019" s="1" t="str">
        <f ca="1">IFERROR(__xludf.DUMMYFUNCTION("""COMPUTED_VALUE"""),"Rosco SE")</f>
        <v>Rosco SE</v>
      </c>
      <c r="B1019" s="1" t="str">
        <f ca="1">IFERROR(__xludf.DUMMYFUNCTION("""COMPUTED_VALUE"""),"Schilling Pál")</f>
        <v>Schilling Pál</v>
      </c>
      <c r="C1019" s="1"/>
      <c r="D1019" s="1" t="str">
        <f ca="1">IFERROR(__xludf.DUMMYFUNCTION("""COMPUTED_VALUE"""),"Férfi")</f>
        <v>Férfi</v>
      </c>
      <c r="E1019" s="1"/>
      <c r="F1019" s="1">
        <f ca="1">IFERROR(__xludf.DUMMYFUNCTION("""COMPUTED_VALUE"""),1975)</f>
        <v>1975</v>
      </c>
      <c r="G1019" s="1">
        <f ca="1">IFERROR(__xludf.DUMMYFUNCTION("""COMPUTED_VALUE"""),839)</f>
        <v>839</v>
      </c>
      <c r="H1019" s="1" t="str">
        <f ca="1">IFERROR(__xludf.DUMMYFUNCTION("""COMPUTED_VALUE"""),"MTLSZ000839A21")</f>
        <v>MTLSZ000839A21</v>
      </c>
      <c r="I1019" s="2">
        <f ca="1">IFERROR(__xludf.DUMMYFUNCTION("""COMPUTED_VALUE"""),44256)</f>
        <v>44256</v>
      </c>
      <c r="J1019" s="2">
        <f ca="1">IFERROR(__xludf.DUMMYFUNCTION("""COMPUTED_VALUE"""),44620)</f>
        <v>44620</v>
      </c>
    </row>
    <row r="1020" spans="1:10" x14ac:dyDescent="0.25">
      <c r="A1020" s="1" t="str">
        <f ca="1">IFERROR(__xludf.DUMMYFUNCTION("""COMPUTED_VALUE"""),"Újpest TSE")</f>
        <v>Újpest TSE</v>
      </c>
      <c r="B1020" s="1" t="str">
        <f ca="1">IFERROR(__xludf.DUMMYFUNCTION("""COMPUTED_VALUE"""),"Wild György")</f>
        <v>Wild György</v>
      </c>
      <c r="C1020" s="1"/>
      <c r="D1020" s="1" t="str">
        <f ca="1">IFERROR(__xludf.DUMMYFUNCTION("""COMPUTED_VALUE"""),"Férfi")</f>
        <v>Férfi</v>
      </c>
      <c r="E1020" s="1"/>
      <c r="F1020" s="1">
        <f ca="1">IFERROR(__xludf.DUMMYFUNCTION("""COMPUTED_VALUE"""),1971)</f>
        <v>1971</v>
      </c>
      <c r="G1020" s="1">
        <f ca="1">IFERROR(__xludf.DUMMYFUNCTION("""COMPUTED_VALUE"""),4392)</f>
        <v>4392</v>
      </c>
      <c r="H1020" s="1" t="str">
        <f ca="1">IFERROR(__xludf.DUMMYFUNCTION("""COMPUTED_VALUE"""),"MTLSZ004392A21")</f>
        <v>MTLSZ004392A21</v>
      </c>
      <c r="I1020" s="2">
        <f ca="1">IFERROR(__xludf.DUMMYFUNCTION("""COMPUTED_VALUE"""),44256)</f>
        <v>44256</v>
      </c>
      <c r="J1020" s="2">
        <f ca="1">IFERROR(__xludf.DUMMYFUNCTION("""COMPUTED_VALUE"""),44620)</f>
        <v>44620</v>
      </c>
    </row>
    <row r="1021" spans="1:10" x14ac:dyDescent="0.25">
      <c r="A1021" s="1" t="str">
        <f ca="1">IFERROR(__xludf.DUMMYFUNCTION("""COMPUTED_VALUE"""),"VSD")</f>
        <v>VSD</v>
      </c>
      <c r="B1021" s="1" t="str">
        <f ca="1">IFERROR(__xludf.DUMMYFUNCTION("""COMPUTED_VALUE"""),"Péntek Judit")</f>
        <v>Péntek Judit</v>
      </c>
      <c r="C1021" s="1"/>
      <c r="D1021" s="1" t="str">
        <f ca="1">IFERROR(__xludf.DUMMYFUNCTION("""COMPUTED_VALUE"""),"Nő")</f>
        <v>Nő</v>
      </c>
      <c r="E1021" s="1"/>
      <c r="F1021" s="1">
        <f ca="1">IFERROR(__xludf.DUMMYFUNCTION("""COMPUTED_VALUE"""),1969)</f>
        <v>1969</v>
      </c>
      <c r="G1021" s="1">
        <f ca="1">IFERROR(__xludf.DUMMYFUNCTION("""COMPUTED_VALUE"""),4391)</f>
        <v>4391</v>
      </c>
      <c r="H1021" s="1" t="str">
        <f ca="1">IFERROR(__xludf.DUMMYFUNCTION("""COMPUTED_VALUE"""),"MTLSZ004391A21")</f>
        <v>MTLSZ004391A21</v>
      </c>
      <c r="I1021" s="2">
        <f ca="1">IFERROR(__xludf.DUMMYFUNCTION("""COMPUTED_VALUE"""),44256)</f>
        <v>44256</v>
      </c>
      <c r="J1021" s="2">
        <f ca="1">IFERROR(__xludf.DUMMYFUNCTION("""COMPUTED_VALUE"""),44620)</f>
        <v>44620</v>
      </c>
    </row>
    <row r="1022" spans="1:10" x14ac:dyDescent="0.25">
      <c r="A1022" s="1" t="str">
        <f ca="1">IFERROR(__xludf.DUMMYFUNCTION("""COMPUTED_VALUE"""),"Multi Alarm SE")</f>
        <v>Multi Alarm SE</v>
      </c>
      <c r="B1022" s="1" t="str">
        <f ca="1">IFERROR(__xludf.DUMMYFUNCTION("""COMPUTED_VALUE"""),"Zentai Ágota")</f>
        <v>Zentai Ágota</v>
      </c>
      <c r="C1022" s="1"/>
      <c r="D1022" s="1" t="str">
        <f ca="1">IFERROR(__xludf.DUMMYFUNCTION("""COMPUTED_VALUE"""),"Nő")</f>
        <v>Nő</v>
      </c>
      <c r="E1022" s="1"/>
      <c r="F1022" s="1">
        <f ca="1">IFERROR(__xludf.DUMMYFUNCTION("""COMPUTED_VALUE"""),1968)</f>
        <v>1968</v>
      </c>
      <c r="G1022" s="1">
        <f ca="1">IFERROR(__xludf.DUMMYFUNCTION("""COMPUTED_VALUE"""),4389)</f>
        <v>4389</v>
      </c>
      <c r="H1022" s="1" t="str">
        <f ca="1">IFERROR(__xludf.DUMMYFUNCTION("""COMPUTED_VALUE"""),"MTLSZ004389A21")</f>
        <v>MTLSZ004389A21</v>
      </c>
      <c r="I1022" s="2">
        <f ca="1">IFERROR(__xludf.DUMMYFUNCTION("""COMPUTED_VALUE"""),44253)</f>
        <v>44253</v>
      </c>
      <c r="J1022" s="2">
        <f ca="1">IFERROR(__xludf.DUMMYFUNCTION("""COMPUTED_VALUE"""),44617)</f>
        <v>44617</v>
      </c>
    </row>
    <row r="1023" spans="1:10" x14ac:dyDescent="0.25">
      <c r="A1023" s="1" t="str">
        <f ca="1">IFERROR(__xludf.DUMMYFUNCTION("""COMPUTED_VALUE"""),"FBSE")</f>
        <v>FBSE</v>
      </c>
      <c r="B1023" s="1" t="str">
        <f ca="1">IFERROR(__xludf.DUMMYFUNCTION("""COMPUTED_VALUE"""),"Selmeczi Ádám László")</f>
        <v>Selmeczi Ádám László</v>
      </c>
      <c r="C1023" s="1"/>
      <c r="D1023" s="1" t="str">
        <f ca="1">IFERROR(__xludf.DUMMYFUNCTION("""COMPUTED_VALUE"""),"Férfi")</f>
        <v>Férfi</v>
      </c>
      <c r="E1023" s="1"/>
      <c r="F1023" s="1">
        <f ca="1">IFERROR(__xludf.DUMMYFUNCTION("""COMPUTED_VALUE"""),2012)</f>
        <v>2012</v>
      </c>
      <c r="G1023" s="1">
        <f ca="1">IFERROR(__xludf.DUMMYFUNCTION("""COMPUTED_VALUE"""),4381)</f>
        <v>4381</v>
      </c>
      <c r="H1023" s="1" t="str">
        <f ca="1">IFERROR(__xludf.DUMMYFUNCTION("""COMPUTED_VALUE"""),"MTLSZ004381A21")</f>
        <v>MTLSZ004381A21</v>
      </c>
      <c r="I1023" s="2">
        <f ca="1">IFERROR(__xludf.DUMMYFUNCTION("""COMPUTED_VALUE"""),44251)</f>
        <v>44251</v>
      </c>
      <c r="J1023" s="2">
        <f ca="1">IFERROR(__xludf.DUMMYFUNCTION("""COMPUTED_VALUE"""),44615)</f>
        <v>44615</v>
      </c>
    </row>
    <row r="1024" spans="1:10" x14ac:dyDescent="0.25">
      <c r="A1024" s="1" t="str">
        <f ca="1">IFERROR(__xludf.DUMMYFUNCTION("""COMPUTED_VALUE"""),"FBSE")</f>
        <v>FBSE</v>
      </c>
      <c r="B1024" s="1" t="str">
        <f ca="1">IFERROR(__xludf.DUMMYFUNCTION("""COMPUTED_VALUE"""),"Selmeczi Zoltán")</f>
        <v>Selmeczi Zoltán</v>
      </c>
      <c r="C1024" s="1"/>
      <c r="D1024" s="1" t="str">
        <f ca="1">IFERROR(__xludf.DUMMYFUNCTION("""COMPUTED_VALUE"""),"Férfi")</f>
        <v>Férfi</v>
      </c>
      <c r="E1024" s="1"/>
      <c r="F1024" s="1">
        <f ca="1">IFERROR(__xludf.DUMMYFUNCTION("""COMPUTED_VALUE"""),1974)</f>
        <v>1974</v>
      </c>
      <c r="G1024" s="1">
        <f ca="1">IFERROR(__xludf.DUMMYFUNCTION("""COMPUTED_VALUE"""),4383)</f>
        <v>4383</v>
      </c>
      <c r="H1024" s="1" t="str">
        <f ca="1">IFERROR(__xludf.DUMMYFUNCTION("""COMPUTED_VALUE"""),"MTLSZ004383A21")</f>
        <v>MTLSZ004383A21</v>
      </c>
      <c r="I1024" s="2">
        <f ca="1">IFERROR(__xludf.DUMMYFUNCTION("""COMPUTED_VALUE"""),44251)</f>
        <v>44251</v>
      </c>
      <c r="J1024" s="2">
        <f ca="1">IFERROR(__xludf.DUMMYFUNCTION("""COMPUTED_VALUE"""),44615)</f>
        <v>44615</v>
      </c>
    </row>
    <row r="1025" spans="1:10" x14ac:dyDescent="0.25">
      <c r="A1025" s="1" t="str">
        <f ca="1">IFERROR(__xludf.DUMMYFUNCTION("""COMPUTED_VALUE"""),"FBSE")</f>
        <v>FBSE</v>
      </c>
      <c r="B1025" s="1" t="str">
        <f ca="1">IFERROR(__xludf.DUMMYFUNCTION("""COMPUTED_VALUE"""),"Wimmer András")</f>
        <v>Wimmer András</v>
      </c>
      <c r="C1025" s="1"/>
      <c r="D1025" s="1" t="str">
        <f ca="1">IFERROR(__xludf.DUMMYFUNCTION("""COMPUTED_VALUE"""),"Férfi")</f>
        <v>Férfi</v>
      </c>
      <c r="E1025" s="1"/>
      <c r="F1025" s="1">
        <f ca="1">IFERROR(__xludf.DUMMYFUNCTION("""COMPUTED_VALUE"""),1971)</f>
        <v>1971</v>
      </c>
      <c r="G1025" s="1">
        <f ca="1">IFERROR(__xludf.DUMMYFUNCTION("""COMPUTED_VALUE"""),4382)</f>
        <v>4382</v>
      </c>
      <c r="H1025" s="1" t="str">
        <f ca="1">IFERROR(__xludf.DUMMYFUNCTION("""COMPUTED_VALUE"""),"MTLSZ004382A21")</f>
        <v>MTLSZ004382A21</v>
      </c>
      <c r="I1025" s="2">
        <f ca="1">IFERROR(__xludf.DUMMYFUNCTION("""COMPUTED_VALUE"""),44251)</f>
        <v>44251</v>
      </c>
      <c r="J1025" s="2">
        <f ca="1">IFERROR(__xludf.DUMMYFUNCTION("""COMPUTED_VALUE"""),44615)</f>
        <v>44615</v>
      </c>
    </row>
    <row r="1026" spans="1:10" x14ac:dyDescent="0.25">
      <c r="A1026" s="1" t="str">
        <f ca="1">IFERROR(__xludf.DUMMYFUNCTION("""COMPUTED_VALUE"""),"Klébi DSE")</f>
        <v>Klébi DSE</v>
      </c>
      <c r="B1026" s="1" t="str">
        <f ca="1">IFERROR(__xludf.DUMMYFUNCTION("""COMPUTED_VALUE"""),"Györfi-Tóth Bálint")</f>
        <v>Györfi-Tóth Bálint</v>
      </c>
      <c r="C1026" s="1"/>
      <c r="D1026" s="1" t="str">
        <f ca="1">IFERROR(__xludf.DUMMYFUNCTION("""COMPUTED_VALUE"""),"Férfi")</f>
        <v>Férfi</v>
      </c>
      <c r="E1026" s="1"/>
      <c r="F1026" s="1">
        <f ca="1">IFERROR(__xludf.DUMMYFUNCTION("""COMPUTED_VALUE"""),2002)</f>
        <v>2002</v>
      </c>
      <c r="G1026" s="1">
        <f ca="1">IFERROR(__xludf.DUMMYFUNCTION("""COMPUTED_VALUE"""),2870)</f>
        <v>2870</v>
      </c>
      <c r="H1026" s="1" t="str">
        <f ca="1">IFERROR(__xludf.DUMMYFUNCTION("""COMPUTED_VALUE"""),"MTLSZ002870A21")</f>
        <v>MTLSZ002870A21</v>
      </c>
      <c r="I1026" s="2">
        <f ca="1">IFERROR(__xludf.DUMMYFUNCTION("""COMPUTED_VALUE"""),44251)</f>
        <v>44251</v>
      </c>
      <c r="J1026" s="2">
        <f ca="1">IFERROR(__xludf.DUMMYFUNCTION("""COMPUTED_VALUE"""),44615)</f>
        <v>44615</v>
      </c>
    </row>
    <row r="1027" spans="1:10" x14ac:dyDescent="0.25">
      <c r="A1027" s="1" t="str">
        <f ca="1">IFERROR(__xludf.DUMMYFUNCTION("""COMPUTED_VALUE"""),"MEAFC")</f>
        <v>MEAFC</v>
      </c>
      <c r="B1027" s="1" t="str">
        <f ca="1">IFERROR(__xludf.DUMMYFUNCTION("""COMPUTED_VALUE"""),"Bányai-Szabó Enikő")</f>
        <v>Bányai-Szabó Enikő</v>
      </c>
      <c r="C1027" s="1"/>
      <c r="D1027" s="1" t="str">
        <f ca="1">IFERROR(__xludf.DUMMYFUNCTION("""COMPUTED_VALUE"""),"Nő")</f>
        <v>Nő</v>
      </c>
      <c r="E1027" s="1"/>
      <c r="F1027" s="1">
        <f ca="1">IFERROR(__xludf.DUMMYFUNCTION("""COMPUTED_VALUE"""),2005)</f>
        <v>2005</v>
      </c>
      <c r="G1027" s="1">
        <f ca="1">IFERROR(__xludf.DUMMYFUNCTION("""COMPUTED_VALUE"""),3475)</f>
        <v>3475</v>
      </c>
      <c r="H1027" s="1" t="str">
        <f ca="1">IFERROR(__xludf.DUMMYFUNCTION("""COMPUTED_VALUE"""),"MTLSZ003475A21")</f>
        <v>MTLSZ003475A21</v>
      </c>
      <c r="I1027" s="2">
        <f ca="1">IFERROR(__xludf.DUMMYFUNCTION("""COMPUTED_VALUE"""),44251)</f>
        <v>44251</v>
      </c>
      <c r="J1027" s="2">
        <f ca="1">IFERROR(__xludf.DUMMYFUNCTION("""COMPUTED_VALUE"""),44615)</f>
        <v>44615</v>
      </c>
    </row>
    <row r="1028" spans="1:10" x14ac:dyDescent="0.25">
      <c r="A1028" s="1" t="str">
        <f ca="1">IFERROR(__xludf.DUMMYFUNCTION("""COMPUTED_VALUE"""),"MEAFC")</f>
        <v>MEAFC</v>
      </c>
      <c r="B1028" s="1" t="str">
        <f ca="1">IFERROR(__xludf.DUMMYFUNCTION("""COMPUTED_VALUE"""),"Béres Gábor Benedek")</f>
        <v>Béres Gábor Benedek</v>
      </c>
      <c r="C1028" s="1"/>
      <c r="D1028" s="1" t="str">
        <f ca="1">IFERROR(__xludf.DUMMYFUNCTION("""COMPUTED_VALUE"""),"Férfi")</f>
        <v>Férfi</v>
      </c>
      <c r="E1028" s="1"/>
      <c r="F1028" s="1">
        <f ca="1">IFERROR(__xludf.DUMMYFUNCTION("""COMPUTED_VALUE"""),2002)</f>
        <v>2002</v>
      </c>
      <c r="G1028" s="1">
        <f ca="1">IFERROR(__xludf.DUMMYFUNCTION("""COMPUTED_VALUE"""),3474)</f>
        <v>3474</v>
      </c>
      <c r="H1028" s="1" t="str">
        <f ca="1">IFERROR(__xludf.DUMMYFUNCTION("""COMPUTED_VALUE"""),"MTLSZ003474A21")</f>
        <v>MTLSZ003474A21</v>
      </c>
      <c r="I1028" s="2">
        <f ca="1">IFERROR(__xludf.DUMMYFUNCTION("""COMPUTED_VALUE"""),44251)</f>
        <v>44251</v>
      </c>
      <c r="J1028" s="2">
        <f ca="1">IFERROR(__xludf.DUMMYFUNCTION("""COMPUTED_VALUE"""),44615)</f>
        <v>44615</v>
      </c>
    </row>
    <row r="1029" spans="1:10" x14ac:dyDescent="0.25">
      <c r="A1029" s="1" t="str">
        <f ca="1">IFERROR(__xludf.DUMMYFUNCTION("""COMPUTED_VALUE"""),"MEAFC")</f>
        <v>MEAFC</v>
      </c>
      <c r="B1029" s="1" t="str">
        <f ca="1">IFERROR(__xludf.DUMMYFUNCTION("""COMPUTED_VALUE"""),"Morvai Bence István")</f>
        <v>Morvai Bence István</v>
      </c>
      <c r="C1029" s="1"/>
      <c r="D1029" s="1" t="str">
        <f ca="1">IFERROR(__xludf.DUMMYFUNCTION("""COMPUTED_VALUE"""),"Férfi")</f>
        <v>Férfi</v>
      </c>
      <c r="E1029" s="1"/>
      <c r="F1029" s="1">
        <f ca="1">IFERROR(__xludf.DUMMYFUNCTION("""COMPUTED_VALUE"""),2006)</f>
        <v>2006</v>
      </c>
      <c r="G1029" s="1">
        <f ca="1">IFERROR(__xludf.DUMMYFUNCTION("""COMPUTED_VALUE"""),4372)</f>
        <v>4372</v>
      </c>
      <c r="H1029" s="1" t="str">
        <f ca="1">IFERROR(__xludf.DUMMYFUNCTION("""COMPUTED_VALUE"""),"MTLSZ004372A21")</f>
        <v>MTLSZ004372A21</v>
      </c>
      <c r="I1029" s="2">
        <f ca="1">IFERROR(__xludf.DUMMYFUNCTION("""COMPUTED_VALUE"""),44251)</f>
        <v>44251</v>
      </c>
      <c r="J1029" s="2">
        <f ca="1">IFERROR(__xludf.DUMMYFUNCTION("""COMPUTED_VALUE"""),44615)</f>
        <v>44615</v>
      </c>
    </row>
    <row r="1030" spans="1:10" x14ac:dyDescent="0.25">
      <c r="A1030" s="1" t="str">
        <f ca="1">IFERROR(__xludf.DUMMYFUNCTION("""COMPUTED_VALUE"""),"MEAFC")</f>
        <v>MEAFC</v>
      </c>
      <c r="B1030" s="1" t="str">
        <f ca="1">IFERROR(__xludf.DUMMYFUNCTION("""COMPUTED_VALUE"""),"Zékány Anna")</f>
        <v>Zékány Anna</v>
      </c>
      <c r="C1030" s="1"/>
      <c r="D1030" s="1" t="str">
        <f ca="1">IFERROR(__xludf.DUMMYFUNCTION("""COMPUTED_VALUE"""),"Nő")</f>
        <v>Nő</v>
      </c>
      <c r="E1030" s="1"/>
      <c r="F1030" s="1">
        <f ca="1">IFERROR(__xludf.DUMMYFUNCTION("""COMPUTED_VALUE"""),2002)</f>
        <v>2002</v>
      </c>
      <c r="G1030" s="1">
        <f ca="1">IFERROR(__xludf.DUMMYFUNCTION("""COMPUTED_VALUE"""),4373)</f>
        <v>4373</v>
      </c>
      <c r="H1030" s="1" t="str">
        <f ca="1">IFERROR(__xludf.DUMMYFUNCTION("""COMPUTED_VALUE"""),"MTLSZ004373A21")</f>
        <v>MTLSZ004373A21</v>
      </c>
      <c r="I1030" s="2">
        <f ca="1">IFERROR(__xludf.DUMMYFUNCTION("""COMPUTED_VALUE"""),44251)</f>
        <v>44251</v>
      </c>
      <c r="J1030" s="2">
        <f ca="1">IFERROR(__xludf.DUMMYFUNCTION("""COMPUTED_VALUE"""),44615)</f>
        <v>44615</v>
      </c>
    </row>
    <row r="1031" spans="1:10" x14ac:dyDescent="0.25">
      <c r="A1031" s="1" t="str">
        <f ca="1">IFERROR(__xludf.DUMMYFUNCTION("""COMPUTED_VALUE"""),"Multi Alarm SE")</f>
        <v>Multi Alarm SE</v>
      </c>
      <c r="B1031" s="1" t="str">
        <f ca="1">IFERROR(__xludf.DUMMYFUNCTION("""COMPUTED_VALUE"""),"Alberti Gábor")</f>
        <v>Alberti Gábor</v>
      </c>
      <c r="C1031" s="1"/>
      <c r="D1031" s="1" t="str">
        <f ca="1">IFERROR(__xludf.DUMMYFUNCTION("""COMPUTED_VALUE"""),"Férfi")</f>
        <v>Férfi</v>
      </c>
      <c r="E1031" s="1"/>
      <c r="F1031" s="1">
        <f ca="1">IFERROR(__xludf.DUMMYFUNCTION("""COMPUTED_VALUE"""),1963)</f>
        <v>1963</v>
      </c>
      <c r="G1031" s="1">
        <f ca="1">IFERROR(__xludf.DUMMYFUNCTION("""COMPUTED_VALUE"""),4366)</f>
        <v>4366</v>
      </c>
      <c r="H1031" s="1" t="str">
        <f ca="1">IFERROR(__xludf.DUMMYFUNCTION("""COMPUTED_VALUE"""),"MTLSZ004366A21")</f>
        <v>MTLSZ004366A21</v>
      </c>
      <c r="I1031" s="2">
        <f ca="1">IFERROR(__xludf.DUMMYFUNCTION("""COMPUTED_VALUE"""),44251)</f>
        <v>44251</v>
      </c>
      <c r="J1031" s="2">
        <f ca="1">IFERROR(__xludf.DUMMYFUNCTION("""COMPUTED_VALUE"""),44615)</f>
        <v>44615</v>
      </c>
    </row>
    <row r="1032" spans="1:10" x14ac:dyDescent="0.25">
      <c r="A1032" s="1" t="str">
        <f ca="1">IFERROR(__xludf.DUMMYFUNCTION("""COMPUTED_VALUE"""),"Multi Alarm SE")</f>
        <v>Multi Alarm SE</v>
      </c>
      <c r="B1032" s="1" t="str">
        <f ca="1">IFERROR(__xludf.DUMMYFUNCTION("""COMPUTED_VALUE"""),"Bellai László")</f>
        <v>Bellai László</v>
      </c>
      <c r="C1032" s="1"/>
      <c r="D1032" s="1" t="str">
        <f ca="1">IFERROR(__xludf.DUMMYFUNCTION("""COMPUTED_VALUE"""),"Férfi")</f>
        <v>Férfi</v>
      </c>
      <c r="E1032" s="1"/>
      <c r="F1032" s="1">
        <f ca="1">IFERROR(__xludf.DUMMYFUNCTION("""COMPUTED_VALUE"""),1972)</f>
        <v>1972</v>
      </c>
      <c r="G1032" s="1">
        <f ca="1">IFERROR(__xludf.DUMMYFUNCTION("""COMPUTED_VALUE"""),4355)</f>
        <v>4355</v>
      </c>
      <c r="H1032" s="1" t="str">
        <f ca="1">IFERROR(__xludf.DUMMYFUNCTION("""COMPUTED_VALUE"""),"MTLSZ004355A21")</f>
        <v>MTLSZ004355A21</v>
      </c>
      <c r="I1032" s="2">
        <f ca="1">IFERROR(__xludf.DUMMYFUNCTION("""COMPUTED_VALUE"""),44251)</f>
        <v>44251</v>
      </c>
      <c r="J1032" s="2">
        <f ca="1">IFERROR(__xludf.DUMMYFUNCTION("""COMPUTED_VALUE"""),44615)</f>
        <v>44615</v>
      </c>
    </row>
    <row r="1033" spans="1:10" x14ac:dyDescent="0.25">
      <c r="A1033" s="1" t="str">
        <f ca="1">IFERROR(__xludf.DUMMYFUNCTION("""COMPUTED_VALUE"""),"Multi Alarm SE")</f>
        <v>Multi Alarm SE</v>
      </c>
      <c r="B1033" s="1" t="str">
        <f ca="1">IFERROR(__xludf.DUMMYFUNCTION("""COMPUTED_VALUE"""),"Farkas Judit")</f>
        <v>Farkas Judit</v>
      </c>
      <c r="C1033" s="1"/>
      <c r="D1033" s="1" t="str">
        <f ca="1">IFERROR(__xludf.DUMMYFUNCTION("""COMPUTED_VALUE"""),"Nő")</f>
        <v>Nő</v>
      </c>
      <c r="E1033" s="1"/>
      <c r="F1033" s="1">
        <f ca="1">IFERROR(__xludf.DUMMYFUNCTION("""COMPUTED_VALUE"""),1979)</f>
        <v>1979</v>
      </c>
      <c r="G1033" s="1">
        <f ca="1">IFERROR(__xludf.DUMMYFUNCTION("""COMPUTED_VALUE"""),4365)</f>
        <v>4365</v>
      </c>
      <c r="H1033" s="1" t="str">
        <f ca="1">IFERROR(__xludf.DUMMYFUNCTION("""COMPUTED_VALUE"""),"MTLSZ004365A21")</f>
        <v>MTLSZ004365A21</v>
      </c>
      <c r="I1033" s="2">
        <f ca="1">IFERROR(__xludf.DUMMYFUNCTION("""COMPUTED_VALUE"""),44251)</f>
        <v>44251</v>
      </c>
      <c r="J1033" s="2">
        <f ca="1">IFERROR(__xludf.DUMMYFUNCTION("""COMPUTED_VALUE"""),44615)</f>
        <v>44615</v>
      </c>
    </row>
    <row r="1034" spans="1:10" x14ac:dyDescent="0.25">
      <c r="A1034" s="1" t="str">
        <f ca="1">IFERROR(__xludf.DUMMYFUNCTION("""COMPUTED_VALUE"""),"Multi Alarm SE")</f>
        <v>Multi Alarm SE</v>
      </c>
      <c r="B1034" s="1" t="str">
        <f ca="1">IFERROR(__xludf.DUMMYFUNCTION("""COMPUTED_VALUE"""),"Hild Kata")</f>
        <v>Hild Kata</v>
      </c>
      <c r="C1034" s="1"/>
      <c r="D1034" s="1" t="str">
        <f ca="1">IFERROR(__xludf.DUMMYFUNCTION("""COMPUTED_VALUE"""),"Nő")</f>
        <v>Nő</v>
      </c>
      <c r="E1034" s="1"/>
      <c r="F1034" s="1">
        <f ca="1">IFERROR(__xludf.DUMMYFUNCTION("""COMPUTED_VALUE"""),2008)</f>
        <v>2008</v>
      </c>
      <c r="G1034" s="1">
        <f ca="1">IFERROR(__xludf.DUMMYFUNCTION("""COMPUTED_VALUE"""),4367)</f>
        <v>4367</v>
      </c>
      <c r="H1034" s="1" t="str">
        <f ca="1">IFERROR(__xludf.DUMMYFUNCTION("""COMPUTED_VALUE"""),"MTLSZ004367A21")</f>
        <v>MTLSZ004367A21</v>
      </c>
      <c r="I1034" s="2">
        <f ca="1">IFERROR(__xludf.DUMMYFUNCTION("""COMPUTED_VALUE"""),44251)</f>
        <v>44251</v>
      </c>
      <c r="J1034" s="2">
        <f ca="1">IFERROR(__xludf.DUMMYFUNCTION("""COMPUTED_VALUE"""),44615)</f>
        <v>44615</v>
      </c>
    </row>
    <row r="1035" spans="1:10" x14ac:dyDescent="0.25">
      <c r="A1035" s="1" t="str">
        <f ca="1">IFERROR(__xludf.DUMMYFUNCTION("""COMPUTED_VALUE"""),"Multi Alarm SE")</f>
        <v>Multi Alarm SE</v>
      </c>
      <c r="B1035" s="1" t="str">
        <f ca="1">IFERROR(__xludf.DUMMYFUNCTION("""COMPUTED_VALUE"""),"Mohácsi András")</f>
        <v>Mohácsi András</v>
      </c>
      <c r="C1035" s="1"/>
      <c r="D1035" s="1" t="str">
        <f ca="1">IFERROR(__xludf.DUMMYFUNCTION("""COMPUTED_VALUE"""),"Férfi")</f>
        <v>Férfi</v>
      </c>
      <c r="E1035" s="1"/>
      <c r="F1035" s="1">
        <f ca="1">IFERROR(__xludf.DUMMYFUNCTION("""COMPUTED_VALUE"""),2011)</f>
        <v>2011</v>
      </c>
      <c r="G1035" s="1">
        <f ca="1">IFERROR(__xludf.DUMMYFUNCTION("""COMPUTED_VALUE"""),4356)</f>
        <v>4356</v>
      </c>
      <c r="H1035" s="1" t="str">
        <f ca="1">IFERROR(__xludf.DUMMYFUNCTION("""COMPUTED_VALUE"""),"MTLSZ004356A21")</f>
        <v>MTLSZ004356A21</v>
      </c>
      <c r="I1035" s="2">
        <f ca="1">IFERROR(__xludf.DUMMYFUNCTION("""COMPUTED_VALUE"""),44251)</f>
        <v>44251</v>
      </c>
      <c r="J1035" s="2">
        <f ca="1">IFERROR(__xludf.DUMMYFUNCTION("""COMPUTED_VALUE"""),44615)</f>
        <v>44615</v>
      </c>
    </row>
    <row r="1036" spans="1:10" x14ac:dyDescent="0.25">
      <c r="A1036" s="1" t="str">
        <f ca="1">IFERROR(__xludf.DUMMYFUNCTION("""COMPUTED_VALUE"""),"Multi Alarm SE")</f>
        <v>Multi Alarm SE</v>
      </c>
      <c r="B1036" s="1" t="str">
        <f ca="1">IFERROR(__xludf.DUMMYFUNCTION("""COMPUTED_VALUE"""),"Monostori András")</f>
        <v>Monostori András</v>
      </c>
      <c r="C1036" s="1"/>
      <c r="D1036" s="1" t="str">
        <f ca="1">IFERROR(__xludf.DUMMYFUNCTION("""COMPUTED_VALUE"""),"Férfi")</f>
        <v>Férfi</v>
      </c>
      <c r="E1036" s="1"/>
      <c r="F1036" s="1">
        <f ca="1">IFERROR(__xludf.DUMMYFUNCTION("""COMPUTED_VALUE"""),1974)</f>
        <v>1974</v>
      </c>
      <c r="G1036" s="1">
        <f ca="1">IFERROR(__xludf.DUMMYFUNCTION("""COMPUTED_VALUE"""),4354)</f>
        <v>4354</v>
      </c>
      <c r="H1036" s="1" t="str">
        <f ca="1">IFERROR(__xludf.DUMMYFUNCTION("""COMPUTED_VALUE"""),"MTLSZ004354A21")</f>
        <v>MTLSZ004354A21</v>
      </c>
      <c r="I1036" s="2">
        <f ca="1">IFERROR(__xludf.DUMMYFUNCTION("""COMPUTED_VALUE"""),44251)</f>
        <v>44251</v>
      </c>
      <c r="J1036" s="2">
        <f ca="1">IFERROR(__xludf.DUMMYFUNCTION("""COMPUTED_VALUE"""),44615)</f>
        <v>44615</v>
      </c>
    </row>
    <row r="1037" spans="1:10" x14ac:dyDescent="0.25">
      <c r="A1037" s="1" t="str">
        <f ca="1">IFERROR(__xludf.DUMMYFUNCTION("""COMPUTED_VALUE"""),"Multi Alarm SE")</f>
        <v>Multi Alarm SE</v>
      </c>
      <c r="B1037" s="1" t="str">
        <f ca="1">IFERROR(__xludf.DUMMYFUNCTION("""COMPUTED_VALUE"""),"Rigó Blanka")</f>
        <v>Rigó Blanka</v>
      </c>
      <c r="C1037" s="1"/>
      <c r="D1037" s="1" t="str">
        <f ca="1">IFERROR(__xludf.DUMMYFUNCTION("""COMPUTED_VALUE"""),"Nő")</f>
        <v>Nő</v>
      </c>
      <c r="E1037" s="1"/>
      <c r="F1037" s="1">
        <f ca="1">IFERROR(__xludf.DUMMYFUNCTION("""COMPUTED_VALUE"""),2010)</f>
        <v>2010</v>
      </c>
      <c r="G1037" s="1">
        <f ca="1">IFERROR(__xludf.DUMMYFUNCTION("""COMPUTED_VALUE"""),4364)</f>
        <v>4364</v>
      </c>
      <c r="H1037" s="1" t="str">
        <f ca="1">IFERROR(__xludf.DUMMYFUNCTION("""COMPUTED_VALUE"""),"MTLSZ004364A21")</f>
        <v>MTLSZ004364A21</v>
      </c>
      <c r="I1037" s="2">
        <f ca="1">IFERROR(__xludf.DUMMYFUNCTION("""COMPUTED_VALUE"""),44251)</f>
        <v>44251</v>
      </c>
      <c r="J1037" s="2">
        <f ca="1">IFERROR(__xludf.DUMMYFUNCTION("""COMPUTED_VALUE"""),44615)</f>
        <v>44615</v>
      </c>
    </row>
    <row r="1038" spans="1:10" x14ac:dyDescent="0.25">
      <c r="A1038" s="1" t="str">
        <f ca="1">IFERROR(__xludf.DUMMYFUNCTION("""COMPUTED_VALUE"""),"Multi Alarm SE")</f>
        <v>Multi Alarm SE</v>
      </c>
      <c r="B1038" s="1" t="str">
        <f ca="1">IFERROR(__xludf.DUMMYFUNCTION("""COMPUTED_VALUE"""),"Szappanos Márton")</f>
        <v>Szappanos Márton</v>
      </c>
      <c r="C1038" s="1"/>
      <c r="D1038" s="1" t="str">
        <f ca="1">IFERROR(__xludf.DUMMYFUNCTION("""COMPUTED_VALUE"""),"Férfi")</f>
        <v>Férfi</v>
      </c>
      <c r="E1038" s="1"/>
      <c r="F1038" s="1">
        <f ca="1">IFERROR(__xludf.DUMMYFUNCTION("""COMPUTED_VALUE"""),2008)</f>
        <v>2008</v>
      </c>
      <c r="G1038" s="1">
        <f ca="1">IFERROR(__xludf.DUMMYFUNCTION("""COMPUTED_VALUE"""),4360)</f>
        <v>4360</v>
      </c>
      <c r="H1038" s="1" t="str">
        <f ca="1">IFERROR(__xludf.DUMMYFUNCTION("""COMPUTED_VALUE"""),"MTLSZ004360A21")</f>
        <v>MTLSZ004360A21</v>
      </c>
      <c r="I1038" s="2">
        <f ca="1">IFERROR(__xludf.DUMMYFUNCTION("""COMPUTED_VALUE"""),44251)</f>
        <v>44251</v>
      </c>
      <c r="J1038" s="2">
        <f ca="1">IFERROR(__xludf.DUMMYFUNCTION("""COMPUTED_VALUE"""),44615)</f>
        <v>44615</v>
      </c>
    </row>
    <row r="1039" spans="1:10" x14ac:dyDescent="0.25">
      <c r="A1039" s="1" t="str">
        <f ca="1">IFERROR(__xludf.DUMMYFUNCTION("""COMPUTED_VALUE"""),"Multi Alarm SE")</f>
        <v>Multi Alarm SE</v>
      </c>
      <c r="B1039" s="1" t="str">
        <f ca="1">IFERROR(__xludf.DUMMYFUNCTION("""COMPUTED_VALUE"""),"Tarr Zalán")</f>
        <v>Tarr Zalán</v>
      </c>
      <c r="C1039" s="1"/>
      <c r="D1039" s="1" t="str">
        <f ca="1">IFERROR(__xludf.DUMMYFUNCTION("""COMPUTED_VALUE"""),"Férfi")</f>
        <v>Férfi</v>
      </c>
      <c r="E1039" s="1"/>
      <c r="F1039" s="1">
        <f ca="1">IFERROR(__xludf.DUMMYFUNCTION("""COMPUTED_VALUE"""),2012)</f>
        <v>2012</v>
      </c>
      <c r="G1039" s="1">
        <f ca="1">IFERROR(__xludf.DUMMYFUNCTION("""COMPUTED_VALUE"""),3390)</f>
        <v>3390</v>
      </c>
      <c r="H1039" s="1" t="str">
        <f ca="1">IFERROR(__xludf.DUMMYFUNCTION("""COMPUTED_VALUE"""),"MTLSZ003390A21")</f>
        <v>MTLSZ003390A21</v>
      </c>
      <c r="I1039" s="2">
        <f ca="1">IFERROR(__xludf.DUMMYFUNCTION("""COMPUTED_VALUE"""),44251)</f>
        <v>44251</v>
      </c>
      <c r="J1039" s="2">
        <f ca="1">IFERROR(__xludf.DUMMYFUNCTION("""COMPUTED_VALUE"""),44615)</f>
        <v>44615</v>
      </c>
    </row>
    <row r="1040" spans="1:10" x14ac:dyDescent="0.25">
      <c r="A1040" s="1" t="str">
        <f ca="1">IFERROR(__xludf.DUMMYFUNCTION("""COMPUTED_VALUE"""),"Multi Alarm SE")</f>
        <v>Multi Alarm SE</v>
      </c>
      <c r="B1040" s="1" t="str">
        <f ca="1">IFERROR(__xludf.DUMMYFUNCTION("""COMPUTED_VALUE"""),"Wittenbart Ádám")</f>
        <v>Wittenbart Ádám</v>
      </c>
      <c r="C1040" s="1"/>
      <c r="D1040" s="1" t="str">
        <f ca="1">IFERROR(__xludf.DUMMYFUNCTION("""COMPUTED_VALUE"""),"Férfi")</f>
        <v>Férfi</v>
      </c>
      <c r="E1040" s="1"/>
      <c r="F1040" s="1">
        <f ca="1">IFERROR(__xludf.DUMMYFUNCTION("""COMPUTED_VALUE"""),2006)</f>
        <v>2006</v>
      </c>
      <c r="G1040" s="1">
        <f ca="1">IFERROR(__xludf.DUMMYFUNCTION("""COMPUTED_VALUE"""),4358)</f>
        <v>4358</v>
      </c>
      <c r="H1040" s="1" t="str">
        <f ca="1">IFERROR(__xludf.DUMMYFUNCTION("""COMPUTED_VALUE"""),"MTLSZ004358A21")</f>
        <v>MTLSZ004358A21</v>
      </c>
      <c r="I1040" s="2">
        <f ca="1">IFERROR(__xludf.DUMMYFUNCTION("""COMPUTED_VALUE"""),44251)</f>
        <v>44251</v>
      </c>
      <c r="J1040" s="2">
        <f ca="1">IFERROR(__xludf.DUMMYFUNCTION("""COMPUTED_VALUE"""),44615)</f>
        <v>44615</v>
      </c>
    </row>
    <row r="1041" spans="1:10" x14ac:dyDescent="0.25">
      <c r="A1041" s="1" t="str">
        <f ca="1">IFERROR(__xludf.DUMMYFUNCTION("""COMPUTED_VALUE"""),"Multi Alarm SE")</f>
        <v>Multi Alarm SE</v>
      </c>
      <c r="B1041" s="1" t="str">
        <f ca="1">IFERROR(__xludf.DUMMYFUNCTION("""COMPUTED_VALUE"""),"Wittenbart Máté")</f>
        <v>Wittenbart Máté</v>
      </c>
      <c r="C1041" s="1"/>
      <c r="D1041" s="1" t="str">
        <f ca="1">IFERROR(__xludf.DUMMYFUNCTION("""COMPUTED_VALUE"""),"Férfi")</f>
        <v>Férfi</v>
      </c>
      <c r="E1041" s="1"/>
      <c r="F1041" s="1">
        <f ca="1">IFERROR(__xludf.DUMMYFUNCTION("""COMPUTED_VALUE"""),2008)</f>
        <v>2008</v>
      </c>
      <c r="G1041" s="1">
        <f ca="1">IFERROR(__xludf.DUMMYFUNCTION("""COMPUTED_VALUE"""),4357)</f>
        <v>4357</v>
      </c>
      <c r="H1041" s="1" t="str">
        <f ca="1">IFERROR(__xludf.DUMMYFUNCTION("""COMPUTED_VALUE"""),"MTLSZ004357A21")</f>
        <v>MTLSZ004357A21</v>
      </c>
      <c r="I1041" s="2">
        <f ca="1">IFERROR(__xludf.DUMMYFUNCTION("""COMPUTED_VALUE"""),44251)</f>
        <v>44251</v>
      </c>
      <c r="J1041" s="2">
        <f ca="1">IFERROR(__xludf.DUMMYFUNCTION("""COMPUTED_VALUE"""),44615)</f>
        <v>44615</v>
      </c>
    </row>
    <row r="1042" spans="1:10" x14ac:dyDescent="0.25">
      <c r="A1042" s="1" t="str">
        <f ca="1">IFERROR(__xludf.DUMMYFUNCTION("""COMPUTED_VALUE"""),"Talentum TSE")</f>
        <v>Talentum TSE</v>
      </c>
      <c r="B1042" s="1" t="str">
        <f ca="1">IFERROR(__xludf.DUMMYFUNCTION("""COMPUTED_VALUE"""),"Emőd Emma")</f>
        <v>Emőd Emma</v>
      </c>
      <c r="C1042" s="1"/>
      <c r="D1042" s="1" t="str">
        <f ca="1">IFERROR(__xludf.DUMMYFUNCTION("""COMPUTED_VALUE"""),"Nő")</f>
        <v>Nő</v>
      </c>
      <c r="E1042" s="1"/>
      <c r="F1042" s="1">
        <f ca="1">IFERROR(__xludf.DUMMYFUNCTION("""COMPUTED_VALUE"""),2007)</f>
        <v>2007</v>
      </c>
      <c r="G1042" s="1">
        <f ca="1">IFERROR(__xludf.DUMMYFUNCTION("""COMPUTED_VALUE"""),4379)</f>
        <v>4379</v>
      </c>
      <c r="H1042" s="1" t="str">
        <f ca="1">IFERROR(__xludf.DUMMYFUNCTION("""COMPUTED_VALUE"""),"MTLSZ004379A21")</f>
        <v>MTLSZ004379A21</v>
      </c>
      <c r="I1042" s="2">
        <f ca="1">IFERROR(__xludf.DUMMYFUNCTION("""COMPUTED_VALUE"""),44251)</f>
        <v>44251</v>
      </c>
      <c r="J1042" s="2">
        <f ca="1">IFERROR(__xludf.DUMMYFUNCTION("""COMPUTED_VALUE"""),44615)</f>
        <v>44615</v>
      </c>
    </row>
    <row r="1043" spans="1:10" x14ac:dyDescent="0.25">
      <c r="A1043" s="1" t="str">
        <f ca="1">IFERROR(__xludf.DUMMYFUNCTION("""COMPUTED_VALUE"""),"Talentum TSE")</f>
        <v>Talentum TSE</v>
      </c>
      <c r="B1043" s="1" t="str">
        <f ca="1">IFERROR(__xludf.DUMMYFUNCTION("""COMPUTED_VALUE"""),"Kocsis Viktor")</f>
        <v>Kocsis Viktor</v>
      </c>
      <c r="C1043" s="1"/>
      <c r="D1043" s="1" t="str">
        <f ca="1">IFERROR(__xludf.DUMMYFUNCTION("""COMPUTED_VALUE"""),"Férfi")</f>
        <v>Férfi</v>
      </c>
      <c r="E1043" s="1"/>
      <c r="F1043" s="1">
        <f ca="1">IFERROR(__xludf.DUMMYFUNCTION("""COMPUTED_VALUE"""),1992)</f>
        <v>1992</v>
      </c>
      <c r="G1043" s="1">
        <f ca="1">IFERROR(__xludf.DUMMYFUNCTION("""COMPUTED_VALUE"""),3231)</f>
        <v>3231</v>
      </c>
      <c r="H1043" s="1" t="str">
        <f ca="1">IFERROR(__xludf.DUMMYFUNCTION("""COMPUTED_VALUE"""),"MTLSZ003231A21")</f>
        <v>MTLSZ003231A21</v>
      </c>
      <c r="I1043" s="2">
        <f ca="1">IFERROR(__xludf.DUMMYFUNCTION("""COMPUTED_VALUE"""),44251)</f>
        <v>44251</v>
      </c>
      <c r="J1043" s="2">
        <f ca="1">IFERROR(__xludf.DUMMYFUNCTION("""COMPUTED_VALUE"""),44615)</f>
        <v>44615</v>
      </c>
    </row>
    <row r="1044" spans="1:10" x14ac:dyDescent="0.25">
      <c r="A1044" s="1" t="str">
        <f ca="1">IFERROR(__xludf.DUMMYFUNCTION("""COMPUTED_VALUE"""),"Talentum TSE")</f>
        <v>Talentum TSE</v>
      </c>
      <c r="B1044" s="1" t="str">
        <f ca="1">IFERROR(__xludf.DUMMYFUNCTION("""COMPUTED_VALUE"""),"Kovács Bercel")</f>
        <v>Kovács Bercel</v>
      </c>
      <c r="C1044" s="1"/>
      <c r="D1044" s="1" t="str">
        <f ca="1">IFERROR(__xludf.DUMMYFUNCTION("""COMPUTED_VALUE"""),"Férfi")</f>
        <v>Férfi</v>
      </c>
      <c r="E1044" s="1"/>
      <c r="F1044" s="1">
        <f ca="1">IFERROR(__xludf.DUMMYFUNCTION("""COMPUTED_VALUE"""),2008)</f>
        <v>2008</v>
      </c>
      <c r="G1044" s="1">
        <f ca="1">IFERROR(__xludf.DUMMYFUNCTION("""COMPUTED_VALUE"""),4378)</f>
        <v>4378</v>
      </c>
      <c r="H1044" s="1" t="str">
        <f ca="1">IFERROR(__xludf.DUMMYFUNCTION("""COMPUTED_VALUE"""),"MTLSZ004378A21")</f>
        <v>MTLSZ004378A21</v>
      </c>
      <c r="I1044" s="2">
        <f ca="1">IFERROR(__xludf.DUMMYFUNCTION("""COMPUTED_VALUE"""),44251)</f>
        <v>44251</v>
      </c>
      <c r="J1044" s="2">
        <f ca="1">IFERROR(__xludf.DUMMYFUNCTION("""COMPUTED_VALUE"""),44615)</f>
        <v>44615</v>
      </c>
    </row>
    <row r="1045" spans="1:10" x14ac:dyDescent="0.25">
      <c r="A1045" s="1" t="str">
        <f ca="1">IFERROR(__xludf.DUMMYFUNCTION("""COMPUTED_VALUE"""),"Talentum TSE")</f>
        <v>Talentum TSE</v>
      </c>
      <c r="B1045" s="1" t="str">
        <f ca="1">IFERROR(__xludf.DUMMYFUNCTION("""COMPUTED_VALUE"""),"Rácz Annabella")</f>
        <v>Rácz Annabella</v>
      </c>
      <c r="C1045" s="1"/>
      <c r="D1045" s="1" t="str">
        <f ca="1">IFERROR(__xludf.DUMMYFUNCTION("""COMPUTED_VALUE"""),"Nő")</f>
        <v>Nő</v>
      </c>
      <c r="E1045" s="1"/>
      <c r="F1045" s="1">
        <f ca="1">IFERROR(__xludf.DUMMYFUNCTION("""COMPUTED_VALUE"""),2014)</f>
        <v>2014</v>
      </c>
      <c r="G1045" s="1">
        <f ca="1">IFERROR(__xludf.DUMMYFUNCTION("""COMPUTED_VALUE"""),4377)</f>
        <v>4377</v>
      </c>
      <c r="H1045" s="1" t="str">
        <f ca="1">IFERROR(__xludf.DUMMYFUNCTION("""COMPUTED_VALUE"""),"MTLSZ004377A21")</f>
        <v>MTLSZ004377A21</v>
      </c>
      <c r="I1045" s="2">
        <f ca="1">IFERROR(__xludf.DUMMYFUNCTION("""COMPUTED_VALUE"""),44251)</f>
        <v>44251</v>
      </c>
      <c r="J1045" s="2">
        <f ca="1">IFERROR(__xludf.DUMMYFUNCTION("""COMPUTED_VALUE"""),44615)</f>
        <v>44615</v>
      </c>
    </row>
    <row r="1046" spans="1:10" x14ac:dyDescent="0.25">
      <c r="A1046" s="1" t="str">
        <f ca="1">IFERROR(__xludf.DUMMYFUNCTION("""COMPUTED_VALUE"""),"Talentum TSE")</f>
        <v>Talentum TSE</v>
      </c>
      <c r="B1046" s="1" t="str">
        <f ca="1">IFERROR(__xludf.DUMMYFUNCTION("""COMPUTED_VALUE"""),"Szabó Levente")</f>
        <v>Szabó Levente</v>
      </c>
      <c r="C1046" s="1"/>
      <c r="D1046" s="1" t="str">
        <f ca="1">IFERROR(__xludf.DUMMYFUNCTION("""COMPUTED_VALUE"""),"Férfi")</f>
        <v>Férfi</v>
      </c>
      <c r="E1046" s="1"/>
      <c r="F1046" s="1">
        <f ca="1">IFERROR(__xludf.DUMMYFUNCTION("""COMPUTED_VALUE"""),2007)</f>
        <v>2007</v>
      </c>
      <c r="G1046" s="1">
        <f ca="1">IFERROR(__xludf.DUMMYFUNCTION("""COMPUTED_VALUE"""),4375)</f>
        <v>4375</v>
      </c>
      <c r="H1046" s="1" t="str">
        <f ca="1">IFERROR(__xludf.DUMMYFUNCTION("""COMPUTED_VALUE"""),"MTLSZ004375A21")</f>
        <v>MTLSZ004375A21</v>
      </c>
      <c r="I1046" s="2">
        <f ca="1">IFERROR(__xludf.DUMMYFUNCTION("""COMPUTED_VALUE"""),44251)</f>
        <v>44251</v>
      </c>
      <c r="J1046" s="2">
        <f ca="1">IFERROR(__xludf.DUMMYFUNCTION("""COMPUTED_VALUE"""),44615)</f>
        <v>44615</v>
      </c>
    </row>
    <row r="1047" spans="1:10" x14ac:dyDescent="0.25">
      <c r="A1047" s="1" t="str">
        <f ca="1">IFERROR(__xludf.DUMMYFUNCTION("""COMPUTED_VALUE"""),"Talentum TSE")</f>
        <v>Talentum TSE</v>
      </c>
      <c r="B1047" s="1" t="str">
        <f ca="1">IFERROR(__xludf.DUMMYFUNCTION("""COMPUTED_VALUE"""),"Tóth Johanna")</f>
        <v>Tóth Johanna</v>
      </c>
      <c r="C1047" s="1"/>
      <c r="D1047" s="1" t="str">
        <f ca="1">IFERROR(__xludf.DUMMYFUNCTION("""COMPUTED_VALUE"""),"Nő")</f>
        <v>Nő</v>
      </c>
      <c r="E1047" s="1"/>
      <c r="F1047" s="1">
        <f ca="1">IFERROR(__xludf.DUMMYFUNCTION("""COMPUTED_VALUE"""),2010)</f>
        <v>2010</v>
      </c>
      <c r="G1047" s="1">
        <f ca="1">IFERROR(__xludf.DUMMYFUNCTION("""COMPUTED_VALUE"""),4374)</f>
        <v>4374</v>
      </c>
      <c r="H1047" s="1" t="str">
        <f ca="1">IFERROR(__xludf.DUMMYFUNCTION("""COMPUTED_VALUE"""),"MTLSZ004374A21")</f>
        <v>MTLSZ004374A21</v>
      </c>
      <c r="I1047" s="2">
        <f ca="1">IFERROR(__xludf.DUMMYFUNCTION("""COMPUTED_VALUE"""),44251)</f>
        <v>44251</v>
      </c>
      <c r="J1047" s="2">
        <f ca="1">IFERROR(__xludf.DUMMYFUNCTION("""COMPUTED_VALUE"""),44615)</f>
        <v>44615</v>
      </c>
    </row>
    <row r="1048" spans="1:10" x14ac:dyDescent="0.25">
      <c r="A1048" s="1" t="str">
        <f ca="1">IFERROR(__xludf.DUMMYFUNCTION("""COMPUTED_VALUE"""),"Tapolcai TFSE")</f>
        <v>Tapolcai TFSE</v>
      </c>
      <c r="B1048" s="1" t="str">
        <f ca="1">IFERROR(__xludf.DUMMYFUNCTION("""COMPUTED_VALUE"""),"Rehberg Alexander")</f>
        <v>Rehberg Alexander</v>
      </c>
      <c r="C1048" s="1"/>
      <c r="D1048" s="1" t="str">
        <f ca="1">IFERROR(__xludf.DUMMYFUNCTION("""COMPUTED_VALUE"""),"Férfi")</f>
        <v>Férfi</v>
      </c>
      <c r="E1048" s="1"/>
      <c r="F1048" s="1">
        <f ca="1">IFERROR(__xludf.DUMMYFUNCTION("""COMPUTED_VALUE"""),1969)</f>
        <v>1969</v>
      </c>
      <c r="G1048" s="1">
        <f ca="1">IFERROR(__xludf.DUMMYFUNCTION("""COMPUTED_VALUE"""),4380)</f>
        <v>4380</v>
      </c>
      <c r="H1048" s="1" t="str">
        <f ca="1">IFERROR(__xludf.DUMMYFUNCTION("""COMPUTED_VALUE"""),"MTLSZ004380A21")</f>
        <v>MTLSZ004380A21</v>
      </c>
      <c r="I1048" s="2">
        <f ca="1">IFERROR(__xludf.DUMMYFUNCTION("""COMPUTED_VALUE"""),44251)</f>
        <v>44251</v>
      </c>
      <c r="J1048" s="2">
        <f ca="1">IFERROR(__xludf.DUMMYFUNCTION("""COMPUTED_VALUE"""),44615)</f>
        <v>44615</v>
      </c>
    </row>
    <row r="1049" spans="1:10" x14ac:dyDescent="0.25">
      <c r="A1049" s="1" t="str">
        <f ca="1">IFERROR(__xludf.DUMMYFUNCTION("""COMPUTED_VALUE"""),"Tisza TSE")</f>
        <v>Tisza TSE</v>
      </c>
      <c r="B1049" s="1" t="str">
        <f ca="1">IFERROR(__xludf.DUMMYFUNCTION("""COMPUTED_VALUE"""),"Kardos Mária Dr.")</f>
        <v>Kardos Mária Dr.</v>
      </c>
      <c r="C1049" s="1"/>
      <c r="D1049" s="1" t="str">
        <f ca="1">IFERROR(__xludf.DUMMYFUNCTION("""COMPUTED_VALUE"""),"Nő")</f>
        <v>Nő</v>
      </c>
      <c r="E1049" s="1"/>
      <c r="F1049" s="1">
        <f ca="1">IFERROR(__xludf.DUMMYFUNCTION("""COMPUTED_VALUE"""),1964)</f>
        <v>1964</v>
      </c>
      <c r="G1049" s="1">
        <f ca="1">IFERROR(__xludf.DUMMYFUNCTION("""COMPUTED_VALUE"""),4348)</f>
        <v>4348</v>
      </c>
      <c r="H1049" s="1" t="str">
        <f ca="1">IFERROR(__xludf.DUMMYFUNCTION("""COMPUTED_VALUE"""),"MTLSZ004348A21")</f>
        <v>MTLSZ004348A21</v>
      </c>
      <c r="I1049" s="2">
        <f ca="1">IFERROR(__xludf.DUMMYFUNCTION("""COMPUTED_VALUE"""),44249)</f>
        <v>44249</v>
      </c>
      <c r="J1049" s="2">
        <f ca="1">IFERROR(__xludf.DUMMYFUNCTION("""COMPUTED_VALUE"""),44613)</f>
        <v>44613</v>
      </c>
    </row>
    <row r="1050" spans="1:10" x14ac:dyDescent="0.25">
      <c r="A1050" s="1" t="str">
        <f ca="1">IFERROR(__xludf.DUMMYFUNCTION("""COMPUTED_VALUE"""),"Tisza TSE")</f>
        <v>Tisza TSE</v>
      </c>
      <c r="B1050" s="1" t="str">
        <f ca="1">IFERROR(__xludf.DUMMYFUNCTION("""COMPUTED_VALUE"""),"Tóth Ábel")</f>
        <v>Tóth Ábel</v>
      </c>
      <c r="C1050" s="1"/>
      <c r="D1050" s="1" t="str">
        <f ca="1">IFERROR(__xludf.DUMMYFUNCTION("""COMPUTED_VALUE"""),"Férfi")</f>
        <v>Férfi</v>
      </c>
      <c r="E1050" s="1"/>
      <c r="F1050" s="1">
        <f ca="1">IFERROR(__xludf.DUMMYFUNCTION("""COMPUTED_VALUE"""),2009)</f>
        <v>2009</v>
      </c>
      <c r="G1050" s="1">
        <f ca="1">IFERROR(__xludf.DUMMYFUNCTION("""COMPUTED_VALUE"""),4346)</f>
        <v>4346</v>
      </c>
      <c r="H1050" s="1" t="str">
        <f ca="1">IFERROR(__xludf.DUMMYFUNCTION("""COMPUTED_VALUE"""),"MTLSZ004346A21")</f>
        <v>MTLSZ004346A21</v>
      </c>
      <c r="I1050" s="2">
        <f ca="1">IFERROR(__xludf.DUMMYFUNCTION("""COMPUTED_VALUE"""),44249)</f>
        <v>44249</v>
      </c>
      <c r="J1050" s="2">
        <f ca="1">IFERROR(__xludf.DUMMYFUNCTION("""COMPUTED_VALUE"""),44613)</f>
        <v>44613</v>
      </c>
    </row>
    <row r="1051" spans="1:10" x14ac:dyDescent="0.25">
      <c r="A1051" s="1" t="str">
        <f ca="1">IFERROR(__xludf.DUMMYFUNCTION("""COMPUTED_VALUE"""),"Tisza TSE")</f>
        <v>Tisza TSE</v>
      </c>
      <c r="B1051" s="1" t="str">
        <f ca="1">IFERROR(__xludf.DUMMYFUNCTION("""COMPUTED_VALUE"""),"Viola Réka Dr.")</f>
        <v>Viola Réka Dr.</v>
      </c>
      <c r="C1051" s="1"/>
      <c r="D1051" s="1" t="str">
        <f ca="1">IFERROR(__xludf.DUMMYFUNCTION("""COMPUTED_VALUE"""),"Nő")</f>
        <v>Nő</v>
      </c>
      <c r="E1051" s="1"/>
      <c r="F1051" s="1">
        <f ca="1">IFERROR(__xludf.DUMMYFUNCTION("""COMPUTED_VALUE"""),1977)</f>
        <v>1977</v>
      </c>
      <c r="G1051" s="1">
        <f ca="1">IFERROR(__xludf.DUMMYFUNCTION("""COMPUTED_VALUE"""),4347)</f>
        <v>4347</v>
      </c>
      <c r="H1051" s="1" t="str">
        <f ca="1">IFERROR(__xludf.DUMMYFUNCTION("""COMPUTED_VALUE"""),"MTLSZ004347A21")</f>
        <v>MTLSZ004347A21</v>
      </c>
      <c r="I1051" s="2">
        <f ca="1">IFERROR(__xludf.DUMMYFUNCTION("""COMPUTED_VALUE"""),44249)</f>
        <v>44249</v>
      </c>
      <c r="J1051" s="2">
        <f ca="1">IFERROR(__xludf.DUMMYFUNCTION("""COMPUTED_VALUE"""),44613)</f>
        <v>44613</v>
      </c>
    </row>
    <row r="1052" spans="1:10" x14ac:dyDescent="0.25">
      <c r="A1052" s="1" t="str">
        <f ca="1">IFERROR(__xludf.DUMMYFUNCTION("""COMPUTED_VALUE"""),"VSD")</f>
        <v>VSD</v>
      </c>
      <c r="B1052" s="1" t="str">
        <f ca="1">IFERROR(__xludf.DUMMYFUNCTION("""COMPUTED_VALUE"""),"Bodnár Attila")</f>
        <v>Bodnár Attila</v>
      </c>
      <c r="C1052" s="1"/>
      <c r="D1052" s="1" t="str">
        <f ca="1">IFERROR(__xludf.DUMMYFUNCTION("""COMPUTED_VALUE"""),"Férfi")</f>
        <v>Férfi</v>
      </c>
      <c r="E1052" s="1"/>
      <c r="F1052" s="1">
        <f ca="1">IFERROR(__xludf.DUMMYFUNCTION("""COMPUTED_VALUE"""),1989)</f>
        <v>1989</v>
      </c>
      <c r="G1052" s="1">
        <f ca="1">IFERROR(__xludf.DUMMYFUNCTION("""COMPUTED_VALUE"""),3861)</f>
        <v>3861</v>
      </c>
      <c r="H1052" s="1" t="str">
        <f ca="1">IFERROR(__xludf.DUMMYFUNCTION("""COMPUTED_VALUE"""),"MTLSZ003861A21")</f>
        <v>MTLSZ003861A21</v>
      </c>
      <c r="I1052" s="2">
        <f ca="1">IFERROR(__xludf.DUMMYFUNCTION("""COMPUTED_VALUE"""),44249)</f>
        <v>44249</v>
      </c>
      <c r="J1052" s="2">
        <f ca="1">IFERROR(__xludf.DUMMYFUNCTION("""COMPUTED_VALUE"""),44613)</f>
        <v>44613</v>
      </c>
    </row>
    <row r="1053" spans="1:10" x14ac:dyDescent="0.25">
      <c r="A1053" s="1" t="str">
        <f ca="1">IFERROR(__xludf.DUMMYFUNCTION("""COMPUTED_VALUE"""),"VSD")</f>
        <v>VSD</v>
      </c>
      <c r="B1053" s="1" t="str">
        <f ca="1">IFERROR(__xludf.DUMMYFUNCTION("""COMPUTED_VALUE"""),"Bolyár Gábor Balázs")</f>
        <v>Bolyár Gábor Balázs</v>
      </c>
      <c r="C1053" s="1"/>
      <c r="D1053" s="1" t="str">
        <f ca="1">IFERROR(__xludf.DUMMYFUNCTION("""COMPUTED_VALUE"""),"Férfi")</f>
        <v>Férfi</v>
      </c>
      <c r="E1053" s="1"/>
      <c r="F1053" s="1">
        <f ca="1">IFERROR(__xludf.DUMMYFUNCTION("""COMPUTED_VALUE"""),1981)</f>
        <v>1981</v>
      </c>
      <c r="G1053" s="1">
        <f ca="1">IFERROR(__xludf.DUMMYFUNCTION("""COMPUTED_VALUE"""),4349)</f>
        <v>4349</v>
      </c>
      <c r="H1053" s="1" t="str">
        <f ca="1">IFERROR(__xludf.DUMMYFUNCTION("""COMPUTED_VALUE"""),"MTLSZ004349A21")</f>
        <v>MTLSZ004349A21</v>
      </c>
      <c r="I1053" s="2">
        <f ca="1">IFERROR(__xludf.DUMMYFUNCTION("""COMPUTED_VALUE"""),44249)</f>
        <v>44249</v>
      </c>
      <c r="J1053" s="2">
        <f ca="1">IFERROR(__xludf.DUMMYFUNCTION("""COMPUTED_VALUE"""),44613)</f>
        <v>44613</v>
      </c>
    </row>
    <row r="1054" spans="1:10" x14ac:dyDescent="0.25">
      <c r="A1054" s="1" t="str">
        <f ca="1">IFERROR(__xludf.DUMMYFUNCTION("""COMPUTED_VALUE"""),"VSD")</f>
        <v>VSD</v>
      </c>
      <c r="B1054" s="1" t="str">
        <f ca="1">IFERROR(__xludf.DUMMYFUNCTION("""COMPUTED_VALUE"""),"Kökényesi Gergő")</f>
        <v>Kökényesi Gergő</v>
      </c>
      <c r="C1054" s="1"/>
      <c r="D1054" s="1" t="str">
        <f ca="1">IFERROR(__xludf.DUMMYFUNCTION("""COMPUTED_VALUE"""),"Férfi")</f>
        <v>Férfi</v>
      </c>
      <c r="E1054" s="1"/>
      <c r="F1054" s="1">
        <f ca="1">IFERROR(__xludf.DUMMYFUNCTION("""COMPUTED_VALUE"""),1988)</f>
        <v>1988</v>
      </c>
      <c r="G1054" s="1">
        <f ca="1">IFERROR(__xludf.DUMMYFUNCTION("""COMPUTED_VALUE"""),4350)</f>
        <v>4350</v>
      </c>
      <c r="H1054" s="1" t="str">
        <f ca="1">IFERROR(__xludf.DUMMYFUNCTION("""COMPUTED_VALUE"""),"MTLSZ004350A21")</f>
        <v>MTLSZ004350A21</v>
      </c>
      <c r="I1054" s="2">
        <f ca="1">IFERROR(__xludf.DUMMYFUNCTION("""COMPUTED_VALUE"""),44249)</f>
        <v>44249</v>
      </c>
      <c r="J1054" s="2">
        <f ca="1">IFERROR(__xludf.DUMMYFUNCTION("""COMPUTED_VALUE"""),44613)</f>
        <v>44613</v>
      </c>
    </row>
    <row r="1055" spans="1:10" x14ac:dyDescent="0.25">
      <c r="A1055" s="1" t="str">
        <f ca="1">IFERROR(__xludf.DUMMYFUNCTION("""COMPUTED_VALUE"""),"VSD")</f>
        <v>VSD</v>
      </c>
      <c r="B1055" s="1" t="str">
        <f ca="1">IFERROR(__xludf.DUMMYFUNCTION("""COMPUTED_VALUE"""),"Salamon Linda")</f>
        <v>Salamon Linda</v>
      </c>
      <c r="C1055" s="1"/>
      <c r="D1055" s="1" t="str">
        <f ca="1">IFERROR(__xludf.DUMMYFUNCTION("""COMPUTED_VALUE"""),"Nő")</f>
        <v>Nő</v>
      </c>
      <c r="E1055" s="1"/>
      <c r="F1055" s="1">
        <f ca="1">IFERROR(__xludf.DUMMYFUNCTION("""COMPUTED_VALUE"""),1979)</f>
        <v>1979</v>
      </c>
      <c r="G1055" s="1">
        <f ca="1">IFERROR(__xludf.DUMMYFUNCTION("""COMPUTED_VALUE"""),4352)</f>
        <v>4352</v>
      </c>
      <c r="H1055" s="1" t="str">
        <f ca="1">IFERROR(__xludf.DUMMYFUNCTION("""COMPUTED_VALUE"""),"MTLSZ004352A21")</f>
        <v>MTLSZ004352A21</v>
      </c>
      <c r="I1055" s="2">
        <f ca="1">IFERROR(__xludf.DUMMYFUNCTION("""COMPUTED_VALUE"""),44249)</f>
        <v>44249</v>
      </c>
      <c r="J1055" s="2">
        <f ca="1">IFERROR(__xludf.DUMMYFUNCTION("""COMPUTED_VALUE"""),44613)</f>
        <v>44613</v>
      </c>
    </row>
    <row r="1056" spans="1:10" x14ac:dyDescent="0.25">
      <c r="A1056" s="1" t="str">
        <f ca="1">IFERROR(__xludf.DUMMYFUNCTION("""COMPUTED_VALUE"""),"VSD")</f>
        <v>VSD</v>
      </c>
      <c r="B1056" s="1" t="str">
        <f ca="1">IFERROR(__xludf.DUMMYFUNCTION("""COMPUTED_VALUE"""),"Váczi György")</f>
        <v>Váczi György</v>
      </c>
      <c r="C1056" s="1"/>
      <c r="D1056" s="1" t="str">
        <f ca="1">IFERROR(__xludf.DUMMYFUNCTION("""COMPUTED_VALUE"""),"Férfi")</f>
        <v>Férfi</v>
      </c>
      <c r="E1056" s="1"/>
      <c r="F1056" s="1">
        <f ca="1">IFERROR(__xludf.DUMMYFUNCTION("""COMPUTED_VALUE"""),1966)</f>
        <v>1966</v>
      </c>
      <c r="G1056" s="1">
        <f ca="1">IFERROR(__xludf.DUMMYFUNCTION("""COMPUTED_VALUE"""),4351)</f>
        <v>4351</v>
      </c>
      <c r="H1056" s="1" t="str">
        <f ca="1">IFERROR(__xludf.DUMMYFUNCTION("""COMPUTED_VALUE"""),"MTLSZ004351A21")</f>
        <v>MTLSZ004351A21</v>
      </c>
      <c r="I1056" s="2">
        <f ca="1">IFERROR(__xludf.DUMMYFUNCTION("""COMPUTED_VALUE"""),44249)</f>
        <v>44249</v>
      </c>
      <c r="J1056" s="2">
        <f ca="1">IFERROR(__xludf.DUMMYFUNCTION("""COMPUTED_VALUE"""),44613)</f>
        <v>44613</v>
      </c>
    </row>
    <row r="1057" spans="1:10" x14ac:dyDescent="0.25">
      <c r="A1057" s="1" t="str">
        <f ca="1">IFERROR(__xludf.DUMMYFUNCTION("""COMPUTED_VALUE"""),"BTBK")</f>
        <v>BTBK</v>
      </c>
      <c r="B1057" s="1" t="str">
        <f ca="1">IFERROR(__xludf.DUMMYFUNCTION("""COMPUTED_VALUE"""),"Váczy Krisztina")</f>
        <v>Váczy Krisztina</v>
      </c>
      <c r="C1057" s="1"/>
      <c r="D1057" s="1" t="str">
        <f ca="1">IFERROR(__xludf.DUMMYFUNCTION("""COMPUTED_VALUE"""),"Nő")</f>
        <v>Nő</v>
      </c>
      <c r="E1057" s="1"/>
      <c r="F1057" s="1">
        <f ca="1">IFERROR(__xludf.DUMMYFUNCTION("""COMPUTED_VALUE"""),1976)</f>
        <v>1976</v>
      </c>
      <c r="G1057" s="1">
        <f ca="1">IFERROR(__xludf.DUMMYFUNCTION("""COMPUTED_VALUE"""),4344)</f>
        <v>4344</v>
      </c>
      <c r="H1057" s="1" t="str">
        <f ca="1">IFERROR(__xludf.DUMMYFUNCTION("""COMPUTED_VALUE"""),"MTLSZ004344A21")</f>
        <v>MTLSZ004344A21</v>
      </c>
      <c r="I1057" s="2">
        <f ca="1">IFERROR(__xludf.DUMMYFUNCTION("""COMPUTED_VALUE"""),44246)</f>
        <v>44246</v>
      </c>
      <c r="J1057" s="2">
        <f ca="1">IFERROR(__xludf.DUMMYFUNCTION("""COMPUTED_VALUE"""),44610)</f>
        <v>44610</v>
      </c>
    </row>
    <row r="1058" spans="1:10" x14ac:dyDescent="0.25">
      <c r="A1058" s="1" t="str">
        <f ca="1">IFERROR(__xludf.DUMMYFUNCTION("""COMPUTED_VALUE"""),"BTBK")</f>
        <v>BTBK</v>
      </c>
      <c r="B1058" s="1" t="str">
        <f ca="1">IFERROR(__xludf.DUMMYFUNCTION("""COMPUTED_VALUE"""),"Vécsei Róbert")</f>
        <v>Vécsei Róbert</v>
      </c>
      <c r="C1058" s="1"/>
      <c r="D1058" s="1" t="str">
        <f ca="1">IFERROR(__xludf.DUMMYFUNCTION("""COMPUTED_VALUE"""),"Férfi")</f>
        <v>Férfi</v>
      </c>
      <c r="E1058" s="1"/>
      <c r="F1058" s="1">
        <f ca="1">IFERROR(__xludf.DUMMYFUNCTION("""COMPUTED_VALUE"""),1969)</f>
        <v>1969</v>
      </c>
      <c r="G1058" s="1">
        <f ca="1">IFERROR(__xludf.DUMMYFUNCTION("""COMPUTED_VALUE"""),4345)</f>
        <v>4345</v>
      </c>
      <c r="H1058" s="1" t="str">
        <f ca="1">IFERROR(__xludf.DUMMYFUNCTION("""COMPUTED_VALUE"""),"MTLSZ004345A21")</f>
        <v>MTLSZ004345A21</v>
      </c>
      <c r="I1058" s="2">
        <f ca="1">IFERROR(__xludf.DUMMYFUNCTION("""COMPUTED_VALUE"""),44246)</f>
        <v>44246</v>
      </c>
      <c r="J1058" s="2">
        <f ca="1">IFERROR(__xludf.DUMMYFUNCTION("""COMPUTED_VALUE"""),44610)</f>
        <v>44610</v>
      </c>
    </row>
    <row r="1059" spans="1:10" x14ac:dyDescent="0.25">
      <c r="A1059" s="1" t="str">
        <f ca="1">IFERROR(__xludf.DUMMYFUNCTION("""COMPUTED_VALUE"""),"Keszthelyi TE")</f>
        <v>Keszthelyi TE</v>
      </c>
      <c r="B1059" s="1" t="str">
        <f ca="1">IFERROR(__xludf.DUMMYFUNCTION("""COMPUTED_VALUE"""),"Kató Gergely")</f>
        <v>Kató Gergely</v>
      </c>
      <c r="C1059" s="1"/>
      <c r="D1059" s="1" t="str">
        <f ca="1">IFERROR(__xludf.DUMMYFUNCTION("""COMPUTED_VALUE"""),"Férfi")</f>
        <v>Férfi</v>
      </c>
      <c r="E1059" s="1"/>
      <c r="F1059" s="1">
        <f ca="1">IFERROR(__xludf.DUMMYFUNCTION("""COMPUTED_VALUE"""),2002)</f>
        <v>2002</v>
      </c>
      <c r="G1059" s="1">
        <f ca="1">IFERROR(__xludf.DUMMYFUNCTION("""COMPUTED_VALUE"""),4342)</f>
        <v>4342</v>
      </c>
      <c r="H1059" s="1" t="str">
        <f ca="1">IFERROR(__xludf.DUMMYFUNCTION("""COMPUTED_VALUE"""),"MTLSZ004342A21")</f>
        <v>MTLSZ004342A21</v>
      </c>
      <c r="I1059" s="2">
        <f ca="1">IFERROR(__xludf.DUMMYFUNCTION("""COMPUTED_VALUE"""),44246)</f>
        <v>44246</v>
      </c>
      <c r="J1059" s="2">
        <f ca="1">IFERROR(__xludf.DUMMYFUNCTION("""COMPUTED_VALUE"""),44610)</f>
        <v>44610</v>
      </c>
    </row>
    <row r="1060" spans="1:10" x14ac:dyDescent="0.25">
      <c r="A1060" s="1" t="str">
        <f ca="1">IFERROR(__xludf.DUMMYFUNCTION("""COMPUTED_VALUE"""),"FBSE")</f>
        <v>FBSE</v>
      </c>
      <c r="B1060" s="1" t="str">
        <f ca="1">IFERROR(__xludf.DUMMYFUNCTION("""COMPUTED_VALUE"""),"Tóth Csaba")</f>
        <v>Tóth Csaba</v>
      </c>
      <c r="C1060" s="1"/>
      <c r="D1060" s="1" t="str">
        <f ca="1">IFERROR(__xludf.DUMMYFUNCTION("""COMPUTED_VALUE"""),"Férfi")</f>
        <v>Férfi</v>
      </c>
      <c r="E1060" s="1"/>
      <c r="F1060" s="1">
        <f ca="1">IFERROR(__xludf.DUMMYFUNCTION("""COMPUTED_VALUE"""),1971)</f>
        <v>1971</v>
      </c>
      <c r="G1060" s="1">
        <f ca="1">IFERROR(__xludf.DUMMYFUNCTION("""COMPUTED_VALUE"""),4343)</f>
        <v>4343</v>
      </c>
      <c r="H1060" s="1" t="str">
        <f ca="1">IFERROR(__xludf.DUMMYFUNCTION("""COMPUTED_VALUE"""),"MTLSZ004343A21")</f>
        <v>MTLSZ004343A21</v>
      </c>
      <c r="I1060" s="2">
        <f ca="1">IFERROR(__xludf.DUMMYFUNCTION("""COMPUTED_VALUE"""),44245)</f>
        <v>44245</v>
      </c>
      <c r="J1060" s="2">
        <f ca="1">IFERROR(__xludf.DUMMYFUNCTION("""COMPUTED_VALUE"""),44609)</f>
        <v>44609</v>
      </c>
    </row>
    <row r="1061" spans="1:10" x14ac:dyDescent="0.25">
      <c r="A1061" s="1" t="str">
        <f ca="1">IFERROR(__xludf.DUMMYFUNCTION("""COMPUTED_VALUE"""),"Dunakanyar TSE")</f>
        <v>Dunakanyar TSE</v>
      </c>
      <c r="B1061" s="1" t="str">
        <f ca="1">IFERROR(__xludf.DUMMYFUNCTION("""COMPUTED_VALUE"""),"Németh Marcell")</f>
        <v>Németh Marcell</v>
      </c>
      <c r="C1061" s="1"/>
      <c r="D1061" s="1" t="str">
        <f ca="1">IFERROR(__xludf.DUMMYFUNCTION("""COMPUTED_VALUE"""),"Férfi")</f>
        <v>Férfi</v>
      </c>
      <c r="E1061" s="1"/>
      <c r="F1061" s="1">
        <f ca="1">IFERROR(__xludf.DUMMYFUNCTION("""COMPUTED_VALUE"""),1999)</f>
        <v>1999</v>
      </c>
      <c r="G1061" s="1">
        <f ca="1">IFERROR(__xludf.DUMMYFUNCTION("""COMPUTED_VALUE"""),4327)</f>
        <v>4327</v>
      </c>
      <c r="H1061" s="1" t="str">
        <f ca="1">IFERROR(__xludf.DUMMYFUNCTION("""COMPUTED_VALUE"""),"MTLSZ004327A21")</f>
        <v>MTLSZ004327A21</v>
      </c>
      <c r="I1061" s="2">
        <f ca="1">IFERROR(__xludf.DUMMYFUNCTION("""COMPUTED_VALUE"""),44244)</f>
        <v>44244</v>
      </c>
      <c r="J1061" s="2">
        <f ca="1">IFERROR(__xludf.DUMMYFUNCTION("""COMPUTED_VALUE"""),44608)</f>
        <v>44608</v>
      </c>
    </row>
    <row r="1062" spans="1:10" x14ac:dyDescent="0.25">
      <c r="A1062" s="1" t="str">
        <f ca="1">IFERROR(__xludf.DUMMYFUNCTION("""COMPUTED_VALUE"""),"Életmód SE")</f>
        <v>Életmód SE</v>
      </c>
      <c r="B1062" s="1" t="str">
        <f ca="1">IFERROR(__xludf.DUMMYFUNCTION("""COMPUTED_VALUE"""),"Buzás Adél")</f>
        <v>Buzás Adél</v>
      </c>
      <c r="C1062" s="1"/>
      <c r="D1062" s="1" t="str">
        <f ca="1">IFERROR(__xludf.DUMMYFUNCTION("""COMPUTED_VALUE"""),"Nő")</f>
        <v>Nő</v>
      </c>
      <c r="E1062" s="1"/>
      <c r="F1062" s="1">
        <f ca="1">IFERROR(__xludf.DUMMYFUNCTION("""COMPUTED_VALUE"""),2009)</f>
        <v>2009</v>
      </c>
      <c r="G1062" s="1">
        <f ca="1">IFERROR(__xludf.DUMMYFUNCTION("""COMPUTED_VALUE"""),4330)</f>
        <v>4330</v>
      </c>
      <c r="H1062" s="1" t="str">
        <f ca="1">IFERROR(__xludf.DUMMYFUNCTION("""COMPUTED_VALUE"""),"MTLSZ004330A21")</f>
        <v>MTLSZ004330A21</v>
      </c>
      <c r="I1062" s="2">
        <f ca="1">IFERROR(__xludf.DUMMYFUNCTION("""COMPUTED_VALUE"""),44244)</f>
        <v>44244</v>
      </c>
      <c r="J1062" s="2">
        <f ca="1">IFERROR(__xludf.DUMMYFUNCTION("""COMPUTED_VALUE"""),44608)</f>
        <v>44608</v>
      </c>
    </row>
    <row r="1063" spans="1:10" x14ac:dyDescent="0.25">
      <c r="A1063" s="1" t="str">
        <f ca="1">IFERROR(__xludf.DUMMYFUNCTION("""COMPUTED_VALUE"""),"Életmód SE")</f>
        <v>Életmód SE</v>
      </c>
      <c r="B1063" s="1" t="str">
        <f ca="1">IFERROR(__xludf.DUMMYFUNCTION("""COMPUTED_VALUE"""),"Csiszár Antal")</f>
        <v>Csiszár Antal</v>
      </c>
      <c r="C1063" s="1"/>
      <c r="D1063" s="1" t="str">
        <f ca="1">IFERROR(__xludf.DUMMYFUNCTION("""COMPUTED_VALUE"""),"Férfi")</f>
        <v>Férfi</v>
      </c>
      <c r="E1063" s="1"/>
      <c r="F1063" s="1">
        <f ca="1">IFERROR(__xludf.DUMMYFUNCTION("""COMPUTED_VALUE"""),1974)</f>
        <v>1974</v>
      </c>
      <c r="G1063" s="1">
        <f ca="1">IFERROR(__xludf.DUMMYFUNCTION("""COMPUTED_VALUE"""),4334)</f>
        <v>4334</v>
      </c>
      <c r="H1063" s="1" t="str">
        <f ca="1">IFERROR(__xludf.DUMMYFUNCTION("""COMPUTED_VALUE"""),"MTLSZ004334A21")</f>
        <v>MTLSZ004334A21</v>
      </c>
      <c r="I1063" s="2">
        <f ca="1">IFERROR(__xludf.DUMMYFUNCTION("""COMPUTED_VALUE"""),44244)</f>
        <v>44244</v>
      </c>
      <c r="J1063" s="2">
        <f ca="1">IFERROR(__xludf.DUMMYFUNCTION("""COMPUTED_VALUE"""),44608)</f>
        <v>44608</v>
      </c>
    </row>
    <row r="1064" spans="1:10" x14ac:dyDescent="0.25">
      <c r="A1064" s="1" t="str">
        <f ca="1">IFERROR(__xludf.DUMMYFUNCTION("""COMPUTED_VALUE"""),"Életmód SE")</f>
        <v>Életmód SE</v>
      </c>
      <c r="B1064" s="1" t="str">
        <f ca="1">IFERROR(__xludf.DUMMYFUNCTION("""COMPUTED_VALUE"""),"Füle Péter")</f>
        <v>Füle Péter</v>
      </c>
      <c r="C1064" s="1"/>
      <c r="D1064" s="1" t="str">
        <f ca="1">IFERROR(__xludf.DUMMYFUNCTION("""COMPUTED_VALUE"""),"Férfi")</f>
        <v>Férfi</v>
      </c>
      <c r="E1064" s="1"/>
      <c r="F1064" s="1">
        <f ca="1">IFERROR(__xludf.DUMMYFUNCTION("""COMPUTED_VALUE"""),1989)</f>
        <v>1989</v>
      </c>
      <c r="G1064" s="1">
        <f ca="1">IFERROR(__xludf.DUMMYFUNCTION("""COMPUTED_VALUE"""),4328)</f>
        <v>4328</v>
      </c>
      <c r="H1064" s="1" t="str">
        <f ca="1">IFERROR(__xludf.DUMMYFUNCTION("""COMPUTED_VALUE"""),"MTLSZ004328A21")</f>
        <v>MTLSZ004328A21</v>
      </c>
      <c r="I1064" s="2">
        <f ca="1">IFERROR(__xludf.DUMMYFUNCTION("""COMPUTED_VALUE"""),44244)</f>
        <v>44244</v>
      </c>
      <c r="J1064" s="2">
        <f ca="1">IFERROR(__xludf.DUMMYFUNCTION("""COMPUTED_VALUE"""),44608)</f>
        <v>44608</v>
      </c>
    </row>
    <row r="1065" spans="1:10" x14ac:dyDescent="0.25">
      <c r="A1065" s="1" t="str">
        <f ca="1">IFERROR(__xludf.DUMMYFUNCTION("""COMPUTED_VALUE"""),"Életmód SE")</f>
        <v>Életmód SE</v>
      </c>
      <c r="B1065" s="1" t="str">
        <f ca="1">IFERROR(__xludf.DUMMYFUNCTION("""COMPUTED_VALUE"""),"Hotváth Georgina")</f>
        <v>Hotváth Georgina</v>
      </c>
      <c r="C1065" s="1"/>
      <c r="D1065" s="1" t="str">
        <f ca="1">IFERROR(__xludf.DUMMYFUNCTION("""COMPUTED_VALUE"""),"Nő")</f>
        <v>Nő</v>
      </c>
      <c r="E1065" s="1"/>
      <c r="F1065" s="1">
        <f ca="1">IFERROR(__xludf.DUMMYFUNCTION("""COMPUTED_VALUE"""),1989)</f>
        <v>1989</v>
      </c>
      <c r="G1065" s="1">
        <f ca="1">IFERROR(__xludf.DUMMYFUNCTION("""COMPUTED_VALUE"""),4333)</f>
        <v>4333</v>
      </c>
      <c r="H1065" s="1" t="str">
        <f ca="1">IFERROR(__xludf.DUMMYFUNCTION("""COMPUTED_VALUE"""),"MTLSZ004333A21")</f>
        <v>MTLSZ004333A21</v>
      </c>
      <c r="I1065" s="2">
        <f ca="1">IFERROR(__xludf.DUMMYFUNCTION("""COMPUTED_VALUE"""),44244)</f>
        <v>44244</v>
      </c>
      <c r="J1065" s="2">
        <f ca="1">IFERROR(__xludf.DUMMYFUNCTION("""COMPUTED_VALUE"""),44608)</f>
        <v>44608</v>
      </c>
    </row>
    <row r="1066" spans="1:10" x14ac:dyDescent="0.25">
      <c r="A1066" s="1" t="str">
        <f ca="1">IFERROR(__xludf.DUMMYFUNCTION("""COMPUTED_VALUE"""),"Életmód SE")</f>
        <v>Életmód SE</v>
      </c>
      <c r="B1066" s="1" t="str">
        <f ca="1">IFERROR(__xludf.DUMMYFUNCTION("""COMPUTED_VALUE"""),"M. Lavicska Emese")</f>
        <v>M. Lavicska Emese</v>
      </c>
      <c r="C1066" s="1"/>
      <c r="D1066" s="1" t="str">
        <f ca="1">IFERROR(__xludf.DUMMYFUNCTION("""COMPUTED_VALUE"""),"Nő")</f>
        <v>Nő</v>
      </c>
      <c r="E1066" s="1"/>
      <c r="F1066" s="1">
        <f ca="1">IFERROR(__xludf.DUMMYFUNCTION("""COMPUTED_VALUE"""),1979)</f>
        <v>1979</v>
      </c>
      <c r="G1066" s="1">
        <f ca="1">IFERROR(__xludf.DUMMYFUNCTION("""COMPUTED_VALUE"""),4332)</f>
        <v>4332</v>
      </c>
      <c r="H1066" s="1" t="str">
        <f ca="1">IFERROR(__xludf.DUMMYFUNCTION("""COMPUTED_VALUE"""),"MTLSZ004332A21")</f>
        <v>MTLSZ004332A21</v>
      </c>
      <c r="I1066" s="2">
        <f ca="1">IFERROR(__xludf.DUMMYFUNCTION("""COMPUTED_VALUE"""),44244)</f>
        <v>44244</v>
      </c>
      <c r="J1066" s="2">
        <f ca="1">IFERROR(__xludf.DUMMYFUNCTION("""COMPUTED_VALUE"""),44608)</f>
        <v>44608</v>
      </c>
    </row>
    <row r="1067" spans="1:10" x14ac:dyDescent="0.25">
      <c r="A1067" s="1" t="str">
        <f ca="1">IFERROR(__xludf.DUMMYFUNCTION("""COMPUTED_VALUE"""),"Életmód SE")</f>
        <v>Életmód SE</v>
      </c>
      <c r="B1067" s="1" t="str">
        <f ca="1">IFERROR(__xludf.DUMMYFUNCTION("""COMPUTED_VALUE"""),"Molnár Ferenc")</f>
        <v>Molnár Ferenc</v>
      </c>
      <c r="C1067" s="1"/>
      <c r="D1067" s="1" t="str">
        <f ca="1">IFERROR(__xludf.DUMMYFUNCTION("""COMPUTED_VALUE"""),"Férfi")</f>
        <v>Férfi</v>
      </c>
      <c r="E1067" s="1"/>
      <c r="F1067" s="1">
        <f ca="1">IFERROR(__xludf.DUMMYFUNCTION("""COMPUTED_VALUE"""),1979)</f>
        <v>1979</v>
      </c>
      <c r="G1067" s="1">
        <f ca="1">IFERROR(__xludf.DUMMYFUNCTION("""COMPUTED_VALUE"""),4331)</f>
        <v>4331</v>
      </c>
      <c r="H1067" s="1" t="str">
        <f ca="1">IFERROR(__xludf.DUMMYFUNCTION("""COMPUTED_VALUE"""),"MTLSZ004331A21")</f>
        <v>MTLSZ004331A21</v>
      </c>
      <c r="I1067" s="2">
        <f ca="1">IFERROR(__xludf.DUMMYFUNCTION("""COMPUTED_VALUE"""),44244)</f>
        <v>44244</v>
      </c>
      <c r="J1067" s="2">
        <f ca="1">IFERROR(__xludf.DUMMYFUNCTION("""COMPUTED_VALUE"""),44608)</f>
        <v>44608</v>
      </c>
    </row>
    <row r="1068" spans="1:10" x14ac:dyDescent="0.25">
      <c r="A1068" s="1" t="str">
        <f ca="1">IFERROR(__xludf.DUMMYFUNCTION("""COMPUTED_VALUE"""),"Életmód SE")</f>
        <v>Életmód SE</v>
      </c>
      <c r="B1068" s="1" t="str">
        <f ca="1">IFERROR(__xludf.DUMMYFUNCTION("""COMPUTED_VALUE"""),"Tölgyesy Milán")</f>
        <v>Tölgyesy Milán</v>
      </c>
      <c r="C1068" s="1"/>
      <c r="D1068" s="1" t="str">
        <f ca="1">IFERROR(__xludf.DUMMYFUNCTION("""COMPUTED_VALUE"""),"Férfi")</f>
        <v>Férfi</v>
      </c>
      <c r="E1068" s="1"/>
      <c r="F1068" s="1">
        <f ca="1">IFERROR(__xludf.DUMMYFUNCTION("""COMPUTED_VALUE"""),1997)</f>
        <v>1997</v>
      </c>
      <c r="G1068" s="1">
        <f ca="1">IFERROR(__xludf.DUMMYFUNCTION("""COMPUTED_VALUE"""),4329)</f>
        <v>4329</v>
      </c>
      <c r="H1068" s="1" t="str">
        <f ca="1">IFERROR(__xludf.DUMMYFUNCTION("""COMPUTED_VALUE"""),"MTLSZ004329A21")</f>
        <v>MTLSZ004329A21</v>
      </c>
      <c r="I1068" s="2">
        <f ca="1">IFERROR(__xludf.DUMMYFUNCTION("""COMPUTED_VALUE"""),44244)</f>
        <v>44244</v>
      </c>
      <c r="J1068" s="2">
        <f ca="1">IFERROR(__xludf.DUMMYFUNCTION("""COMPUTED_VALUE"""),44608)</f>
        <v>44608</v>
      </c>
    </row>
    <row r="1069" spans="1:10" x14ac:dyDescent="0.25">
      <c r="A1069" s="1" t="str">
        <f ca="1">IFERROR(__xludf.DUMMYFUNCTION("""COMPUTED_VALUE"""),"Talentum TSE")</f>
        <v>Talentum TSE</v>
      </c>
      <c r="B1069" s="1" t="str">
        <f ca="1">IFERROR(__xludf.DUMMYFUNCTION("""COMPUTED_VALUE"""),"Czira Botond")</f>
        <v>Czira Botond</v>
      </c>
      <c r="C1069" s="1"/>
      <c r="D1069" s="1" t="str">
        <f ca="1">IFERROR(__xludf.DUMMYFUNCTION("""COMPUTED_VALUE"""),"Férfi")</f>
        <v>Férfi</v>
      </c>
      <c r="E1069" s="1"/>
      <c r="F1069" s="1">
        <f ca="1">IFERROR(__xludf.DUMMYFUNCTION("""COMPUTED_VALUE"""),2009)</f>
        <v>2009</v>
      </c>
      <c r="G1069" s="1">
        <f ca="1">IFERROR(__xludf.DUMMYFUNCTION("""COMPUTED_VALUE"""),4335)</f>
        <v>4335</v>
      </c>
      <c r="H1069" s="1" t="str">
        <f ca="1">IFERROR(__xludf.DUMMYFUNCTION("""COMPUTED_VALUE"""),"MTLSZ004335A21")</f>
        <v>MTLSZ004335A21</v>
      </c>
      <c r="I1069" s="2">
        <f ca="1">IFERROR(__xludf.DUMMYFUNCTION("""COMPUTED_VALUE"""),44244)</f>
        <v>44244</v>
      </c>
      <c r="J1069" s="2">
        <f ca="1">IFERROR(__xludf.DUMMYFUNCTION("""COMPUTED_VALUE"""),44608)</f>
        <v>44608</v>
      </c>
    </row>
    <row r="1070" spans="1:10" x14ac:dyDescent="0.25">
      <c r="A1070" s="1" t="str">
        <f ca="1">IFERROR(__xludf.DUMMYFUNCTION("""COMPUTED_VALUE"""),"Talentum TSE")</f>
        <v>Talentum TSE</v>
      </c>
      <c r="B1070" s="1" t="str">
        <f ca="1">IFERROR(__xludf.DUMMYFUNCTION("""COMPUTED_VALUE"""),"Filus Nelli")</f>
        <v>Filus Nelli</v>
      </c>
      <c r="C1070" s="1"/>
      <c r="D1070" s="1" t="str">
        <f ca="1">IFERROR(__xludf.DUMMYFUNCTION("""COMPUTED_VALUE"""),"Nő")</f>
        <v>Nő</v>
      </c>
      <c r="E1070" s="1"/>
      <c r="F1070" s="1">
        <f ca="1">IFERROR(__xludf.DUMMYFUNCTION("""COMPUTED_VALUE"""),2006)</f>
        <v>2006</v>
      </c>
      <c r="G1070" s="1">
        <f ca="1">IFERROR(__xludf.DUMMYFUNCTION("""COMPUTED_VALUE"""),4341)</f>
        <v>4341</v>
      </c>
      <c r="H1070" s="1" t="str">
        <f ca="1">IFERROR(__xludf.DUMMYFUNCTION("""COMPUTED_VALUE"""),"MTLSZ004341A21")</f>
        <v>MTLSZ004341A21</v>
      </c>
      <c r="I1070" s="2">
        <f ca="1">IFERROR(__xludf.DUMMYFUNCTION("""COMPUTED_VALUE"""),44244)</f>
        <v>44244</v>
      </c>
      <c r="J1070" s="2">
        <f ca="1">IFERROR(__xludf.DUMMYFUNCTION("""COMPUTED_VALUE"""),44608)</f>
        <v>44608</v>
      </c>
    </row>
    <row r="1071" spans="1:10" x14ac:dyDescent="0.25">
      <c r="A1071" s="1" t="str">
        <f ca="1">IFERROR(__xludf.DUMMYFUNCTION("""COMPUTED_VALUE"""),"Talentum TSE")</f>
        <v>Talentum TSE</v>
      </c>
      <c r="B1071" s="1" t="str">
        <f ca="1">IFERROR(__xludf.DUMMYFUNCTION("""COMPUTED_VALUE"""),"Horváth Borbála")</f>
        <v>Horváth Borbála</v>
      </c>
      <c r="C1071" s="1"/>
      <c r="D1071" s="1" t="str">
        <f ca="1">IFERROR(__xludf.DUMMYFUNCTION("""COMPUTED_VALUE"""),"Nő")</f>
        <v>Nő</v>
      </c>
      <c r="E1071" s="1"/>
      <c r="F1071" s="1">
        <f ca="1">IFERROR(__xludf.DUMMYFUNCTION("""COMPUTED_VALUE"""),2003)</f>
        <v>2003</v>
      </c>
      <c r="G1071" s="1">
        <f ca="1">IFERROR(__xludf.DUMMYFUNCTION("""COMPUTED_VALUE"""),4339)</f>
        <v>4339</v>
      </c>
      <c r="H1071" s="1" t="str">
        <f ca="1">IFERROR(__xludf.DUMMYFUNCTION("""COMPUTED_VALUE"""),"MTLSZ004339A21")</f>
        <v>MTLSZ004339A21</v>
      </c>
      <c r="I1071" s="2">
        <f ca="1">IFERROR(__xludf.DUMMYFUNCTION("""COMPUTED_VALUE"""),44244)</f>
        <v>44244</v>
      </c>
      <c r="J1071" s="2">
        <f ca="1">IFERROR(__xludf.DUMMYFUNCTION("""COMPUTED_VALUE"""),44608)</f>
        <v>44608</v>
      </c>
    </row>
    <row r="1072" spans="1:10" x14ac:dyDescent="0.25">
      <c r="A1072" s="1" t="str">
        <f ca="1">IFERROR(__xludf.DUMMYFUNCTION("""COMPUTED_VALUE"""),"Talentum TSE")</f>
        <v>Talentum TSE</v>
      </c>
      <c r="B1072" s="1" t="str">
        <f ca="1">IFERROR(__xludf.DUMMYFUNCTION("""COMPUTED_VALUE"""),"Kollár Milán")</f>
        <v>Kollár Milán</v>
      </c>
      <c r="C1072" s="1"/>
      <c r="D1072" s="1" t="str">
        <f ca="1">IFERROR(__xludf.DUMMYFUNCTION("""COMPUTED_VALUE"""),"Férfi")</f>
        <v>Férfi</v>
      </c>
      <c r="E1072" s="1"/>
      <c r="F1072" s="1">
        <f ca="1">IFERROR(__xludf.DUMMYFUNCTION("""COMPUTED_VALUE"""),2007)</f>
        <v>2007</v>
      </c>
      <c r="G1072" s="1">
        <f ca="1">IFERROR(__xludf.DUMMYFUNCTION("""COMPUTED_VALUE"""),4340)</f>
        <v>4340</v>
      </c>
      <c r="H1072" s="1" t="str">
        <f ca="1">IFERROR(__xludf.DUMMYFUNCTION("""COMPUTED_VALUE"""),"MTLSZ004340A21")</f>
        <v>MTLSZ004340A21</v>
      </c>
      <c r="I1072" s="2">
        <f ca="1">IFERROR(__xludf.DUMMYFUNCTION("""COMPUTED_VALUE"""),44244)</f>
        <v>44244</v>
      </c>
      <c r="J1072" s="2">
        <f ca="1">IFERROR(__xludf.DUMMYFUNCTION("""COMPUTED_VALUE"""),44608)</f>
        <v>44608</v>
      </c>
    </row>
    <row r="1073" spans="1:10" x14ac:dyDescent="0.25">
      <c r="A1073" s="1" t="str">
        <f ca="1">IFERROR(__xludf.DUMMYFUNCTION("""COMPUTED_VALUE"""),"Talentum TSE")</f>
        <v>Talentum TSE</v>
      </c>
      <c r="B1073" s="1" t="str">
        <f ca="1">IFERROR(__xludf.DUMMYFUNCTION("""COMPUTED_VALUE"""),"Kovács Ottó")</f>
        <v>Kovács Ottó</v>
      </c>
      <c r="C1073" s="1"/>
      <c r="D1073" s="1" t="str">
        <f ca="1">IFERROR(__xludf.DUMMYFUNCTION("""COMPUTED_VALUE"""),"Férfi")</f>
        <v>Férfi</v>
      </c>
      <c r="E1073" s="1"/>
      <c r="F1073" s="1">
        <f ca="1">IFERROR(__xludf.DUMMYFUNCTION("""COMPUTED_VALUE"""),2014)</f>
        <v>2014</v>
      </c>
      <c r="G1073" s="1">
        <f ca="1">IFERROR(__xludf.DUMMYFUNCTION("""COMPUTED_VALUE"""),4336)</f>
        <v>4336</v>
      </c>
      <c r="H1073" s="1" t="str">
        <f ca="1">IFERROR(__xludf.DUMMYFUNCTION("""COMPUTED_VALUE"""),"MTLSZ004336A21")</f>
        <v>MTLSZ004336A21</v>
      </c>
      <c r="I1073" s="2">
        <f ca="1">IFERROR(__xludf.DUMMYFUNCTION("""COMPUTED_VALUE"""),44244)</f>
        <v>44244</v>
      </c>
      <c r="J1073" s="2">
        <f ca="1">IFERROR(__xludf.DUMMYFUNCTION("""COMPUTED_VALUE"""),44608)</f>
        <v>44608</v>
      </c>
    </row>
    <row r="1074" spans="1:10" x14ac:dyDescent="0.25">
      <c r="A1074" s="1" t="str">
        <f ca="1">IFERROR(__xludf.DUMMYFUNCTION("""COMPUTED_VALUE"""),"Talentum TSE")</f>
        <v>Talentum TSE</v>
      </c>
      <c r="B1074" s="1" t="str">
        <f ca="1">IFERROR(__xludf.DUMMYFUNCTION("""COMPUTED_VALUE"""),"Monostori Janka")</f>
        <v>Monostori Janka</v>
      </c>
      <c r="C1074" s="1"/>
      <c r="D1074" s="1" t="str">
        <f ca="1">IFERROR(__xludf.DUMMYFUNCTION("""COMPUTED_VALUE"""),"Nő")</f>
        <v>Nő</v>
      </c>
      <c r="E1074" s="1"/>
      <c r="F1074" s="1">
        <f ca="1">IFERROR(__xludf.DUMMYFUNCTION("""COMPUTED_VALUE"""),2006)</f>
        <v>2006</v>
      </c>
      <c r="G1074" s="1">
        <f ca="1">IFERROR(__xludf.DUMMYFUNCTION("""COMPUTED_VALUE"""),4337)</f>
        <v>4337</v>
      </c>
      <c r="H1074" s="1" t="str">
        <f ca="1">IFERROR(__xludf.DUMMYFUNCTION("""COMPUTED_VALUE"""),"MTLSZ004337A21")</f>
        <v>MTLSZ004337A21</v>
      </c>
      <c r="I1074" s="2">
        <f ca="1">IFERROR(__xludf.DUMMYFUNCTION("""COMPUTED_VALUE"""),44244)</f>
        <v>44244</v>
      </c>
      <c r="J1074" s="2">
        <f ca="1">IFERROR(__xludf.DUMMYFUNCTION("""COMPUTED_VALUE"""),44608)</f>
        <v>44608</v>
      </c>
    </row>
    <row r="1075" spans="1:10" x14ac:dyDescent="0.25">
      <c r="A1075" s="1" t="str">
        <f ca="1">IFERROR(__xludf.DUMMYFUNCTION("""COMPUTED_VALUE"""),"Talentum TSE")</f>
        <v>Talentum TSE</v>
      </c>
      <c r="B1075" s="1" t="str">
        <f ca="1">IFERROR(__xludf.DUMMYFUNCTION("""COMPUTED_VALUE"""),"Pete Fanni")</f>
        <v>Pete Fanni</v>
      </c>
      <c r="C1075" s="1"/>
      <c r="D1075" s="1" t="str">
        <f ca="1">IFERROR(__xludf.DUMMYFUNCTION("""COMPUTED_VALUE"""),"Nő")</f>
        <v>Nő</v>
      </c>
      <c r="E1075" s="1"/>
      <c r="F1075" s="1">
        <f ca="1">IFERROR(__xludf.DUMMYFUNCTION("""COMPUTED_VALUE"""),2004)</f>
        <v>2004</v>
      </c>
      <c r="G1075" s="1">
        <f ca="1">IFERROR(__xludf.DUMMYFUNCTION("""COMPUTED_VALUE"""),4338)</f>
        <v>4338</v>
      </c>
      <c r="H1075" s="1" t="str">
        <f ca="1">IFERROR(__xludf.DUMMYFUNCTION("""COMPUTED_VALUE"""),"MTLSZ004338A21")</f>
        <v>MTLSZ004338A21</v>
      </c>
      <c r="I1075" s="2">
        <f ca="1">IFERROR(__xludf.DUMMYFUNCTION("""COMPUTED_VALUE"""),44244)</f>
        <v>44244</v>
      </c>
      <c r="J1075" s="2">
        <f ca="1">IFERROR(__xludf.DUMMYFUNCTION("""COMPUTED_VALUE"""),44608)</f>
        <v>44608</v>
      </c>
    </row>
    <row r="1076" spans="1:10" x14ac:dyDescent="0.25">
      <c r="A1076" s="1" t="str">
        <f ca="1">IFERROR(__xludf.DUMMYFUNCTION("""COMPUTED_VALUE"""),"T(r)ollas SE")</f>
        <v>T(r)ollas SE</v>
      </c>
      <c r="B1076" s="1" t="str">
        <f ca="1">IFERROR(__xludf.DUMMYFUNCTION("""COMPUTED_VALUE"""),"Gupta Abhishek")</f>
        <v>Gupta Abhishek</v>
      </c>
      <c r="C1076" s="1"/>
      <c r="D1076" s="1" t="str">
        <f ca="1">IFERROR(__xludf.DUMMYFUNCTION("""COMPUTED_VALUE"""),"Férfi")</f>
        <v>Férfi</v>
      </c>
      <c r="E1076" s="1"/>
      <c r="F1076" s="1">
        <f ca="1">IFERROR(__xludf.DUMMYFUNCTION("""COMPUTED_VALUE"""),1974)</f>
        <v>1974</v>
      </c>
      <c r="G1076" s="1">
        <f ca="1">IFERROR(__xludf.DUMMYFUNCTION("""COMPUTED_VALUE"""),4325)</f>
        <v>4325</v>
      </c>
      <c r="H1076" s="1" t="str">
        <f ca="1">IFERROR(__xludf.DUMMYFUNCTION("""COMPUTED_VALUE"""),"MTLSZ004325A21")</f>
        <v>MTLSZ004325A21</v>
      </c>
      <c r="I1076" s="2">
        <f ca="1">IFERROR(__xludf.DUMMYFUNCTION("""COMPUTED_VALUE"""),44244)</f>
        <v>44244</v>
      </c>
      <c r="J1076" s="2">
        <f ca="1">IFERROR(__xludf.DUMMYFUNCTION("""COMPUTED_VALUE"""),44608)</f>
        <v>44608</v>
      </c>
    </row>
    <row r="1077" spans="1:10" x14ac:dyDescent="0.25">
      <c r="A1077" s="1" t="str">
        <f ca="1">IFERROR(__xludf.DUMMYFUNCTION("""COMPUTED_VALUE"""),"T(r)ollas SE")</f>
        <v>T(r)ollas SE</v>
      </c>
      <c r="B1077" s="1" t="str">
        <f ca="1">IFERROR(__xludf.DUMMYFUNCTION("""COMPUTED_VALUE"""),"Lai Anett")</f>
        <v>Lai Anett</v>
      </c>
      <c r="C1077" s="1"/>
      <c r="D1077" s="1" t="str">
        <f ca="1">IFERROR(__xludf.DUMMYFUNCTION("""COMPUTED_VALUE"""),"Nő")</f>
        <v>Nő</v>
      </c>
      <c r="E1077" s="1"/>
      <c r="F1077" s="1">
        <f ca="1">IFERROR(__xludf.DUMMYFUNCTION("""COMPUTED_VALUE"""),2003)</f>
        <v>2003</v>
      </c>
      <c r="G1077" s="1">
        <f ca="1">IFERROR(__xludf.DUMMYFUNCTION("""COMPUTED_VALUE"""),3070)</f>
        <v>3070</v>
      </c>
      <c r="H1077" s="1" t="str">
        <f ca="1">IFERROR(__xludf.DUMMYFUNCTION("""COMPUTED_VALUE"""),"MTLSZ003070A21")</f>
        <v>MTLSZ003070A21</v>
      </c>
      <c r="I1077" s="2">
        <f ca="1">IFERROR(__xludf.DUMMYFUNCTION("""COMPUTED_VALUE"""),44244)</f>
        <v>44244</v>
      </c>
      <c r="J1077" s="2">
        <f ca="1">IFERROR(__xludf.DUMMYFUNCTION("""COMPUTED_VALUE"""),44608)</f>
        <v>44608</v>
      </c>
    </row>
    <row r="1078" spans="1:10" x14ac:dyDescent="0.25">
      <c r="A1078" s="1" t="str">
        <f ca="1">IFERROR(__xludf.DUMMYFUNCTION("""COMPUTED_VALUE"""),"T(r)ollas SE")</f>
        <v>T(r)ollas SE</v>
      </c>
      <c r="B1078" s="1" t="str">
        <f ca="1">IFERROR(__xludf.DUMMYFUNCTION("""COMPUTED_VALUE"""),"Szabó Ildikó")</f>
        <v>Szabó Ildikó</v>
      </c>
      <c r="C1078" s="1"/>
      <c r="D1078" s="1" t="str">
        <f ca="1">IFERROR(__xludf.DUMMYFUNCTION("""COMPUTED_VALUE"""),"Nő")</f>
        <v>Nő</v>
      </c>
      <c r="E1078" s="1"/>
      <c r="F1078" s="1">
        <f ca="1">IFERROR(__xludf.DUMMYFUNCTION("""COMPUTED_VALUE"""),1972)</f>
        <v>1972</v>
      </c>
      <c r="G1078" s="1">
        <f ca="1">IFERROR(__xludf.DUMMYFUNCTION("""COMPUTED_VALUE"""),3233)</f>
        <v>3233</v>
      </c>
      <c r="H1078" s="1" t="str">
        <f ca="1">IFERROR(__xludf.DUMMYFUNCTION("""COMPUTED_VALUE"""),"MTLSZ003233A21")</f>
        <v>MTLSZ003233A21</v>
      </c>
      <c r="I1078" s="2">
        <f ca="1">IFERROR(__xludf.DUMMYFUNCTION("""COMPUTED_VALUE"""),44244)</f>
        <v>44244</v>
      </c>
      <c r="J1078" s="2">
        <f ca="1">IFERROR(__xludf.DUMMYFUNCTION("""COMPUTED_VALUE"""),44608)</f>
        <v>44608</v>
      </c>
    </row>
    <row r="1079" spans="1:10" x14ac:dyDescent="0.25">
      <c r="A1079" s="1" t="str">
        <f ca="1">IFERROR(__xludf.DUMMYFUNCTION("""COMPUTED_VALUE"""),"Újpest TSE")</f>
        <v>Újpest TSE</v>
      </c>
      <c r="B1079" s="1" t="str">
        <f ca="1">IFERROR(__xludf.DUMMYFUNCTION("""COMPUTED_VALUE"""),"Cserményi Róbert")</f>
        <v>Cserményi Róbert</v>
      </c>
      <c r="C1079" s="1"/>
      <c r="D1079" s="1" t="str">
        <f ca="1">IFERROR(__xludf.DUMMYFUNCTION("""COMPUTED_VALUE"""),"Férfi")</f>
        <v>Férfi</v>
      </c>
      <c r="E1079" s="1"/>
      <c r="F1079" s="1">
        <f ca="1">IFERROR(__xludf.DUMMYFUNCTION("""COMPUTED_VALUE"""),1969)</f>
        <v>1969</v>
      </c>
      <c r="G1079" s="1">
        <f ca="1">IFERROR(__xludf.DUMMYFUNCTION("""COMPUTED_VALUE"""),4326)</f>
        <v>4326</v>
      </c>
      <c r="H1079" s="1" t="str">
        <f ca="1">IFERROR(__xludf.DUMMYFUNCTION("""COMPUTED_VALUE"""),"MTLSZ004326A21")</f>
        <v>MTLSZ004326A21</v>
      </c>
      <c r="I1079" s="2">
        <f ca="1">IFERROR(__xludf.DUMMYFUNCTION("""COMPUTED_VALUE"""),44244)</f>
        <v>44244</v>
      </c>
      <c r="J1079" s="2">
        <f ca="1">IFERROR(__xludf.DUMMYFUNCTION("""COMPUTED_VALUE"""),44608)</f>
        <v>44608</v>
      </c>
    </row>
    <row r="1080" spans="1:10" x14ac:dyDescent="0.25">
      <c r="A1080" s="1" t="str">
        <f ca="1">IFERROR(__xludf.DUMMYFUNCTION("""COMPUTED_VALUE"""),"Klébi DSE")</f>
        <v>Klébi DSE</v>
      </c>
      <c r="B1080" s="1" t="str">
        <f ca="1">IFERROR(__xludf.DUMMYFUNCTION("""COMPUTED_VALUE"""),"Benczúr Aladár")</f>
        <v>Benczúr Aladár</v>
      </c>
      <c r="C1080" s="1"/>
      <c r="D1080" s="1" t="str">
        <f ca="1">IFERROR(__xludf.DUMMYFUNCTION("""COMPUTED_VALUE"""),"Férfi")</f>
        <v>Férfi</v>
      </c>
      <c r="E1080" s="1"/>
      <c r="F1080" s="1">
        <f ca="1">IFERROR(__xludf.DUMMYFUNCTION("""COMPUTED_VALUE"""),2006)</f>
        <v>2006</v>
      </c>
      <c r="G1080" s="1">
        <f ca="1">IFERROR(__xludf.DUMMYFUNCTION("""COMPUTED_VALUE"""),4321)</f>
        <v>4321</v>
      </c>
      <c r="H1080" s="1" t="str">
        <f ca="1">IFERROR(__xludf.DUMMYFUNCTION("""COMPUTED_VALUE"""),"MTLSZ004321A21")</f>
        <v>MTLSZ004321A21</v>
      </c>
      <c r="I1080" s="2">
        <f ca="1">IFERROR(__xludf.DUMMYFUNCTION("""COMPUTED_VALUE"""),44243)</f>
        <v>44243</v>
      </c>
      <c r="J1080" s="2">
        <f ca="1">IFERROR(__xludf.DUMMYFUNCTION("""COMPUTED_VALUE"""),44607)</f>
        <v>44607</v>
      </c>
    </row>
    <row r="1081" spans="1:10" x14ac:dyDescent="0.25">
      <c r="A1081" s="1" t="str">
        <f ca="1">IFERROR(__xludf.DUMMYFUNCTION("""COMPUTED_VALUE"""),"Klébi DSE")</f>
        <v>Klébi DSE</v>
      </c>
      <c r="B1081" s="1" t="str">
        <f ca="1">IFERROR(__xludf.DUMMYFUNCTION("""COMPUTED_VALUE"""),"Benczúr Franciska")</f>
        <v>Benczúr Franciska</v>
      </c>
      <c r="C1081" s="1"/>
      <c r="D1081" s="1" t="str">
        <f ca="1">IFERROR(__xludf.DUMMYFUNCTION("""COMPUTED_VALUE"""),"Nő")</f>
        <v>Nő</v>
      </c>
      <c r="E1081" s="1"/>
      <c r="F1081" s="1">
        <f ca="1">IFERROR(__xludf.DUMMYFUNCTION("""COMPUTED_VALUE"""),2006)</f>
        <v>2006</v>
      </c>
      <c r="G1081" s="1">
        <f ca="1">IFERROR(__xludf.DUMMYFUNCTION("""COMPUTED_VALUE"""),4322)</f>
        <v>4322</v>
      </c>
      <c r="H1081" s="1" t="str">
        <f ca="1">IFERROR(__xludf.DUMMYFUNCTION("""COMPUTED_VALUE"""),"MTLSZ004322A21")</f>
        <v>MTLSZ004322A21</v>
      </c>
      <c r="I1081" s="2">
        <f ca="1">IFERROR(__xludf.DUMMYFUNCTION("""COMPUTED_VALUE"""),44243)</f>
        <v>44243</v>
      </c>
      <c r="J1081" s="2">
        <f ca="1">IFERROR(__xludf.DUMMYFUNCTION("""COMPUTED_VALUE"""),44607)</f>
        <v>44607</v>
      </c>
    </row>
    <row r="1082" spans="1:10" x14ac:dyDescent="0.25">
      <c r="A1082" s="1" t="str">
        <f ca="1">IFERROR(__xludf.DUMMYFUNCTION("""COMPUTED_VALUE"""),"Klébi DSE")</f>
        <v>Klébi DSE</v>
      </c>
      <c r="B1082" s="1" t="str">
        <f ca="1">IFERROR(__xludf.DUMMYFUNCTION("""COMPUTED_VALUE"""),"Benczúr Róza")</f>
        <v>Benczúr Róza</v>
      </c>
      <c r="C1082" s="1"/>
      <c r="D1082" s="1" t="str">
        <f ca="1">IFERROR(__xludf.DUMMYFUNCTION("""COMPUTED_VALUE"""),"Nő")</f>
        <v>Nő</v>
      </c>
      <c r="E1082" s="1"/>
      <c r="F1082" s="1">
        <f ca="1">IFERROR(__xludf.DUMMYFUNCTION("""COMPUTED_VALUE"""),2010)</f>
        <v>2010</v>
      </c>
      <c r="G1082" s="1">
        <f ca="1">IFERROR(__xludf.DUMMYFUNCTION("""COMPUTED_VALUE"""),4320)</f>
        <v>4320</v>
      </c>
      <c r="H1082" s="1" t="str">
        <f ca="1">IFERROR(__xludf.DUMMYFUNCTION("""COMPUTED_VALUE"""),"MTLSZ004320A21")</f>
        <v>MTLSZ004320A21</v>
      </c>
      <c r="I1082" s="2">
        <f ca="1">IFERROR(__xludf.DUMMYFUNCTION("""COMPUTED_VALUE"""),44243)</f>
        <v>44243</v>
      </c>
      <c r="J1082" s="2">
        <f ca="1">IFERROR(__xludf.DUMMYFUNCTION("""COMPUTED_VALUE"""),44607)</f>
        <v>44607</v>
      </c>
    </row>
    <row r="1083" spans="1:10" x14ac:dyDescent="0.25">
      <c r="A1083" s="1" t="str">
        <f ca="1">IFERROR(__xludf.DUMMYFUNCTION("""COMPUTED_VALUE"""),"Klébi DSE")</f>
        <v>Klébi DSE</v>
      </c>
      <c r="B1083" s="1" t="str">
        <f ca="1">IFERROR(__xludf.DUMMYFUNCTION("""COMPUTED_VALUE"""),"Horváth Zoltán")</f>
        <v>Horváth Zoltán</v>
      </c>
      <c r="C1083" s="1"/>
      <c r="D1083" s="1" t="str">
        <f ca="1">IFERROR(__xludf.DUMMYFUNCTION("""COMPUTED_VALUE"""),"Férfi")</f>
        <v>Férfi</v>
      </c>
      <c r="E1083" s="1"/>
      <c r="F1083" s="1">
        <f ca="1">IFERROR(__xludf.DUMMYFUNCTION("""COMPUTED_VALUE"""),1968)</f>
        <v>1968</v>
      </c>
      <c r="G1083" s="1">
        <f ca="1">IFERROR(__xludf.DUMMYFUNCTION("""COMPUTED_VALUE"""),4324)</f>
        <v>4324</v>
      </c>
      <c r="H1083" s="1" t="str">
        <f ca="1">IFERROR(__xludf.DUMMYFUNCTION("""COMPUTED_VALUE"""),"MTLSZ004324A21")</f>
        <v>MTLSZ004324A21</v>
      </c>
      <c r="I1083" s="2">
        <f ca="1">IFERROR(__xludf.DUMMYFUNCTION("""COMPUTED_VALUE"""),44243)</f>
        <v>44243</v>
      </c>
      <c r="J1083" s="2">
        <f ca="1">IFERROR(__xludf.DUMMYFUNCTION("""COMPUTED_VALUE"""),44607)</f>
        <v>44607</v>
      </c>
    </row>
    <row r="1084" spans="1:10" x14ac:dyDescent="0.25">
      <c r="A1084" s="1" t="str">
        <f ca="1">IFERROR(__xludf.DUMMYFUNCTION("""COMPUTED_VALUE"""),"Klébi DSE")</f>
        <v>Klébi DSE</v>
      </c>
      <c r="B1084" s="1" t="str">
        <f ca="1">IFERROR(__xludf.DUMMYFUNCTION("""COMPUTED_VALUE"""),"Sió Salamon")</f>
        <v>Sió Salamon</v>
      </c>
      <c r="C1084" s="1"/>
      <c r="D1084" s="1" t="str">
        <f ca="1">IFERROR(__xludf.DUMMYFUNCTION("""COMPUTED_VALUE"""),"Férfi")</f>
        <v>Férfi</v>
      </c>
      <c r="E1084" s="1"/>
      <c r="F1084" s="1">
        <f ca="1">IFERROR(__xludf.DUMMYFUNCTION("""COMPUTED_VALUE"""),2008)</f>
        <v>2008</v>
      </c>
      <c r="G1084" s="1">
        <f ca="1">IFERROR(__xludf.DUMMYFUNCTION("""COMPUTED_VALUE"""),4323)</f>
        <v>4323</v>
      </c>
      <c r="H1084" s="1" t="str">
        <f ca="1">IFERROR(__xludf.DUMMYFUNCTION("""COMPUTED_VALUE"""),"MTLSZ004323A21")</f>
        <v>MTLSZ004323A21</v>
      </c>
      <c r="I1084" s="2">
        <f ca="1">IFERROR(__xludf.DUMMYFUNCTION("""COMPUTED_VALUE"""),44243)</f>
        <v>44243</v>
      </c>
      <c r="J1084" s="2">
        <f ca="1">IFERROR(__xludf.DUMMYFUNCTION("""COMPUTED_VALUE"""),44607)</f>
        <v>44607</v>
      </c>
    </row>
    <row r="1085" spans="1:10" x14ac:dyDescent="0.25">
      <c r="A1085" s="1" t="str">
        <f ca="1">IFERROR(__xludf.DUMMYFUNCTION("""COMPUTED_VALUE"""),"Pillangó TK")</f>
        <v>Pillangó TK</v>
      </c>
      <c r="B1085" s="1" t="str">
        <f ca="1">IFERROR(__xludf.DUMMYFUNCTION("""COMPUTED_VALUE"""),"Sákovics Péter")</f>
        <v>Sákovics Péter</v>
      </c>
      <c r="C1085" s="1"/>
      <c r="D1085" s="1" t="str">
        <f ca="1">IFERROR(__xludf.DUMMYFUNCTION("""COMPUTED_VALUE"""),"Férfi")</f>
        <v>Férfi</v>
      </c>
      <c r="E1085" s="1"/>
      <c r="F1085" s="1">
        <f ca="1">IFERROR(__xludf.DUMMYFUNCTION("""COMPUTED_VALUE"""),1959)</f>
        <v>1959</v>
      </c>
      <c r="G1085" s="1">
        <f ca="1">IFERROR(__xludf.DUMMYFUNCTION("""COMPUTED_VALUE"""),2777)</f>
        <v>2777</v>
      </c>
      <c r="H1085" s="1" t="str">
        <f ca="1">IFERROR(__xludf.DUMMYFUNCTION("""COMPUTED_VALUE"""),"MTLSZ002777A21")</f>
        <v>MTLSZ002777A21</v>
      </c>
      <c r="I1085" s="2">
        <f ca="1">IFERROR(__xludf.DUMMYFUNCTION("""COMPUTED_VALUE"""),44243)</f>
        <v>44243</v>
      </c>
      <c r="J1085" s="2">
        <f ca="1">IFERROR(__xludf.DUMMYFUNCTION("""COMPUTED_VALUE"""),44607)</f>
        <v>44607</v>
      </c>
    </row>
    <row r="1086" spans="1:10" x14ac:dyDescent="0.25">
      <c r="A1086" s="1" t="str">
        <f ca="1">IFERROR(__xludf.DUMMYFUNCTION("""COMPUTED_VALUE"""),"Diaboló SE")</f>
        <v>Diaboló SE</v>
      </c>
      <c r="B1086" s="1" t="str">
        <f ca="1">IFERROR(__xludf.DUMMYFUNCTION("""COMPUTED_VALUE"""),"Varga László")</f>
        <v>Varga László</v>
      </c>
      <c r="C1086" s="1"/>
      <c r="D1086" s="1" t="str">
        <f ca="1">IFERROR(__xludf.DUMMYFUNCTION("""COMPUTED_VALUE"""),"Férfi")</f>
        <v>Férfi</v>
      </c>
      <c r="E1086" s="1"/>
      <c r="F1086" s="1">
        <f ca="1">IFERROR(__xludf.DUMMYFUNCTION("""COMPUTED_VALUE"""),1969)</f>
        <v>1969</v>
      </c>
      <c r="G1086" s="1">
        <f ca="1">IFERROR(__xludf.DUMMYFUNCTION("""COMPUTED_VALUE"""),4319)</f>
        <v>4319</v>
      </c>
      <c r="H1086" s="1" t="str">
        <f ca="1">IFERROR(__xludf.DUMMYFUNCTION("""COMPUTED_VALUE"""),"MTLSZ004319A21")</f>
        <v>MTLSZ004319A21</v>
      </c>
      <c r="I1086" s="2">
        <f ca="1">IFERROR(__xludf.DUMMYFUNCTION("""COMPUTED_VALUE"""),44242)</f>
        <v>44242</v>
      </c>
      <c r="J1086" s="2">
        <f ca="1">IFERROR(__xludf.DUMMYFUNCTION("""COMPUTED_VALUE"""),44606)</f>
        <v>44606</v>
      </c>
    </row>
    <row r="1087" spans="1:10" x14ac:dyDescent="0.25">
      <c r="A1087" s="1" t="str">
        <f ca="1">IFERROR(__xludf.DUMMYFUNCTION("""COMPUTED_VALUE"""),"Formás SE")</f>
        <v>Formás SE</v>
      </c>
      <c r="B1087" s="1" t="str">
        <f ca="1">IFERROR(__xludf.DUMMYFUNCTION("""COMPUTED_VALUE"""),"Elek Vincent Gábor")</f>
        <v>Elek Vincent Gábor</v>
      </c>
      <c r="C1087" s="1"/>
      <c r="D1087" s="1" t="str">
        <f ca="1">IFERROR(__xludf.DUMMYFUNCTION("""COMPUTED_VALUE"""),"Férfi")</f>
        <v>Férfi</v>
      </c>
      <c r="E1087" s="1"/>
      <c r="F1087" s="1">
        <f ca="1">IFERROR(__xludf.DUMMYFUNCTION("""COMPUTED_VALUE"""),2014)</f>
        <v>2014</v>
      </c>
      <c r="G1087" s="1">
        <f ca="1">IFERROR(__xludf.DUMMYFUNCTION("""COMPUTED_VALUE"""),4318)</f>
        <v>4318</v>
      </c>
      <c r="H1087" s="1" t="str">
        <f ca="1">IFERROR(__xludf.DUMMYFUNCTION("""COMPUTED_VALUE"""),"MTLSZ004318A21")</f>
        <v>MTLSZ004318A21</v>
      </c>
      <c r="I1087" s="2">
        <f ca="1">IFERROR(__xludf.DUMMYFUNCTION("""COMPUTED_VALUE"""),44242)</f>
        <v>44242</v>
      </c>
      <c r="J1087" s="2">
        <f ca="1">IFERROR(__xludf.DUMMYFUNCTION("""COMPUTED_VALUE"""),44606)</f>
        <v>44606</v>
      </c>
    </row>
    <row r="1088" spans="1:10" x14ac:dyDescent="0.25">
      <c r="A1088" s="1" t="str">
        <f ca="1">IFERROR(__xludf.DUMMYFUNCTION("""COMPUTED_VALUE"""),"Formás SE")</f>
        <v>Formás SE</v>
      </c>
      <c r="B1088" s="1" t="str">
        <f ca="1">IFERROR(__xludf.DUMMYFUNCTION("""COMPUTED_VALUE"""),"Fehér Sándor")</f>
        <v>Fehér Sándor</v>
      </c>
      <c r="C1088" s="1"/>
      <c r="D1088" s="1" t="str">
        <f ca="1">IFERROR(__xludf.DUMMYFUNCTION("""COMPUTED_VALUE"""),"Férfi")</f>
        <v>Férfi</v>
      </c>
      <c r="E1088" s="1"/>
      <c r="F1088" s="1">
        <f ca="1">IFERROR(__xludf.DUMMYFUNCTION("""COMPUTED_VALUE"""),1968)</f>
        <v>1968</v>
      </c>
      <c r="G1088" s="1">
        <f ca="1">IFERROR(__xludf.DUMMYFUNCTION("""COMPUTED_VALUE"""),3879)</f>
        <v>3879</v>
      </c>
      <c r="H1088" s="1" t="str">
        <f ca="1">IFERROR(__xludf.DUMMYFUNCTION("""COMPUTED_VALUE"""),"MTLSZ003879A21")</f>
        <v>MTLSZ003879A21</v>
      </c>
      <c r="I1088" s="2">
        <f ca="1">IFERROR(__xludf.DUMMYFUNCTION("""COMPUTED_VALUE"""),44242)</f>
        <v>44242</v>
      </c>
      <c r="J1088" s="2">
        <f ca="1">IFERROR(__xludf.DUMMYFUNCTION("""COMPUTED_VALUE"""),44606)</f>
        <v>44606</v>
      </c>
    </row>
    <row r="1089" spans="1:10" x14ac:dyDescent="0.25">
      <c r="A1089" s="1" t="str">
        <f ca="1">IFERROR(__xludf.DUMMYFUNCTION("""COMPUTED_VALUE"""),"Formás SE")</f>
        <v>Formás SE</v>
      </c>
      <c r="B1089" s="1"/>
      <c r="C1089" s="1"/>
      <c r="D1089" s="1"/>
      <c r="E1089" s="1"/>
      <c r="F1089" s="1">
        <f ca="1">IFERROR(__xludf.DUMMYFUNCTION("""COMPUTED_VALUE"""),1899)</f>
        <v>1899</v>
      </c>
      <c r="G1089" s="1">
        <f ca="1">IFERROR(__xludf.DUMMYFUNCTION("""COMPUTED_VALUE"""),4317)</f>
        <v>4317</v>
      </c>
      <c r="H1089" s="1"/>
      <c r="I1089" s="2">
        <f ca="1">IFERROR(__xludf.DUMMYFUNCTION("""COMPUTED_VALUE"""),44242)</f>
        <v>44242</v>
      </c>
      <c r="J1089" s="2">
        <f ca="1">IFERROR(__xludf.DUMMYFUNCTION("""COMPUTED_VALUE"""),44606)</f>
        <v>44606</v>
      </c>
    </row>
    <row r="1090" spans="1:10" x14ac:dyDescent="0.25">
      <c r="A1090" s="1" t="str">
        <f ca="1">IFERROR(__xludf.DUMMYFUNCTION("""COMPUTED_VALUE"""),"MAFC")</f>
        <v>MAFC</v>
      </c>
      <c r="B1090" s="1" t="str">
        <f ca="1">IFERROR(__xludf.DUMMYFUNCTION("""COMPUTED_VALUE"""),"Elek Gábor")</f>
        <v>Elek Gábor</v>
      </c>
      <c r="C1090" s="1"/>
      <c r="D1090" s="1" t="str">
        <f ca="1">IFERROR(__xludf.DUMMYFUNCTION("""COMPUTED_VALUE"""),"Férfi")</f>
        <v>Férfi</v>
      </c>
      <c r="E1090" s="1"/>
      <c r="F1090" s="1">
        <f ca="1">IFERROR(__xludf.DUMMYFUNCTION("""COMPUTED_VALUE"""),1983)</f>
        <v>1983</v>
      </c>
      <c r="G1090" s="1">
        <f ca="1">IFERROR(__xludf.DUMMYFUNCTION("""COMPUTED_VALUE"""),212)</f>
        <v>212</v>
      </c>
      <c r="H1090" s="1" t="str">
        <f ca="1">IFERROR(__xludf.DUMMYFUNCTION("""COMPUTED_VALUE"""),"MTLSZ000212A21")</f>
        <v>MTLSZ000212A21</v>
      </c>
      <c r="I1090" s="2">
        <f ca="1">IFERROR(__xludf.DUMMYFUNCTION("""COMPUTED_VALUE"""),44242)</f>
        <v>44242</v>
      </c>
      <c r="J1090" s="2">
        <f ca="1">IFERROR(__xludf.DUMMYFUNCTION("""COMPUTED_VALUE"""),44606)</f>
        <v>44606</v>
      </c>
    </row>
    <row r="1091" spans="1:10" x14ac:dyDescent="0.25">
      <c r="A1091" s="1" t="str">
        <f ca="1">IFERROR(__xludf.DUMMYFUNCTION("""COMPUTED_VALUE"""),"Tisza TSE")</f>
        <v>Tisza TSE</v>
      </c>
      <c r="B1091" s="1" t="str">
        <f ca="1">IFERROR(__xludf.DUMMYFUNCTION("""COMPUTED_VALUE"""),"Darvasi Erika")</f>
        <v>Darvasi Erika</v>
      </c>
      <c r="C1091" s="1"/>
      <c r="D1091" s="1" t="str">
        <f ca="1">IFERROR(__xludf.DUMMYFUNCTION("""COMPUTED_VALUE"""),"Nő")</f>
        <v>Nő</v>
      </c>
      <c r="E1091" s="1"/>
      <c r="F1091" s="1">
        <f ca="1">IFERROR(__xludf.DUMMYFUNCTION("""COMPUTED_VALUE"""),1986)</f>
        <v>1986</v>
      </c>
      <c r="G1091" s="1">
        <f ca="1">IFERROR(__xludf.DUMMYFUNCTION("""COMPUTED_VALUE"""),4316)</f>
        <v>4316</v>
      </c>
      <c r="H1091" s="1" t="str">
        <f ca="1">IFERROR(__xludf.DUMMYFUNCTION("""COMPUTED_VALUE"""),"MTLSZ004316A21")</f>
        <v>MTLSZ004316A21</v>
      </c>
      <c r="I1091" s="2">
        <f ca="1">IFERROR(__xludf.DUMMYFUNCTION("""COMPUTED_VALUE"""),44242)</f>
        <v>44242</v>
      </c>
      <c r="J1091" s="2">
        <f ca="1">IFERROR(__xludf.DUMMYFUNCTION("""COMPUTED_VALUE"""),44606)</f>
        <v>44606</v>
      </c>
    </row>
    <row r="1092" spans="1:10" x14ac:dyDescent="0.25">
      <c r="A1092" s="1" t="str">
        <f ca="1">IFERROR(__xludf.DUMMYFUNCTION("""COMPUTED_VALUE"""),"Tisza TSE")</f>
        <v>Tisza TSE</v>
      </c>
      <c r="B1092" s="1" t="str">
        <f ca="1">IFERROR(__xludf.DUMMYFUNCTION("""COMPUTED_VALUE"""),"Kántor Gabriella")</f>
        <v>Kántor Gabriella</v>
      </c>
      <c r="C1092" s="1"/>
      <c r="D1092" s="1" t="str">
        <f ca="1">IFERROR(__xludf.DUMMYFUNCTION("""COMPUTED_VALUE"""),"Nő")</f>
        <v>Nő</v>
      </c>
      <c r="E1092" s="1"/>
      <c r="F1092" s="1">
        <f ca="1">IFERROR(__xludf.DUMMYFUNCTION("""COMPUTED_VALUE"""),1975)</f>
        <v>1975</v>
      </c>
      <c r="G1092" s="1">
        <f ca="1">IFERROR(__xludf.DUMMYFUNCTION("""COMPUTED_VALUE"""),4315)</f>
        <v>4315</v>
      </c>
      <c r="H1092" s="1" t="str">
        <f ca="1">IFERROR(__xludf.DUMMYFUNCTION("""COMPUTED_VALUE"""),"MTLSZ004315A21")</f>
        <v>MTLSZ004315A21</v>
      </c>
      <c r="I1092" s="2">
        <f ca="1">IFERROR(__xludf.DUMMYFUNCTION("""COMPUTED_VALUE"""),44242)</f>
        <v>44242</v>
      </c>
      <c r="J1092" s="2">
        <f ca="1">IFERROR(__xludf.DUMMYFUNCTION("""COMPUTED_VALUE"""),44606)</f>
        <v>44606</v>
      </c>
    </row>
    <row r="1093" spans="1:10" x14ac:dyDescent="0.25">
      <c r="A1093" s="1" t="str">
        <f ca="1">IFERROR(__xludf.DUMMYFUNCTION("""COMPUTED_VALUE"""),"Tisza TSE")</f>
        <v>Tisza TSE</v>
      </c>
      <c r="B1093" s="1" t="str">
        <f ca="1">IFERROR(__xludf.DUMMYFUNCTION("""COMPUTED_VALUE"""),"Majoros Viktória")</f>
        <v>Majoros Viktória</v>
      </c>
      <c r="C1093" s="1"/>
      <c r="D1093" s="1" t="str">
        <f ca="1">IFERROR(__xludf.DUMMYFUNCTION("""COMPUTED_VALUE"""),"Nő")</f>
        <v>Nő</v>
      </c>
      <c r="E1093" s="1"/>
      <c r="F1093" s="1">
        <f ca="1">IFERROR(__xludf.DUMMYFUNCTION("""COMPUTED_VALUE"""),1998)</f>
        <v>1998</v>
      </c>
      <c r="G1093" s="1">
        <f ca="1">IFERROR(__xludf.DUMMYFUNCTION("""COMPUTED_VALUE"""),4314)</f>
        <v>4314</v>
      </c>
      <c r="H1093" s="1" t="str">
        <f ca="1">IFERROR(__xludf.DUMMYFUNCTION("""COMPUTED_VALUE"""),"MTLSZ004314A21")</f>
        <v>MTLSZ004314A21</v>
      </c>
      <c r="I1093" s="2">
        <f ca="1">IFERROR(__xludf.DUMMYFUNCTION("""COMPUTED_VALUE"""),44242)</f>
        <v>44242</v>
      </c>
      <c r="J1093" s="2">
        <f ca="1">IFERROR(__xludf.DUMMYFUNCTION("""COMPUTED_VALUE"""),44606)</f>
        <v>44606</v>
      </c>
    </row>
    <row r="1094" spans="1:10" x14ac:dyDescent="0.25">
      <c r="A1094" s="1" t="str">
        <f ca="1">IFERROR(__xludf.DUMMYFUNCTION("""COMPUTED_VALUE"""),"Tisza TSE")</f>
        <v>Tisza TSE</v>
      </c>
      <c r="B1094" s="1" t="str">
        <f ca="1">IFERROR(__xludf.DUMMYFUNCTION("""COMPUTED_VALUE"""),"Sarnyai Roland")</f>
        <v>Sarnyai Roland</v>
      </c>
      <c r="C1094" s="1"/>
      <c r="D1094" s="1" t="str">
        <f ca="1">IFERROR(__xludf.DUMMYFUNCTION("""COMPUTED_VALUE"""),"Férfi")</f>
        <v>Férfi</v>
      </c>
      <c r="E1094" s="1"/>
      <c r="F1094" s="1">
        <f ca="1">IFERROR(__xludf.DUMMYFUNCTION("""COMPUTED_VALUE"""),1976)</f>
        <v>1976</v>
      </c>
      <c r="G1094" s="1">
        <f ca="1">IFERROR(__xludf.DUMMYFUNCTION("""COMPUTED_VALUE"""),4312)</f>
        <v>4312</v>
      </c>
      <c r="H1094" s="1" t="str">
        <f ca="1">IFERROR(__xludf.DUMMYFUNCTION("""COMPUTED_VALUE"""),"MTLSZ004312A21")</f>
        <v>MTLSZ004312A21</v>
      </c>
      <c r="I1094" s="2">
        <f ca="1">IFERROR(__xludf.DUMMYFUNCTION("""COMPUTED_VALUE"""),44242)</f>
        <v>44242</v>
      </c>
      <c r="J1094" s="2">
        <f ca="1">IFERROR(__xludf.DUMMYFUNCTION("""COMPUTED_VALUE"""),44606)</f>
        <v>44606</v>
      </c>
    </row>
    <row r="1095" spans="1:10" x14ac:dyDescent="0.25">
      <c r="A1095" s="1" t="str">
        <f ca="1">IFERROR(__xludf.DUMMYFUNCTION("""COMPUTED_VALUE"""),"Tisza TSE")</f>
        <v>Tisza TSE</v>
      </c>
      <c r="B1095" s="1" t="str">
        <f ca="1">IFERROR(__xludf.DUMMYFUNCTION("""COMPUTED_VALUE"""),"Sarnyainé Szobonyi Mónika")</f>
        <v>Sarnyainé Szobonyi Mónika</v>
      </c>
      <c r="C1095" s="1"/>
      <c r="D1095" s="1" t="str">
        <f ca="1">IFERROR(__xludf.DUMMYFUNCTION("""COMPUTED_VALUE"""),"Nő")</f>
        <v>Nő</v>
      </c>
      <c r="E1095" s="1"/>
      <c r="F1095" s="1">
        <f ca="1">IFERROR(__xludf.DUMMYFUNCTION("""COMPUTED_VALUE"""),1979)</f>
        <v>1979</v>
      </c>
      <c r="G1095" s="1">
        <f ca="1">IFERROR(__xludf.DUMMYFUNCTION("""COMPUTED_VALUE"""),4313)</f>
        <v>4313</v>
      </c>
      <c r="H1095" s="1" t="str">
        <f ca="1">IFERROR(__xludf.DUMMYFUNCTION("""COMPUTED_VALUE"""),"MTLSZ004313A21")</f>
        <v>MTLSZ004313A21</v>
      </c>
      <c r="I1095" s="2">
        <f ca="1">IFERROR(__xludf.DUMMYFUNCTION("""COMPUTED_VALUE"""),44242)</f>
        <v>44242</v>
      </c>
      <c r="J1095" s="2">
        <f ca="1">IFERROR(__xludf.DUMMYFUNCTION("""COMPUTED_VALUE"""),44606)</f>
        <v>44606</v>
      </c>
    </row>
    <row r="1096" spans="1:10" x14ac:dyDescent="0.25">
      <c r="A1096" s="1" t="str">
        <f ca="1">IFERROR(__xludf.DUMMYFUNCTION("""COMPUTED_VALUE"""),"Szegedi TSE")</f>
        <v>Szegedi TSE</v>
      </c>
      <c r="B1096" s="1" t="str">
        <f ca="1">IFERROR(__xludf.DUMMYFUNCTION("""COMPUTED_VALUE"""),"Czirok Balázs")</f>
        <v>Czirok Balázs</v>
      </c>
      <c r="C1096" s="1"/>
      <c r="D1096" s="1" t="str">
        <f ca="1">IFERROR(__xludf.DUMMYFUNCTION("""COMPUTED_VALUE"""),"Férfi")</f>
        <v>Férfi</v>
      </c>
      <c r="E1096" s="1"/>
      <c r="F1096" s="1">
        <f ca="1">IFERROR(__xludf.DUMMYFUNCTION("""COMPUTED_VALUE"""),1977)</f>
        <v>1977</v>
      </c>
      <c r="G1096" s="1">
        <f ca="1">IFERROR(__xludf.DUMMYFUNCTION("""COMPUTED_VALUE"""),166)</f>
        <v>166</v>
      </c>
      <c r="H1096" s="1" t="str">
        <f ca="1">IFERROR(__xludf.DUMMYFUNCTION("""COMPUTED_VALUE"""),"MTLSZ000166A21")</f>
        <v>MTLSZ000166A21</v>
      </c>
      <c r="I1096" s="2">
        <f ca="1">IFERROR(__xludf.DUMMYFUNCTION("""COMPUTED_VALUE"""),44237)</f>
        <v>44237</v>
      </c>
      <c r="J1096" s="2">
        <f ca="1">IFERROR(__xludf.DUMMYFUNCTION("""COMPUTED_VALUE"""),44601)</f>
        <v>44601</v>
      </c>
    </row>
    <row r="1097" spans="1:10" x14ac:dyDescent="0.25">
      <c r="A1097" s="1" t="str">
        <f ca="1">IFERROR(__xludf.DUMMYFUNCTION("""COMPUTED_VALUE"""),"Dunakanyar TSE")</f>
        <v>Dunakanyar TSE</v>
      </c>
      <c r="B1097" s="1" t="str">
        <f ca="1">IFERROR(__xludf.DUMMYFUNCTION("""COMPUTED_VALUE"""),"Cseh Zsolt")</f>
        <v>Cseh Zsolt</v>
      </c>
      <c r="C1097" s="1"/>
      <c r="D1097" s="1" t="str">
        <f ca="1">IFERROR(__xludf.DUMMYFUNCTION("""COMPUTED_VALUE"""),"Férfi")</f>
        <v>Férfi</v>
      </c>
      <c r="E1097" s="1"/>
      <c r="F1097" s="1">
        <f ca="1">IFERROR(__xludf.DUMMYFUNCTION("""COMPUTED_VALUE"""),1965)</f>
        <v>1965</v>
      </c>
      <c r="G1097" s="1">
        <f ca="1">IFERROR(__xludf.DUMMYFUNCTION("""COMPUTED_VALUE"""),2757)</f>
        <v>2757</v>
      </c>
      <c r="H1097" s="1" t="str">
        <f ca="1">IFERROR(__xludf.DUMMYFUNCTION("""COMPUTED_VALUE"""),"MTLSZ002757A21")</f>
        <v>MTLSZ002757A21</v>
      </c>
      <c r="I1097" s="2">
        <f ca="1">IFERROR(__xludf.DUMMYFUNCTION("""COMPUTED_VALUE"""),44236)</f>
        <v>44236</v>
      </c>
      <c r="J1097" s="2">
        <f ca="1">IFERROR(__xludf.DUMMYFUNCTION("""COMPUTED_VALUE"""),44600)</f>
        <v>44600</v>
      </c>
    </row>
    <row r="1098" spans="1:10" x14ac:dyDescent="0.25">
      <c r="A1098" s="1" t="str">
        <f ca="1">IFERROR(__xludf.DUMMYFUNCTION("""COMPUTED_VALUE"""),"Dunakanyar TSE")</f>
        <v>Dunakanyar TSE</v>
      </c>
      <c r="B1098" s="1" t="str">
        <f ca="1">IFERROR(__xludf.DUMMYFUNCTION("""COMPUTED_VALUE"""),"Przemyslav Romelczyk")</f>
        <v>Przemyslav Romelczyk</v>
      </c>
      <c r="C1098" s="1"/>
      <c r="D1098" s="1" t="str">
        <f ca="1">IFERROR(__xludf.DUMMYFUNCTION("""COMPUTED_VALUE"""),"Férfi")</f>
        <v>Férfi</v>
      </c>
      <c r="E1098" s="1"/>
      <c r="F1098" s="1">
        <f ca="1">IFERROR(__xludf.DUMMYFUNCTION("""COMPUTED_VALUE"""),1976)</f>
        <v>1976</v>
      </c>
      <c r="G1098" s="1">
        <f ca="1">IFERROR(__xludf.DUMMYFUNCTION("""COMPUTED_VALUE"""),4302)</f>
        <v>4302</v>
      </c>
      <c r="H1098" s="1" t="str">
        <f ca="1">IFERROR(__xludf.DUMMYFUNCTION("""COMPUTED_VALUE"""),"MTLSZ004302A21")</f>
        <v>MTLSZ004302A21</v>
      </c>
      <c r="I1098" s="2">
        <f ca="1">IFERROR(__xludf.DUMMYFUNCTION("""COMPUTED_VALUE"""),44236)</f>
        <v>44236</v>
      </c>
      <c r="J1098" s="2">
        <f ca="1">IFERROR(__xludf.DUMMYFUNCTION("""COMPUTED_VALUE"""),44600)</f>
        <v>44600</v>
      </c>
    </row>
    <row r="1099" spans="1:10" x14ac:dyDescent="0.25">
      <c r="A1099" s="1" t="str">
        <f ca="1">IFERROR(__xludf.DUMMYFUNCTION("""COMPUTED_VALUE"""),"Dunakanyar TSE")</f>
        <v>Dunakanyar TSE</v>
      </c>
      <c r="B1099" s="1" t="str">
        <f ca="1">IFERROR(__xludf.DUMMYFUNCTION("""COMPUTED_VALUE"""),"Szoboszlai Tibor")</f>
        <v>Szoboszlai Tibor</v>
      </c>
      <c r="C1099" s="1"/>
      <c r="D1099" s="1" t="str">
        <f ca="1">IFERROR(__xludf.DUMMYFUNCTION("""COMPUTED_VALUE"""),"Férfi")</f>
        <v>Férfi</v>
      </c>
      <c r="E1099" s="1"/>
      <c r="F1099" s="1">
        <f ca="1">IFERROR(__xludf.DUMMYFUNCTION("""COMPUTED_VALUE"""),1971)</f>
        <v>1971</v>
      </c>
      <c r="G1099" s="1">
        <f ca="1">IFERROR(__xludf.DUMMYFUNCTION("""COMPUTED_VALUE"""),3842)</f>
        <v>3842</v>
      </c>
      <c r="H1099" s="1" t="str">
        <f ca="1">IFERROR(__xludf.DUMMYFUNCTION("""COMPUTED_VALUE"""),"MTLSZ003842A21")</f>
        <v>MTLSZ003842A21</v>
      </c>
      <c r="I1099" s="2">
        <f ca="1">IFERROR(__xludf.DUMMYFUNCTION("""COMPUTED_VALUE"""),44236)</f>
        <v>44236</v>
      </c>
      <c r="J1099" s="2">
        <f ca="1">IFERROR(__xludf.DUMMYFUNCTION("""COMPUTED_VALUE"""),44600)</f>
        <v>44600</v>
      </c>
    </row>
    <row r="1100" spans="1:10" x14ac:dyDescent="0.25">
      <c r="A1100" s="1" t="str">
        <f ca="1">IFERROR(__xludf.DUMMYFUNCTION("""COMPUTED_VALUE"""),"Dunakanyar TSE")</f>
        <v>Dunakanyar TSE</v>
      </c>
      <c r="B1100" s="1" t="str">
        <f ca="1">IFERROR(__xludf.DUMMYFUNCTION("""COMPUTED_VALUE"""),"Tarpataki György")</f>
        <v>Tarpataki György</v>
      </c>
      <c r="C1100" s="1"/>
      <c r="D1100" s="1" t="str">
        <f ca="1">IFERROR(__xludf.DUMMYFUNCTION("""COMPUTED_VALUE"""),"Férfi")</f>
        <v>Férfi</v>
      </c>
      <c r="E1100" s="1"/>
      <c r="F1100" s="1">
        <f ca="1">IFERROR(__xludf.DUMMYFUNCTION("""COMPUTED_VALUE"""),1995)</f>
        <v>1995</v>
      </c>
      <c r="G1100" s="1">
        <f ca="1">IFERROR(__xludf.DUMMYFUNCTION("""COMPUTED_VALUE"""),4299)</f>
        <v>4299</v>
      </c>
      <c r="H1100" s="1" t="str">
        <f ca="1">IFERROR(__xludf.DUMMYFUNCTION("""COMPUTED_VALUE"""),"MTLSZ004299A21")</f>
        <v>MTLSZ004299A21</v>
      </c>
      <c r="I1100" s="2">
        <f ca="1">IFERROR(__xludf.DUMMYFUNCTION("""COMPUTED_VALUE"""),44236)</f>
        <v>44236</v>
      </c>
      <c r="J1100" s="2">
        <f ca="1">IFERROR(__xludf.DUMMYFUNCTION("""COMPUTED_VALUE"""),44600)</f>
        <v>44600</v>
      </c>
    </row>
    <row r="1101" spans="1:10" x14ac:dyDescent="0.25">
      <c r="A1101" s="1" t="str">
        <f ca="1">IFERROR(__xludf.DUMMYFUNCTION("""COMPUTED_VALUE"""),"Dunakanyar TSE")</f>
        <v>Dunakanyar TSE</v>
      </c>
      <c r="B1101" s="1" t="str">
        <f ca="1">IFERROR(__xludf.DUMMYFUNCTION("""COMPUTED_VALUE"""),"Vereckei Attila")</f>
        <v>Vereckei Attila</v>
      </c>
      <c r="C1101" s="1"/>
      <c r="D1101" s="1" t="str">
        <f ca="1">IFERROR(__xludf.DUMMYFUNCTION("""COMPUTED_VALUE"""),"Férfi")</f>
        <v>Férfi</v>
      </c>
      <c r="E1101" s="1"/>
      <c r="F1101" s="1">
        <f ca="1">IFERROR(__xludf.DUMMYFUNCTION("""COMPUTED_VALUE"""),1972)</f>
        <v>1972</v>
      </c>
      <c r="G1101" s="1">
        <f ca="1">IFERROR(__xludf.DUMMYFUNCTION("""COMPUTED_VALUE"""),4301)</f>
        <v>4301</v>
      </c>
      <c r="H1101" s="1" t="str">
        <f ca="1">IFERROR(__xludf.DUMMYFUNCTION("""COMPUTED_VALUE"""),"MTLSZ004301A21")</f>
        <v>MTLSZ004301A21</v>
      </c>
      <c r="I1101" s="2">
        <f ca="1">IFERROR(__xludf.DUMMYFUNCTION("""COMPUTED_VALUE"""),44236)</f>
        <v>44236</v>
      </c>
      <c r="J1101" s="2">
        <f ca="1">IFERROR(__xludf.DUMMYFUNCTION("""COMPUTED_VALUE"""),44600)</f>
        <v>44600</v>
      </c>
    </row>
    <row r="1102" spans="1:10" x14ac:dyDescent="0.25">
      <c r="A1102" s="1" t="str">
        <f ca="1">IFERROR(__xludf.DUMMYFUNCTION("""COMPUTED_VALUE"""),"Dunakanyar TSE")</f>
        <v>Dunakanyar TSE</v>
      </c>
      <c r="B1102" s="1"/>
      <c r="C1102" s="1"/>
      <c r="D1102" s="1"/>
      <c r="E1102" s="1"/>
      <c r="F1102" s="1">
        <f ca="1">IFERROR(__xludf.DUMMYFUNCTION("""COMPUTED_VALUE"""),1899)</f>
        <v>1899</v>
      </c>
      <c r="G1102" s="1">
        <f ca="1">IFERROR(__xludf.DUMMYFUNCTION("""COMPUTED_VALUE"""),4300)</f>
        <v>4300</v>
      </c>
      <c r="H1102" s="1"/>
      <c r="I1102" s="2">
        <f ca="1">IFERROR(__xludf.DUMMYFUNCTION("""COMPUTED_VALUE"""),44236)</f>
        <v>44236</v>
      </c>
      <c r="J1102" s="2">
        <f ca="1">IFERROR(__xludf.DUMMYFUNCTION("""COMPUTED_VALUE"""),44600)</f>
        <v>44600</v>
      </c>
    </row>
    <row r="1103" spans="1:10" x14ac:dyDescent="0.25">
      <c r="A1103" s="1" t="str">
        <f ca="1">IFERROR(__xludf.DUMMYFUNCTION("""COMPUTED_VALUE"""),"Életmód SE")</f>
        <v>Életmód SE</v>
      </c>
      <c r="B1103" s="1" t="str">
        <f ca="1">IFERROR(__xludf.DUMMYFUNCTION("""COMPUTED_VALUE"""),"Bakos Csaba")</f>
        <v>Bakos Csaba</v>
      </c>
      <c r="C1103" s="1"/>
      <c r="D1103" s="1" t="str">
        <f ca="1">IFERROR(__xludf.DUMMYFUNCTION("""COMPUTED_VALUE"""),"Férfi")</f>
        <v>Férfi</v>
      </c>
      <c r="E1103" s="1"/>
      <c r="F1103" s="1">
        <f ca="1">IFERROR(__xludf.DUMMYFUNCTION("""COMPUTED_VALUE"""),1982)</f>
        <v>1982</v>
      </c>
      <c r="G1103" s="1">
        <f ca="1">IFERROR(__xludf.DUMMYFUNCTION("""COMPUTED_VALUE"""),3922)</f>
        <v>3922</v>
      </c>
      <c r="H1103" s="1" t="str">
        <f ca="1">IFERROR(__xludf.DUMMYFUNCTION("""COMPUTED_VALUE"""),"MTLSZ003922A21")</f>
        <v>MTLSZ003922A21</v>
      </c>
      <c r="I1103" s="2">
        <f ca="1">IFERROR(__xludf.DUMMYFUNCTION("""COMPUTED_VALUE"""),44236)</f>
        <v>44236</v>
      </c>
      <c r="J1103" s="2">
        <f ca="1">IFERROR(__xludf.DUMMYFUNCTION("""COMPUTED_VALUE"""),44600)</f>
        <v>44600</v>
      </c>
    </row>
    <row r="1104" spans="1:10" x14ac:dyDescent="0.25">
      <c r="A1104" s="1" t="str">
        <f ca="1">IFERROR(__xludf.DUMMYFUNCTION("""COMPUTED_VALUE"""),"Életmód SE")</f>
        <v>Életmód SE</v>
      </c>
      <c r="B1104" s="1" t="str">
        <f ca="1">IFERROR(__xludf.DUMMYFUNCTION("""COMPUTED_VALUE"""),"Bálint Bekény ifj.")</f>
        <v>Bálint Bekény ifj.</v>
      </c>
      <c r="C1104" s="1"/>
      <c r="D1104" s="1" t="str">
        <f ca="1">IFERROR(__xludf.DUMMYFUNCTION("""COMPUTED_VALUE"""),"Férfi")</f>
        <v>Férfi</v>
      </c>
      <c r="E1104" s="1"/>
      <c r="F1104" s="1">
        <f ca="1">IFERROR(__xludf.DUMMYFUNCTION("""COMPUTED_VALUE"""),2015)</f>
        <v>2015</v>
      </c>
      <c r="G1104" s="1">
        <f ca="1">IFERROR(__xludf.DUMMYFUNCTION("""COMPUTED_VALUE"""),4295)</f>
        <v>4295</v>
      </c>
      <c r="H1104" s="1" t="str">
        <f ca="1">IFERROR(__xludf.DUMMYFUNCTION("""COMPUTED_VALUE"""),"MTLSZ004295A21")</f>
        <v>MTLSZ004295A21</v>
      </c>
      <c r="I1104" s="2">
        <f ca="1">IFERROR(__xludf.DUMMYFUNCTION("""COMPUTED_VALUE"""),44236)</f>
        <v>44236</v>
      </c>
      <c r="J1104" s="2">
        <f ca="1">IFERROR(__xludf.DUMMYFUNCTION("""COMPUTED_VALUE"""),44600)</f>
        <v>44600</v>
      </c>
    </row>
    <row r="1105" spans="1:10" x14ac:dyDescent="0.25">
      <c r="A1105" s="1" t="str">
        <f ca="1">IFERROR(__xludf.DUMMYFUNCTION("""COMPUTED_VALUE"""),"Életmód SE")</f>
        <v>Életmód SE</v>
      </c>
      <c r="B1105" s="1" t="str">
        <f ca="1">IFERROR(__xludf.DUMMYFUNCTION("""COMPUTED_VALUE"""),"Boros Antal")</f>
        <v>Boros Antal</v>
      </c>
      <c r="C1105" s="1"/>
      <c r="D1105" s="1" t="str">
        <f ca="1">IFERROR(__xludf.DUMMYFUNCTION("""COMPUTED_VALUE"""),"Férfi")</f>
        <v>Férfi</v>
      </c>
      <c r="E1105" s="1"/>
      <c r="F1105" s="1">
        <f ca="1">IFERROR(__xludf.DUMMYFUNCTION("""COMPUTED_VALUE"""),1964)</f>
        <v>1964</v>
      </c>
      <c r="G1105" s="1">
        <f ca="1">IFERROR(__xludf.DUMMYFUNCTION("""COMPUTED_VALUE"""),4290)</f>
        <v>4290</v>
      </c>
      <c r="H1105" s="1" t="str">
        <f ca="1">IFERROR(__xludf.DUMMYFUNCTION("""COMPUTED_VALUE"""),"MTLSZ004290A21")</f>
        <v>MTLSZ004290A21</v>
      </c>
      <c r="I1105" s="2">
        <f ca="1">IFERROR(__xludf.DUMMYFUNCTION("""COMPUTED_VALUE"""),44236)</f>
        <v>44236</v>
      </c>
      <c r="J1105" s="2">
        <f ca="1">IFERROR(__xludf.DUMMYFUNCTION("""COMPUTED_VALUE"""),44600)</f>
        <v>44600</v>
      </c>
    </row>
    <row r="1106" spans="1:10" x14ac:dyDescent="0.25">
      <c r="A1106" s="1" t="str">
        <f ca="1">IFERROR(__xludf.DUMMYFUNCTION("""COMPUTED_VALUE"""),"Életmód SE")</f>
        <v>Életmód SE</v>
      </c>
      <c r="B1106" s="1" t="str">
        <f ca="1">IFERROR(__xludf.DUMMYFUNCTION("""COMPUTED_VALUE"""),"Görgényi Katalin")</f>
        <v>Görgényi Katalin</v>
      </c>
      <c r="C1106" s="1"/>
      <c r="D1106" s="1" t="str">
        <f ca="1">IFERROR(__xludf.DUMMYFUNCTION("""COMPUTED_VALUE"""),"Nő")</f>
        <v>Nő</v>
      </c>
      <c r="E1106" s="1"/>
      <c r="F1106" s="1">
        <f ca="1">IFERROR(__xludf.DUMMYFUNCTION("""COMPUTED_VALUE"""),1984)</f>
        <v>1984</v>
      </c>
      <c r="G1106" s="1">
        <f ca="1">IFERROR(__xludf.DUMMYFUNCTION("""COMPUTED_VALUE"""),4294)</f>
        <v>4294</v>
      </c>
      <c r="H1106" s="1" t="str">
        <f ca="1">IFERROR(__xludf.DUMMYFUNCTION("""COMPUTED_VALUE"""),"MTLSZ004294A21")</f>
        <v>MTLSZ004294A21</v>
      </c>
      <c r="I1106" s="2">
        <f ca="1">IFERROR(__xludf.DUMMYFUNCTION("""COMPUTED_VALUE"""),44236)</f>
        <v>44236</v>
      </c>
      <c r="J1106" s="2">
        <f ca="1">IFERROR(__xludf.DUMMYFUNCTION("""COMPUTED_VALUE"""),44600)</f>
        <v>44600</v>
      </c>
    </row>
    <row r="1107" spans="1:10" x14ac:dyDescent="0.25">
      <c r="A1107" s="1" t="str">
        <f ca="1">IFERROR(__xludf.DUMMYFUNCTION("""COMPUTED_VALUE"""),"Életmód SE")</f>
        <v>Életmód SE</v>
      </c>
      <c r="B1107" s="1" t="str">
        <f ca="1">IFERROR(__xludf.DUMMYFUNCTION("""COMPUTED_VALUE"""),"Illyés Zoltán")</f>
        <v>Illyés Zoltán</v>
      </c>
      <c r="C1107" s="1"/>
      <c r="D1107" s="1" t="str">
        <f ca="1">IFERROR(__xludf.DUMMYFUNCTION("""COMPUTED_VALUE"""),"Férfi")</f>
        <v>Férfi</v>
      </c>
      <c r="E1107" s="1"/>
      <c r="F1107" s="1">
        <f ca="1">IFERROR(__xludf.DUMMYFUNCTION("""COMPUTED_VALUE"""),1988)</f>
        <v>1988</v>
      </c>
      <c r="G1107" s="1">
        <f ca="1">IFERROR(__xludf.DUMMYFUNCTION("""COMPUTED_VALUE"""),4293)</f>
        <v>4293</v>
      </c>
      <c r="H1107" s="1" t="str">
        <f ca="1">IFERROR(__xludf.DUMMYFUNCTION("""COMPUTED_VALUE"""),"MTLSZ004293A21")</f>
        <v>MTLSZ004293A21</v>
      </c>
      <c r="I1107" s="2">
        <f ca="1">IFERROR(__xludf.DUMMYFUNCTION("""COMPUTED_VALUE"""),44236)</f>
        <v>44236</v>
      </c>
      <c r="J1107" s="2">
        <f ca="1">IFERROR(__xludf.DUMMYFUNCTION("""COMPUTED_VALUE"""),44600)</f>
        <v>44600</v>
      </c>
    </row>
    <row r="1108" spans="1:10" x14ac:dyDescent="0.25">
      <c r="A1108" s="1" t="str">
        <f ca="1">IFERROR(__xludf.DUMMYFUNCTION("""COMPUTED_VALUE"""),"Életmód SE")</f>
        <v>Életmód SE</v>
      </c>
      <c r="B1108" s="1" t="str">
        <f ca="1">IFERROR(__xludf.DUMMYFUNCTION("""COMPUTED_VALUE"""),"Károlyi Roland")</f>
        <v>Károlyi Roland</v>
      </c>
      <c r="C1108" s="1"/>
      <c r="D1108" s="1" t="str">
        <f ca="1">IFERROR(__xludf.DUMMYFUNCTION("""COMPUTED_VALUE"""),"Férfi")</f>
        <v>Férfi</v>
      </c>
      <c r="E1108" s="1"/>
      <c r="F1108" s="1">
        <f ca="1">IFERROR(__xludf.DUMMYFUNCTION("""COMPUTED_VALUE"""),1997)</f>
        <v>1997</v>
      </c>
      <c r="G1108" s="1">
        <f ca="1">IFERROR(__xludf.DUMMYFUNCTION("""COMPUTED_VALUE"""),4292)</f>
        <v>4292</v>
      </c>
      <c r="H1108" s="1" t="str">
        <f ca="1">IFERROR(__xludf.DUMMYFUNCTION("""COMPUTED_VALUE"""),"MTLSZ004292A21")</f>
        <v>MTLSZ004292A21</v>
      </c>
      <c r="I1108" s="2">
        <f ca="1">IFERROR(__xludf.DUMMYFUNCTION("""COMPUTED_VALUE"""),44236)</f>
        <v>44236</v>
      </c>
      <c r="J1108" s="2">
        <f ca="1">IFERROR(__xludf.DUMMYFUNCTION("""COMPUTED_VALUE"""),44600)</f>
        <v>44600</v>
      </c>
    </row>
    <row r="1109" spans="1:10" x14ac:dyDescent="0.25">
      <c r="A1109" s="1" t="str">
        <f ca="1">IFERROR(__xludf.DUMMYFUNCTION("""COMPUTED_VALUE"""),"Életmód SE")</f>
        <v>Életmód SE</v>
      </c>
      <c r="B1109" s="1" t="str">
        <f ca="1">IFERROR(__xludf.DUMMYFUNCTION("""COMPUTED_VALUE"""),"Kontra Rita")</f>
        <v>Kontra Rita</v>
      </c>
      <c r="C1109" s="1"/>
      <c r="D1109" s="1" t="str">
        <f ca="1">IFERROR(__xludf.DUMMYFUNCTION("""COMPUTED_VALUE"""),"Nő")</f>
        <v>Nő</v>
      </c>
      <c r="E1109" s="1"/>
      <c r="F1109" s="1">
        <f ca="1">IFERROR(__xludf.DUMMYFUNCTION("""COMPUTED_VALUE"""),1973)</f>
        <v>1973</v>
      </c>
      <c r="G1109" s="1">
        <f ca="1">IFERROR(__xludf.DUMMYFUNCTION("""COMPUTED_VALUE"""),4291)</f>
        <v>4291</v>
      </c>
      <c r="H1109" s="1" t="str">
        <f ca="1">IFERROR(__xludf.DUMMYFUNCTION("""COMPUTED_VALUE"""),"MTLSZ004291A21")</f>
        <v>MTLSZ004291A21</v>
      </c>
      <c r="I1109" s="2">
        <f ca="1">IFERROR(__xludf.DUMMYFUNCTION("""COMPUTED_VALUE"""),44236)</f>
        <v>44236</v>
      </c>
      <c r="J1109" s="2">
        <f ca="1">IFERROR(__xludf.DUMMYFUNCTION("""COMPUTED_VALUE"""),44600)</f>
        <v>44600</v>
      </c>
    </row>
    <row r="1110" spans="1:10" x14ac:dyDescent="0.25">
      <c r="A1110" s="1" t="str">
        <f ca="1">IFERROR(__xludf.DUMMYFUNCTION("""COMPUTED_VALUE"""),"Életmód SE")</f>
        <v>Életmód SE</v>
      </c>
      <c r="B1110" s="1" t="str">
        <f ca="1">IFERROR(__xludf.DUMMYFUNCTION("""COMPUTED_VALUE"""),"Kovács Bence Bendegúz")</f>
        <v>Kovács Bence Bendegúz</v>
      </c>
      <c r="C1110" s="1"/>
      <c r="D1110" s="1" t="str">
        <f ca="1">IFERROR(__xludf.DUMMYFUNCTION("""COMPUTED_VALUE"""),"Férfi")</f>
        <v>Férfi</v>
      </c>
      <c r="E1110" s="1"/>
      <c r="F1110" s="1">
        <f ca="1">IFERROR(__xludf.DUMMYFUNCTION("""COMPUTED_VALUE"""),2008)</f>
        <v>2008</v>
      </c>
      <c r="G1110" s="1">
        <f ca="1">IFERROR(__xludf.DUMMYFUNCTION("""COMPUTED_VALUE"""),4298)</f>
        <v>4298</v>
      </c>
      <c r="H1110" s="1" t="str">
        <f ca="1">IFERROR(__xludf.DUMMYFUNCTION("""COMPUTED_VALUE"""),"MTLSZ004298A21")</f>
        <v>MTLSZ004298A21</v>
      </c>
      <c r="I1110" s="2">
        <f ca="1">IFERROR(__xludf.DUMMYFUNCTION("""COMPUTED_VALUE"""),44236)</f>
        <v>44236</v>
      </c>
      <c r="J1110" s="2">
        <f ca="1">IFERROR(__xludf.DUMMYFUNCTION("""COMPUTED_VALUE"""),44600)</f>
        <v>44600</v>
      </c>
    </row>
    <row r="1111" spans="1:10" x14ac:dyDescent="0.25">
      <c r="A1111" s="1" t="str">
        <f ca="1">IFERROR(__xludf.DUMMYFUNCTION("""COMPUTED_VALUE"""),"Életmód SE")</f>
        <v>Életmód SE</v>
      </c>
      <c r="B1111" s="1" t="str">
        <f ca="1">IFERROR(__xludf.DUMMYFUNCTION("""COMPUTED_VALUE"""),"Osgyáni Attila")</f>
        <v>Osgyáni Attila</v>
      </c>
      <c r="C1111" s="1"/>
      <c r="D1111" s="1" t="str">
        <f ca="1">IFERROR(__xludf.DUMMYFUNCTION("""COMPUTED_VALUE"""),"Férfi")</f>
        <v>Férfi</v>
      </c>
      <c r="E1111" s="1"/>
      <c r="F1111" s="1">
        <f ca="1">IFERROR(__xludf.DUMMYFUNCTION("""COMPUTED_VALUE"""),1993)</f>
        <v>1993</v>
      </c>
      <c r="G1111" s="1">
        <f ca="1">IFERROR(__xludf.DUMMYFUNCTION("""COMPUTED_VALUE"""),4296)</f>
        <v>4296</v>
      </c>
      <c r="H1111" s="1" t="str">
        <f ca="1">IFERROR(__xludf.DUMMYFUNCTION("""COMPUTED_VALUE"""),"MTLSZ004296A21")</f>
        <v>MTLSZ004296A21</v>
      </c>
      <c r="I1111" s="2">
        <f ca="1">IFERROR(__xludf.DUMMYFUNCTION("""COMPUTED_VALUE"""),44236)</f>
        <v>44236</v>
      </c>
      <c r="J1111" s="2">
        <f ca="1">IFERROR(__xludf.DUMMYFUNCTION("""COMPUTED_VALUE"""),44600)</f>
        <v>44600</v>
      </c>
    </row>
    <row r="1112" spans="1:10" x14ac:dyDescent="0.25">
      <c r="A1112" s="1" t="str">
        <f ca="1">IFERROR(__xludf.DUMMYFUNCTION("""COMPUTED_VALUE"""),"Életmód SE")</f>
        <v>Életmód SE</v>
      </c>
      <c r="B1112" s="1" t="str">
        <f ca="1">IFERROR(__xludf.DUMMYFUNCTION("""COMPUTED_VALUE"""),"Pető István")</f>
        <v>Pető István</v>
      </c>
      <c r="C1112" s="1"/>
      <c r="D1112" s="1" t="str">
        <f ca="1">IFERROR(__xludf.DUMMYFUNCTION("""COMPUTED_VALUE"""),"Férfi")</f>
        <v>Férfi</v>
      </c>
      <c r="E1112" s="1"/>
      <c r="F1112" s="1">
        <f ca="1">IFERROR(__xludf.DUMMYFUNCTION("""COMPUTED_VALUE"""),1973)</f>
        <v>1973</v>
      </c>
      <c r="G1112" s="1">
        <f ca="1">IFERROR(__xludf.DUMMYFUNCTION("""COMPUTED_VALUE"""),4288)</f>
        <v>4288</v>
      </c>
      <c r="H1112" s="1" t="str">
        <f ca="1">IFERROR(__xludf.DUMMYFUNCTION("""COMPUTED_VALUE"""),"MTLSZ004288A21")</f>
        <v>MTLSZ004288A21</v>
      </c>
      <c r="I1112" s="2">
        <f ca="1">IFERROR(__xludf.DUMMYFUNCTION("""COMPUTED_VALUE"""),44236)</f>
        <v>44236</v>
      </c>
      <c r="J1112" s="2">
        <f ca="1">IFERROR(__xludf.DUMMYFUNCTION("""COMPUTED_VALUE"""),44600)</f>
        <v>44600</v>
      </c>
    </row>
    <row r="1113" spans="1:10" x14ac:dyDescent="0.25">
      <c r="A1113" s="1" t="str">
        <f ca="1">IFERROR(__xludf.DUMMYFUNCTION("""COMPUTED_VALUE"""),"Életmód SE")</f>
        <v>Életmód SE</v>
      </c>
      <c r="B1113" s="1" t="str">
        <f ca="1">IFERROR(__xludf.DUMMYFUNCTION("""COMPUTED_VALUE"""),"Szalisznyó Zoltán")</f>
        <v>Szalisznyó Zoltán</v>
      </c>
      <c r="C1113" s="1"/>
      <c r="D1113" s="1" t="str">
        <f ca="1">IFERROR(__xludf.DUMMYFUNCTION("""COMPUTED_VALUE"""),"Férfi")</f>
        <v>Férfi</v>
      </c>
      <c r="E1113" s="1"/>
      <c r="F1113" s="1">
        <f ca="1">IFERROR(__xludf.DUMMYFUNCTION("""COMPUTED_VALUE"""),2010)</f>
        <v>2010</v>
      </c>
      <c r="G1113" s="1">
        <f ca="1">IFERROR(__xludf.DUMMYFUNCTION("""COMPUTED_VALUE"""),4297)</f>
        <v>4297</v>
      </c>
      <c r="H1113" s="1" t="str">
        <f ca="1">IFERROR(__xludf.DUMMYFUNCTION("""COMPUTED_VALUE"""),"MTLSZ004297A21")</f>
        <v>MTLSZ004297A21</v>
      </c>
      <c r="I1113" s="2">
        <f ca="1">IFERROR(__xludf.DUMMYFUNCTION("""COMPUTED_VALUE"""),44236)</f>
        <v>44236</v>
      </c>
      <c r="J1113" s="2">
        <f ca="1">IFERROR(__xludf.DUMMYFUNCTION("""COMPUTED_VALUE"""),44600)</f>
        <v>44600</v>
      </c>
    </row>
    <row r="1114" spans="1:10" x14ac:dyDescent="0.25">
      <c r="A1114" s="1" t="str">
        <f ca="1">IFERROR(__xludf.DUMMYFUNCTION("""COMPUTED_VALUE"""),"Életmód SE")</f>
        <v>Életmód SE</v>
      </c>
      <c r="B1114" s="1" t="str">
        <f ca="1">IFERROR(__xludf.DUMMYFUNCTION("""COMPUTED_VALUE"""),"Tóth Bence")</f>
        <v>Tóth Bence</v>
      </c>
      <c r="C1114" s="1"/>
      <c r="D1114" s="1" t="str">
        <f ca="1">IFERROR(__xludf.DUMMYFUNCTION("""COMPUTED_VALUE"""),"Férfi")</f>
        <v>Férfi</v>
      </c>
      <c r="E1114" s="1"/>
      <c r="F1114" s="1">
        <f ca="1">IFERROR(__xludf.DUMMYFUNCTION("""COMPUTED_VALUE"""),2006)</f>
        <v>2006</v>
      </c>
      <c r="G1114" s="1">
        <f ca="1">IFERROR(__xludf.DUMMYFUNCTION("""COMPUTED_VALUE"""),4289)</f>
        <v>4289</v>
      </c>
      <c r="H1114" s="1" t="str">
        <f ca="1">IFERROR(__xludf.DUMMYFUNCTION("""COMPUTED_VALUE"""),"MTLSZ004289A21")</f>
        <v>MTLSZ004289A21</v>
      </c>
      <c r="I1114" s="2">
        <f ca="1">IFERROR(__xludf.DUMMYFUNCTION("""COMPUTED_VALUE"""),44236)</f>
        <v>44236</v>
      </c>
      <c r="J1114" s="2">
        <f ca="1">IFERROR(__xludf.DUMMYFUNCTION("""COMPUTED_VALUE"""),44600)</f>
        <v>44600</v>
      </c>
    </row>
    <row r="1115" spans="1:10" x14ac:dyDescent="0.25">
      <c r="A1115" s="1" t="str">
        <f ca="1">IFERROR(__xludf.DUMMYFUNCTION("""COMPUTED_VALUE"""),"Életmód SE")</f>
        <v>Életmód SE</v>
      </c>
      <c r="B1115" s="1" t="str">
        <f ca="1">IFERROR(__xludf.DUMMYFUNCTION("""COMPUTED_VALUE"""),"Zsoldos Réka")</f>
        <v>Zsoldos Réka</v>
      </c>
      <c r="C1115" s="1"/>
      <c r="D1115" s="1" t="str">
        <f ca="1">IFERROR(__xludf.DUMMYFUNCTION("""COMPUTED_VALUE"""),"Nő")</f>
        <v>Nő</v>
      </c>
      <c r="E1115" s="1"/>
      <c r="F1115" s="1">
        <f ca="1">IFERROR(__xludf.DUMMYFUNCTION("""COMPUTED_VALUE"""),1995)</f>
        <v>1995</v>
      </c>
      <c r="G1115" s="1">
        <f ca="1">IFERROR(__xludf.DUMMYFUNCTION("""COMPUTED_VALUE"""),4153)</f>
        <v>4153</v>
      </c>
      <c r="H1115" s="1" t="str">
        <f ca="1">IFERROR(__xludf.DUMMYFUNCTION("""COMPUTED_VALUE"""),"MTLSZ004153A21")</f>
        <v>MTLSZ004153A21</v>
      </c>
      <c r="I1115" s="2">
        <f ca="1">IFERROR(__xludf.DUMMYFUNCTION("""COMPUTED_VALUE"""),44236)</f>
        <v>44236</v>
      </c>
      <c r="J1115" s="2">
        <f ca="1">IFERROR(__xludf.DUMMYFUNCTION("""COMPUTED_VALUE"""),44600)</f>
        <v>44600</v>
      </c>
    </row>
    <row r="1116" spans="1:10" x14ac:dyDescent="0.25">
      <c r="A1116" s="1" t="str">
        <f ca="1">IFERROR(__xludf.DUMMYFUNCTION("""COMPUTED_VALUE"""),"Karai SE")</f>
        <v>Karai SE</v>
      </c>
      <c r="B1116" s="1" t="str">
        <f ca="1">IFERROR(__xludf.DUMMYFUNCTION("""COMPUTED_VALUE"""),"Szarvas Ádám József")</f>
        <v>Szarvas Ádám József</v>
      </c>
      <c r="C1116" s="1"/>
      <c r="D1116" s="1" t="str">
        <f ca="1">IFERROR(__xludf.DUMMYFUNCTION("""COMPUTED_VALUE"""),"Férfi")</f>
        <v>Férfi</v>
      </c>
      <c r="E1116" s="1"/>
      <c r="F1116" s="1">
        <f ca="1">IFERROR(__xludf.DUMMYFUNCTION("""COMPUTED_VALUE"""),2000)</f>
        <v>2000</v>
      </c>
      <c r="G1116" s="1">
        <f ca="1">IFERROR(__xludf.DUMMYFUNCTION("""COMPUTED_VALUE"""),2424)</f>
        <v>2424</v>
      </c>
      <c r="H1116" s="1" t="str">
        <f ca="1">IFERROR(__xludf.DUMMYFUNCTION("""COMPUTED_VALUE"""),"MTLSZ002424A21")</f>
        <v>MTLSZ002424A21</v>
      </c>
      <c r="I1116" s="2">
        <f ca="1">IFERROR(__xludf.DUMMYFUNCTION("""COMPUTED_VALUE"""),44236)</f>
        <v>44236</v>
      </c>
      <c r="J1116" s="2">
        <f ca="1">IFERROR(__xludf.DUMMYFUNCTION("""COMPUTED_VALUE"""),44600)</f>
        <v>44600</v>
      </c>
    </row>
    <row r="1117" spans="1:10" x14ac:dyDescent="0.25">
      <c r="A1117" s="1" t="str">
        <f ca="1">IFERROR(__xludf.DUMMYFUNCTION("""COMPUTED_VALUE"""),"Klébi DSE")</f>
        <v>Klébi DSE</v>
      </c>
      <c r="B1117" s="1" t="str">
        <f ca="1">IFERROR(__xludf.DUMMYFUNCTION("""COMPUTED_VALUE"""),"Horváth Györgyi")</f>
        <v>Horváth Györgyi</v>
      </c>
      <c r="C1117" s="1"/>
      <c r="D1117" s="1" t="str">
        <f ca="1">IFERROR(__xludf.DUMMYFUNCTION("""COMPUTED_VALUE"""),"Nő")</f>
        <v>Nő</v>
      </c>
      <c r="E1117" s="1"/>
      <c r="F1117" s="1">
        <f ca="1">IFERROR(__xludf.DUMMYFUNCTION("""COMPUTED_VALUE"""),1971)</f>
        <v>1971</v>
      </c>
      <c r="G1117" s="1">
        <f ca="1">IFERROR(__xludf.DUMMYFUNCTION("""COMPUTED_VALUE"""),4310)</f>
        <v>4310</v>
      </c>
      <c r="H1117" s="1" t="str">
        <f ca="1">IFERROR(__xludf.DUMMYFUNCTION("""COMPUTED_VALUE"""),"MTLSZ004310A21")</f>
        <v>MTLSZ004310A21</v>
      </c>
      <c r="I1117" s="2">
        <f ca="1">IFERROR(__xludf.DUMMYFUNCTION("""COMPUTED_VALUE"""),44236)</f>
        <v>44236</v>
      </c>
      <c r="J1117" s="2">
        <f ca="1">IFERROR(__xludf.DUMMYFUNCTION("""COMPUTED_VALUE"""),44600)</f>
        <v>44600</v>
      </c>
    </row>
    <row r="1118" spans="1:10" x14ac:dyDescent="0.25">
      <c r="A1118" s="1" t="str">
        <f ca="1">IFERROR(__xludf.DUMMYFUNCTION("""COMPUTED_VALUE"""),"Klébi DSE")</f>
        <v>Klébi DSE</v>
      </c>
      <c r="B1118" s="1" t="str">
        <f ca="1">IFERROR(__xludf.DUMMYFUNCTION("""COMPUTED_VALUE"""),"Vitay Bernadett")</f>
        <v>Vitay Bernadett</v>
      </c>
      <c r="C1118" s="1"/>
      <c r="D1118" s="1" t="str">
        <f ca="1">IFERROR(__xludf.DUMMYFUNCTION("""COMPUTED_VALUE"""),"Nő")</f>
        <v>Nő</v>
      </c>
      <c r="E1118" s="1"/>
      <c r="F1118" s="1">
        <f ca="1">IFERROR(__xludf.DUMMYFUNCTION("""COMPUTED_VALUE"""),1975)</f>
        <v>1975</v>
      </c>
      <c r="G1118" s="1">
        <f ca="1">IFERROR(__xludf.DUMMYFUNCTION("""COMPUTED_VALUE"""),4309)</f>
        <v>4309</v>
      </c>
      <c r="H1118" s="1" t="str">
        <f ca="1">IFERROR(__xludf.DUMMYFUNCTION("""COMPUTED_VALUE"""),"MTLSZ004309A21")</f>
        <v>MTLSZ004309A21</v>
      </c>
      <c r="I1118" s="2">
        <f ca="1">IFERROR(__xludf.DUMMYFUNCTION("""COMPUTED_VALUE"""),44236)</f>
        <v>44236</v>
      </c>
      <c r="J1118" s="2">
        <f ca="1">IFERROR(__xludf.DUMMYFUNCTION("""COMPUTED_VALUE"""),44600)</f>
        <v>44600</v>
      </c>
    </row>
    <row r="1119" spans="1:10" x14ac:dyDescent="0.25">
      <c r="A1119" s="1" t="str">
        <f ca="1">IFERROR(__xludf.DUMMYFUNCTION("""COMPUTED_VALUE"""),"Talentum TSE")</f>
        <v>Talentum TSE</v>
      </c>
      <c r="B1119" s="1" t="str">
        <f ca="1">IFERROR(__xludf.DUMMYFUNCTION("""COMPUTED_VALUE"""),"Bella Botond Attila")</f>
        <v>Bella Botond Attila</v>
      </c>
      <c r="C1119" s="1"/>
      <c r="D1119" s="1" t="str">
        <f ca="1">IFERROR(__xludf.DUMMYFUNCTION("""COMPUTED_VALUE"""),"Férfi")</f>
        <v>Férfi</v>
      </c>
      <c r="E1119" s="1"/>
      <c r="F1119" s="1">
        <f ca="1">IFERROR(__xludf.DUMMYFUNCTION("""COMPUTED_VALUE"""),2007)</f>
        <v>2007</v>
      </c>
      <c r="G1119" s="1">
        <f ca="1">IFERROR(__xludf.DUMMYFUNCTION("""COMPUTED_VALUE"""),4308)</f>
        <v>4308</v>
      </c>
      <c r="H1119" s="1" t="str">
        <f ca="1">IFERROR(__xludf.DUMMYFUNCTION("""COMPUTED_VALUE"""),"MTLSZ004308A21")</f>
        <v>MTLSZ004308A21</v>
      </c>
      <c r="I1119" s="2">
        <f ca="1">IFERROR(__xludf.DUMMYFUNCTION("""COMPUTED_VALUE"""),44236)</f>
        <v>44236</v>
      </c>
      <c r="J1119" s="2">
        <f ca="1">IFERROR(__xludf.DUMMYFUNCTION("""COMPUTED_VALUE"""),44600)</f>
        <v>44600</v>
      </c>
    </row>
    <row r="1120" spans="1:10" x14ac:dyDescent="0.25">
      <c r="A1120" s="1" t="str">
        <f ca="1">IFERROR(__xludf.DUMMYFUNCTION("""COMPUTED_VALUE"""),"Talentum TSE")</f>
        <v>Talentum TSE</v>
      </c>
      <c r="B1120" s="1" t="str">
        <f ca="1">IFERROR(__xludf.DUMMYFUNCTION("""COMPUTED_VALUE"""),"Dobosy Máté")</f>
        <v>Dobosy Máté</v>
      </c>
      <c r="C1120" s="1"/>
      <c r="D1120" s="1" t="str">
        <f ca="1">IFERROR(__xludf.DUMMYFUNCTION("""COMPUTED_VALUE"""),"Férfi")</f>
        <v>Férfi</v>
      </c>
      <c r="E1120" s="1"/>
      <c r="F1120" s="1">
        <f ca="1">IFERROR(__xludf.DUMMYFUNCTION("""COMPUTED_VALUE"""),2006)</f>
        <v>2006</v>
      </c>
      <c r="G1120" s="1">
        <f ca="1">IFERROR(__xludf.DUMMYFUNCTION("""COMPUTED_VALUE"""),4305)</f>
        <v>4305</v>
      </c>
      <c r="H1120" s="1" t="str">
        <f ca="1">IFERROR(__xludf.DUMMYFUNCTION("""COMPUTED_VALUE"""),"MTLSZ004305A21")</f>
        <v>MTLSZ004305A21</v>
      </c>
      <c r="I1120" s="2">
        <f ca="1">IFERROR(__xludf.DUMMYFUNCTION("""COMPUTED_VALUE"""),44236)</f>
        <v>44236</v>
      </c>
      <c r="J1120" s="2">
        <f ca="1">IFERROR(__xludf.DUMMYFUNCTION("""COMPUTED_VALUE"""),44600)</f>
        <v>44600</v>
      </c>
    </row>
    <row r="1121" spans="1:10" x14ac:dyDescent="0.25">
      <c r="A1121" s="1" t="str">
        <f ca="1">IFERROR(__xludf.DUMMYFUNCTION("""COMPUTED_VALUE"""),"Talentum TSE")</f>
        <v>Talentum TSE</v>
      </c>
      <c r="B1121" s="1" t="str">
        <f ca="1">IFERROR(__xludf.DUMMYFUNCTION("""COMPUTED_VALUE"""),"Gombás Bernárd")</f>
        <v>Gombás Bernárd</v>
      </c>
      <c r="C1121" s="1"/>
      <c r="D1121" s="1" t="str">
        <f ca="1">IFERROR(__xludf.DUMMYFUNCTION("""COMPUTED_VALUE"""),"Férfi")</f>
        <v>Férfi</v>
      </c>
      <c r="E1121" s="1"/>
      <c r="F1121" s="1">
        <f ca="1">IFERROR(__xludf.DUMMYFUNCTION("""COMPUTED_VALUE"""),2009)</f>
        <v>2009</v>
      </c>
      <c r="G1121" s="1">
        <f ca="1">IFERROR(__xludf.DUMMYFUNCTION("""COMPUTED_VALUE"""),4304)</f>
        <v>4304</v>
      </c>
      <c r="H1121" s="1" t="str">
        <f ca="1">IFERROR(__xludf.DUMMYFUNCTION("""COMPUTED_VALUE"""),"MTLSZ004304A21")</f>
        <v>MTLSZ004304A21</v>
      </c>
      <c r="I1121" s="2">
        <f ca="1">IFERROR(__xludf.DUMMYFUNCTION("""COMPUTED_VALUE"""),44236)</f>
        <v>44236</v>
      </c>
      <c r="J1121" s="2">
        <f ca="1">IFERROR(__xludf.DUMMYFUNCTION("""COMPUTED_VALUE"""),44600)</f>
        <v>44600</v>
      </c>
    </row>
    <row r="1122" spans="1:10" x14ac:dyDescent="0.25">
      <c r="A1122" s="1" t="str">
        <f ca="1">IFERROR(__xludf.DUMMYFUNCTION("""COMPUTED_VALUE"""),"Talentum TSE")</f>
        <v>Talentum TSE</v>
      </c>
      <c r="B1122" s="1" t="str">
        <f ca="1">IFERROR(__xludf.DUMMYFUNCTION("""COMPUTED_VALUE"""),"Tóth László Ervin")</f>
        <v>Tóth László Ervin</v>
      </c>
      <c r="C1122" s="1"/>
      <c r="D1122" s="1" t="str">
        <f ca="1">IFERROR(__xludf.DUMMYFUNCTION("""COMPUTED_VALUE"""),"Férfi")</f>
        <v>Férfi</v>
      </c>
      <c r="E1122" s="1"/>
      <c r="F1122" s="1">
        <f ca="1">IFERROR(__xludf.DUMMYFUNCTION("""COMPUTED_VALUE"""),2006)</f>
        <v>2006</v>
      </c>
      <c r="G1122" s="1">
        <f ca="1">IFERROR(__xludf.DUMMYFUNCTION("""COMPUTED_VALUE"""),4303)</f>
        <v>4303</v>
      </c>
      <c r="H1122" s="1" t="str">
        <f ca="1">IFERROR(__xludf.DUMMYFUNCTION("""COMPUTED_VALUE"""),"MTLSZ004303A21")</f>
        <v>MTLSZ004303A21</v>
      </c>
      <c r="I1122" s="2">
        <f ca="1">IFERROR(__xludf.DUMMYFUNCTION("""COMPUTED_VALUE"""),44236)</f>
        <v>44236</v>
      </c>
      <c r="J1122" s="2">
        <f ca="1">IFERROR(__xludf.DUMMYFUNCTION("""COMPUTED_VALUE"""),44600)</f>
        <v>44600</v>
      </c>
    </row>
    <row r="1123" spans="1:10" x14ac:dyDescent="0.25">
      <c r="A1123" s="1" t="str">
        <f ca="1">IFERROR(__xludf.DUMMYFUNCTION("""COMPUTED_VALUE"""),"T(r)ollas SE")</f>
        <v>T(r)ollas SE</v>
      </c>
      <c r="B1123" s="1" t="str">
        <f ca="1">IFERROR(__xludf.DUMMYFUNCTION("""COMPUTED_VALUE"""),"Barta Beáta")</f>
        <v>Barta Beáta</v>
      </c>
      <c r="C1123" s="1"/>
      <c r="D1123" s="1" t="str">
        <f ca="1">IFERROR(__xludf.DUMMYFUNCTION("""COMPUTED_VALUE"""),"Nő")</f>
        <v>Nő</v>
      </c>
      <c r="E1123" s="1"/>
      <c r="F1123" s="1">
        <f ca="1">IFERROR(__xludf.DUMMYFUNCTION("""COMPUTED_VALUE"""),1987)</f>
        <v>1987</v>
      </c>
      <c r="G1123" s="1">
        <f ca="1">IFERROR(__xludf.DUMMYFUNCTION("""COMPUTED_VALUE"""),4283)</f>
        <v>4283</v>
      </c>
      <c r="H1123" s="1" t="str">
        <f ca="1">IFERROR(__xludf.DUMMYFUNCTION("""COMPUTED_VALUE"""),"MTLSZ004283A21")</f>
        <v>MTLSZ004283A21</v>
      </c>
      <c r="I1123" s="2">
        <f ca="1">IFERROR(__xludf.DUMMYFUNCTION("""COMPUTED_VALUE"""),44236)</f>
        <v>44236</v>
      </c>
      <c r="J1123" s="2">
        <f ca="1">IFERROR(__xludf.DUMMYFUNCTION("""COMPUTED_VALUE"""),44600)</f>
        <v>44600</v>
      </c>
    </row>
    <row r="1124" spans="1:10" x14ac:dyDescent="0.25">
      <c r="A1124" s="1" t="str">
        <f ca="1">IFERROR(__xludf.DUMMYFUNCTION("""COMPUTED_VALUE"""),"T(r)ollas SE")</f>
        <v>T(r)ollas SE</v>
      </c>
      <c r="B1124" s="1" t="str">
        <f ca="1">IFERROR(__xludf.DUMMYFUNCTION("""COMPUTED_VALUE"""),"Gregus Dóra")</f>
        <v>Gregus Dóra</v>
      </c>
      <c r="C1124" s="1"/>
      <c r="D1124" s="1" t="str">
        <f ca="1">IFERROR(__xludf.DUMMYFUNCTION("""COMPUTED_VALUE"""),"Nő")</f>
        <v>Nő</v>
      </c>
      <c r="E1124" s="1"/>
      <c r="F1124" s="1">
        <f ca="1">IFERROR(__xludf.DUMMYFUNCTION("""COMPUTED_VALUE"""),1990)</f>
        <v>1990</v>
      </c>
      <c r="G1124" s="1">
        <f ca="1">IFERROR(__xludf.DUMMYFUNCTION("""COMPUTED_VALUE"""),4284)</f>
        <v>4284</v>
      </c>
      <c r="H1124" s="1" t="str">
        <f ca="1">IFERROR(__xludf.DUMMYFUNCTION("""COMPUTED_VALUE"""),"MTLSZ004284A21")</f>
        <v>MTLSZ004284A21</v>
      </c>
      <c r="I1124" s="2">
        <f ca="1">IFERROR(__xludf.DUMMYFUNCTION("""COMPUTED_VALUE"""),44236)</f>
        <v>44236</v>
      </c>
      <c r="J1124" s="2">
        <f ca="1">IFERROR(__xludf.DUMMYFUNCTION("""COMPUTED_VALUE"""),44600)</f>
        <v>44600</v>
      </c>
    </row>
    <row r="1125" spans="1:10" x14ac:dyDescent="0.25">
      <c r="A1125" s="1" t="str">
        <f ca="1">IFERROR(__xludf.DUMMYFUNCTION("""COMPUTED_VALUE"""),"T(r)ollas SE")</f>
        <v>T(r)ollas SE</v>
      </c>
      <c r="B1125" s="1" t="str">
        <f ca="1">IFERROR(__xludf.DUMMYFUNCTION("""COMPUTED_VALUE"""),"Laxminaraya Nitin Narve")</f>
        <v>Laxminaraya Nitin Narve</v>
      </c>
      <c r="C1125" s="1"/>
      <c r="D1125" s="1" t="str">
        <f ca="1">IFERROR(__xludf.DUMMYFUNCTION("""COMPUTED_VALUE"""),"Férfi")</f>
        <v>Férfi</v>
      </c>
      <c r="E1125" s="1"/>
      <c r="F1125" s="1">
        <f ca="1">IFERROR(__xludf.DUMMYFUNCTION("""COMPUTED_VALUE"""),1991)</f>
        <v>1991</v>
      </c>
      <c r="G1125" s="1">
        <f ca="1">IFERROR(__xludf.DUMMYFUNCTION("""COMPUTED_VALUE"""),4280)</f>
        <v>4280</v>
      </c>
      <c r="H1125" s="1" t="str">
        <f ca="1">IFERROR(__xludf.DUMMYFUNCTION("""COMPUTED_VALUE"""),"MTLSZ004280A21")</f>
        <v>MTLSZ004280A21</v>
      </c>
      <c r="I1125" s="2">
        <f ca="1">IFERROR(__xludf.DUMMYFUNCTION("""COMPUTED_VALUE"""),44236)</f>
        <v>44236</v>
      </c>
      <c r="J1125" s="2">
        <f ca="1">IFERROR(__xludf.DUMMYFUNCTION("""COMPUTED_VALUE"""),44600)</f>
        <v>44600</v>
      </c>
    </row>
    <row r="1126" spans="1:10" x14ac:dyDescent="0.25">
      <c r="A1126" s="1" t="str">
        <f ca="1">IFERROR(__xludf.DUMMYFUNCTION("""COMPUTED_VALUE"""),"T(r)ollas SE")</f>
        <v>T(r)ollas SE</v>
      </c>
      <c r="B1126" s="1" t="str">
        <f ca="1">IFERROR(__xludf.DUMMYFUNCTION("""COMPUTED_VALUE"""),"Lin Ling")</f>
        <v>Lin Ling</v>
      </c>
      <c r="C1126" s="1"/>
      <c r="D1126" s="1" t="str">
        <f ca="1">IFERROR(__xludf.DUMMYFUNCTION("""COMPUTED_VALUE"""),"Nő")</f>
        <v>Nő</v>
      </c>
      <c r="E1126" s="1"/>
      <c r="F1126" s="1">
        <f ca="1">IFERROR(__xludf.DUMMYFUNCTION("""COMPUTED_VALUE"""),1970)</f>
        <v>1970</v>
      </c>
      <c r="G1126" s="1">
        <f ca="1">IFERROR(__xludf.DUMMYFUNCTION("""COMPUTED_VALUE"""),4281)</f>
        <v>4281</v>
      </c>
      <c r="H1126" s="1" t="str">
        <f ca="1">IFERROR(__xludf.DUMMYFUNCTION("""COMPUTED_VALUE"""),"MTLSZ004281A21")</f>
        <v>MTLSZ004281A21</v>
      </c>
      <c r="I1126" s="2">
        <f ca="1">IFERROR(__xludf.DUMMYFUNCTION("""COMPUTED_VALUE"""),44236)</f>
        <v>44236</v>
      </c>
      <c r="J1126" s="2">
        <f ca="1">IFERROR(__xludf.DUMMYFUNCTION("""COMPUTED_VALUE"""),44600)</f>
        <v>44600</v>
      </c>
    </row>
    <row r="1127" spans="1:10" x14ac:dyDescent="0.25">
      <c r="A1127" s="1" t="str">
        <f ca="1">IFERROR(__xludf.DUMMYFUNCTION("""COMPUTED_VALUE"""),"T(r)ollas SE")</f>
        <v>T(r)ollas SE</v>
      </c>
      <c r="B1127" s="1" t="str">
        <f ca="1">IFERROR(__xludf.DUMMYFUNCTION("""COMPUTED_VALUE"""),"Shaoyi Pei")</f>
        <v>Shaoyi Pei</v>
      </c>
      <c r="C1127" s="1"/>
      <c r="D1127" s="1" t="str">
        <f ca="1">IFERROR(__xludf.DUMMYFUNCTION("""COMPUTED_VALUE"""),"Férfi")</f>
        <v>Férfi</v>
      </c>
      <c r="E1127" s="1"/>
      <c r="F1127" s="1">
        <f ca="1">IFERROR(__xludf.DUMMYFUNCTION("""COMPUTED_VALUE"""),1971)</f>
        <v>1971</v>
      </c>
      <c r="G1127" s="1">
        <f ca="1">IFERROR(__xludf.DUMMYFUNCTION("""COMPUTED_VALUE"""),4282)</f>
        <v>4282</v>
      </c>
      <c r="H1127" s="1" t="str">
        <f ca="1">IFERROR(__xludf.DUMMYFUNCTION("""COMPUTED_VALUE"""),"MTLSZ004282A21")</f>
        <v>MTLSZ004282A21</v>
      </c>
      <c r="I1127" s="2">
        <f ca="1">IFERROR(__xludf.DUMMYFUNCTION("""COMPUTED_VALUE"""),44236)</f>
        <v>44236</v>
      </c>
      <c r="J1127" s="2">
        <f ca="1">IFERROR(__xludf.DUMMYFUNCTION("""COMPUTED_VALUE"""),44600)</f>
        <v>44600</v>
      </c>
    </row>
    <row r="1128" spans="1:10" x14ac:dyDescent="0.25">
      <c r="A1128" s="1" t="str">
        <f ca="1">IFERROR(__xludf.DUMMYFUNCTION("""COMPUTED_VALUE"""),"T(r)ollas SE")</f>
        <v>T(r)ollas SE</v>
      </c>
      <c r="B1128" s="1" t="str">
        <f ca="1">IFERROR(__xludf.DUMMYFUNCTION("""COMPUTED_VALUE"""),"Szabó Tamás")</f>
        <v>Szabó Tamás</v>
      </c>
      <c r="C1128" s="1"/>
      <c r="D1128" s="1" t="str">
        <f ca="1">IFERROR(__xludf.DUMMYFUNCTION("""COMPUTED_VALUE"""),"Férfi")</f>
        <v>Férfi</v>
      </c>
      <c r="E1128" s="1"/>
      <c r="F1128" s="1">
        <f ca="1">IFERROR(__xludf.DUMMYFUNCTION("""COMPUTED_VALUE"""),1986)</f>
        <v>1986</v>
      </c>
      <c r="G1128" s="1">
        <f ca="1">IFERROR(__xludf.DUMMYFUNCTION("""COMPUTED_VALUE"""),4285)</f>
        <v>4285</v>
      </c>
      <c r="H1128" s="1" t="str">
        <f ca="1">IFERROR(__xludf.DUMMYFUNCTION("""COMPUTED_VALUE"""),"MTLSZ004285A21")</f>
        <v>MTLSZ004285A21</v>
      </c>
      <c r="I1128" s="2">
        <f ca="1">IFERROR(__xludf.DUMMYFUNCTION("""COMPUTED_VALUE"""),44236)</f>
        <v>44236</v>
      </c>
      <c r="J1128" s="2">
        <f ca="1">IFERROR(__xludf.DUMMYFUNCTION("""COMPUTED_VALUE"""),44600)</f>
        <v>44600</v>
      </c>
    </row>
    <row r="1129" spans="1:10" x14ac:dyDescent="0.25">
      <c r="A1129" s="1" t="str">
        <f ca="1">IFERROR(__xludf.DUMMYFUNCTION("""COMPUTED_VALUE"""),"T(r)ollas SE")</f>
        <v>T(r)ollas SE</v>
      </c>
      <c r="B1129" s="1" t="str">
        <f ca="1">IFERROR(__xludf.DUMMYFUNCTION("""COMPUTED_VALUE"""),"Takács Helga")</f>
        <v>Takács Helga</v>
      </c>
      <c r="C1129" s="1"/>
      <c r="D1129" s="1" t="str">
        <f ca="1">IFERROR(__xludf.DUMMYFUNCTION("""COMPUTED_VALUE"""),"Nő")</f>
        <v>Nő</v>
      </c>
      <c r="E1129" s="1"/>
      <c r="F1129" s="1">
        <f ca="1">IFERROR(__xludf.DUMMYFUNCTION("""COMPUTED_VALUE"""),1979)</f>
        <v>1979</v>
      </c>
      <c r="G1129" s="1">
        <f ca="1">IFERROR(__xludf.DUMMYFUNCTION("""COMPUTED_VALUE"""),992)</f>
        <v>992</v>
      </c>
      <c r="H1129" s="1" t="str">
        <f ca="1">IFERROR(__xludf.DUMMYFUNCTION("""COMPUTED_VALUE"""),"MTLSZ000992A21")</f>
        <v>MTLSZ000992A21</v>
      </c>
      <c r="I1129" s="2">
        <f ca="1">IFERROR(__xludf.DUMMYFUNCTION("""COMPUTED_VALUE"""),44236)</f>
        <v>44236</v>
      </c>
      <c r="J1129" s="2">
        <f ca="1">IFERROR(__xludf.DUMMYFUNCTION("""COMPUTED_VALUE"""),44600)</f>
        <v>44600</v>
      </c>
    </row>
    <row r="1130" spans="1:10" x14ac:dyDescent="0.25">
      <c r="A1130" s="1" t="str">
        <f ca="1">IFERROR(__xludf.DUMMYFUNCTION("""COMPUTED_VALUE"""),"T(r)ollas SE")</f>
        <v>T(r)ollas SE</v>
      </c>
      <c r="B1130" s="1" t="str">
        <f ca="1">IFERROR(__xludf.DUMMYFUNCTION("""COMPUTED_VALUE"""),"Tóth Bálint")</f>
        <v>Tóth Bálint</v>
      </c>
      <c r="C1130" s="1"/>
      <c r="D1130" s="1" t="str">
        <f ca="1">IFERROR(__xludf.DUMMYFUNCTION("""COMPUTED_VALUE"""),"Férfi")</f>
        <v>Férfi</v>
      </c>
      <c r="E1130" s="1"/>
      <c r="F1130" s="1">
        <f ca="1">IFERROR(__xludf.DUMMYFUNCTION("""COMPUTED_VALUE"""),1989)</f>
        <v>1989</v>
      </c>
      <c r="G1130" s="1">
        <f ca="1">IFERROR(__xludf.DUMMYFUNCTION("""COMPUTED_VALUE"""),4286)</f>
        <v>4286</v>
      </c>
      <c r="H1130" s="1" t="str">
        <f ca="1">IFERROR(__xludf.DUMMYFUNCTION("""COMPUTED_VALUE"""),"MTLSZ004286A21")</f>
        <v>MTLSZ004286A21</v>
      </c>
      <c r="I1130" s="2">
        <f ca="1">IFERROR(__xludf.DUMMYFUNCTION("""COMPUTED_VALUE"""),44236)</f>
        <v>44236</v>
      </c>
      <c r="J1130" s="2">
        <f ca="1">IFERROR(__xludf.DUMMYFUNCTION("""COMPUTED_VALUE"""),44600)</f>
        <v>44600</v>
      </c>
    </row>
    <row r="1131" spans="1:10" x14ac:dyDescent="0.25">
      <c r="A1131" s="1" t="str">
        <f ca="1">IFERROR(__xludf.DUMMYFUNCTION("""COMPUTED_VALUE"""),"T(r)ollas SE")</f>
        <v>T(r)ollas SE</v>
      </c>
      <c r="B1131" s="1" t="str">
        <f ca="1">IFERROR(__xludf.DUMMYFUNCTION("""COMPUTED_VALUE"""),"Xin Qiao")</f>
        <v>Xin Qiao</v>
      </c>
      <c r="C1131" s="1"/>
      <c r="D1131" s="1" t="str">
        <f ca="1">IFERROR(__xludf.DUMMYFUNCTION("""COMPUTED_VALUE"""),"Férfi")</f>
        <v>Férfi</v>
      </c>
      <c r="E1131" s="1"/>
      <c r="F1131" s="1">
        <f ca="1">IFERROR(__xludf.DUMMYFUNCTION("""COMPUTED_VALUE"""),2006)</f>
        <v>2006</v>
      </c>
      <c r="G1131" s="1">
        <f ca="1">IFERROR(__xludf.DUMMYFUNCTION("""COMPUTED_VALUE"""),4287)</f>
        <v>4287</v>
      </c>
      <c r="H1131" s="1" t="str">
        <f ca="1">IFERROR(__xludf.DUMMYFUNCTION("""COMPUTED_VALUE"""),"MTLSZ004287A21")</f>
        <v>MTLSZ004287A21</v>
      </c>
      <c r="I1131" s="2">
        <f ca="1">IFERROR(__xludf.DUMMYFUNCTION("""COMPUTED_VALUE"""),44236)</f>
        <v>44236</v>
      </c>
      <c r="J1131" s="2">
        <f ca="1">IFERROR(__xludf.DUMMYFUNCTION("""COMPUTED_VALUE"""),44600)</f>
        <v>44600</v>
      </c>
    </row>
    <row r="1132" spans="1:10" x14ac:dyDescent="0.25">
      <c r="A1132" s="1" t="str">
        <f ca="1">IFERROR(__xludf.DUMMYFUNCTION("""COMPUTED_VALUE"""),"Danubius KSE")</f>
        <v>Danubius KSE</v>
      </c>
      <c r="B1132" s="1" t="str">
        <f ca="1">IFERROR(__xludf.DUMMYFUNCTION("""COMPUTED_VALUE"""),"Kaszás Zsolt")</f>
        <v>Kaszás Zsolt</v>
      </c>
      <c r="C1132" s="1"/>
      <c r="D1132" s="1" t="str">
        <f ca="1">IFERROR(__xludf.DUMMYFUNCTION("""COMPUTED_VALUE"""),"Férfi")</f>
        <v>Férfi</v>
      </c>
      <c r="E1132" s="1"/>
      <c r="F1132" s="1">
        <f ca="1">IFERROR(__xludf.DUMMYFUNCTION("""COMPUTED_VALUE"""),1970)</f>
        <v>1970</v>
      </c>
      <c r="G1132" s="1">
        <f ca="1">IFERROR(__xludf.DUMMYFUNCTION("""COMPUTED_VALUE"""),3504)</f>
        <v>3504</v>
      </c>
      <c r="H1132" s="1" t="str">
        <f ca="1">IFERROR(__xludf.DUMMYFUNCTION("""COMPUTED_VALUE"""),"MTLSZ003504A21")</f>
        <v>MTLSZ003504A21</v>
      </c>
      <c r="I1132" s="2">
        <f ca="1">IFERROR(__xludf.DUMMYFUNCTION("""COMPUTED_VALUE"""),44235)</f>
        <v>44235</v>
      </c>
      <c r="J1132" s="2">
        <f ca="1">IFERROR(__xludf.DUMMYFUNCTION("""COMPUTED_VALUE"""),44599)</f>
        <v>44599</v>
      </c>
    </row>
    <row r="1133" spans="1:10" x14ac:dyDescent="0.25">
      <c r="A1133" s="1" t="str">
        <f ca="1">IFERROR(__xludf.DUMMYFUNCTION("""COMPUTED_VALUE"""),"Formás SE")</f>
        <v>Formás SE</v>
      </c>
      <c r="B1133" s="1" t="str">
        <f ca="1">IFERROR(__xludf.DUMMYFUNCTION("""COMPUTED_VALUE"""),"Igliczki István")</f>
        <v>Igliczki István</v>
      </c>
      <c r="C1133" s="1"/>
      <c r="D1133" s="1" t="str">
        <f ca="1">IFERROR(__xludf.DUMMYFUNCTION("""COMPUTED_VALUE"""),"Férfi")</f>
        <v>Férfi</v>
      </c>
      <c r="E1133" s="1"/>
      <c r="F1133" s="1">
        <f ca="1">IFERROR(__xludf.DUMMYFUNCTION("""COMPUTED_VALUE"""),1975)</f>
        <v>1975</v>
      </c>
      <c r="G1133" s="1">
        <f ca="1">IFERROR(__xludf.DUMMYFUNCTION("""COMPUTED_VALUE"""),4277)</f>
        <v>4277</v>
      </c>
      <c r="H1133" s="1" t="str">
        <f ca="1">IFERROR(__xludf.DUMMYFUNCTION("""COMPUTED_VALUE"""),"MTLSZ004277A21")</f>
        <v>MTLSZ004277A21</v>
      </c>
      <c r="I1133" s="2">
        <f ca="1">IFERROR(__xludf.DUMMYFUNCTION("""COMPUTED_VALUE"""),44235)</f>
        <v>44235</v>
      </c>
      <c r="J1133" s="2">
        <f ca="1">IFERROR(__xludf.DUMMYFUNCTION("""COMPUTED_VALUE"""),44599)</f>
        <v>44599</v>
      </c>
    </row>
    <row r="1134" spans="1:10" x14ac:dyDescent="0.25">
      <c r="A1134" s="1" t="str">
        <f ca="1">IFERROR(__xludf.DUMMYFUNCTION("""COMPUTED_VALUE"""),"Formás SE")</f>
        <v>Formás SE</v>
      </c>
      <c r="B1134" s="1" t="str">
        <f ca="1">IFERROR(__xludf.DUMMYFUNCTION("""COMPUTED_VALUE"""),"Sziklainé Tóth Judit")</f>
        <v>Sziklainé Tóth Judit</v>
      </c>
      <c r="C1134" s="1"/>
      <c r="D1134" s="1" t="str">
        <f ca="1">IFERROR(__xludf.DUMMYFUNCTION("""COMPUTED_VALUE"""),"Nő")</f>
        <v>Nő</v>
      </c>
      <c r="E1134" s="1"/>
      <c r="F1134" s="1">
        <f ca="1">IFERROR(__xludf.DUMMYFUNCTION("""COMPUTED_VALUE"""),1970)</f>
        <v>1970</v>
      </c>
      <c r="G1134" s="1">
        <f ca="1">IFERROR(__xludf.DUMMYFUNCTION("""COMPUTED_VALUE"""),4276)</f>
        <v>4276</v>
      </c>
      <c r="H1134" s="1" t="str">
        <f ca="1">IFERROR(__xludf.DUMMYFUNCTION("""COMPUTED_VALUE"""),"MTLSZ004276A21")</f>
        <v>MTLSZ004276A21</v>
      </c>
      <c r="I1134" s="2">
        <f ca="1">IFERROR(__xludf.DUMMYFUNCTION("""COMPUTED_VALUE"""),44235)</f>
        <v>44235</v>
      </c>
      <c r="J1134" s="2">
        <f ca="1">IFERROR(__xludf.DUMMYFUNCTION("""COMPUTED_VALUE"""),44599)</f>
        <v>44599</v>
      </c>
    </row>
    <row r="1135" spans="1:10" x14ac:dyDescent="0.25">
      <c r="A1135" s="1" t="str">
        <f ca="1">IFERROR(__xludf.DUMMYFUNCTION("""COMPUTED_VALUE"""),"Újpest TSE")</f>
        <v>Újpest TSE</v>
      </c>
      <c r="B1135" s="1" t="str">
        <f ca="1">IFERROR(__xludf.DUMMYFUNCTION("""COMPUTED_VALUE"""),"Gmoser Anikó Dr.")</f>
        <v>Gmoser Anikó Dr.</v>
      </c>
      <c r="C1135" s="1"/>
      <c r="D1135" s="1" t="str">
        <f ca="1">IFERROR(__xludf.DUMMYFUNCTION("""COMPUTED_VALUE"""),"Nő")</f>
        <v>Nő</v>
      </c>
      <c r="E1135" s="1"/>
      <c r="F1135" s="1">
        <f ca="1">IFERROR(__xludf.DUMMYFUNCTION("""COMPUTED_VALUE"""),1974)</f>
        <v>1974</v>
      </c>
      <c r="G1135" s="1">
        <f ca="1">IFERROR(__xludf.DUMMYFUNCTION("""COMPUTED_VALUE"""),4278)</f>
        <v>4278</v>
      </c>
      <c r="H1135" s="1" t="str">
        <f ca="1">IFERROR(__xludf.DUMMYFUNCTION("""COMPUTED_VALUE"""),"MTLSZ004278A21")</f>
        <v>MTLSZ004278A21</v>
      </c>
      <c r="I1135" s="2">
        <f ca="1">IFERROR(__xludf.DUMMYFUNCTION("""COMPUTED_VALUE"""),44235)</f>
        <v>44235</v>
      </c>
      <c r="J1135" s="2">
        <f ca="1">IFERROR(__xludf.DUMMYFUNCTION("""COMPUTED_VALUE"""),44599)</f>
        <v>44599</v>
      </c>
    </row>
    <row r="1136" spans="1:10" x14ac:dyDescent="0.25">
      <c r="A1136" s="1" t="str">
        <f ca="1">IFERROR(__xludf.DUMMYFUNCTION("""COMPUTED_VALUE"""),"Újpest TSE")</f>
        <v>Újpest TSE</v>
      </c>
      <c r="B1136" s="1" t="str">
        <f ca="1">IFERROR(__xludf.DUMMYFUNCTION("""COMPUTED_VALUE"""),"Hiezl Gábor")</f>
        <v>Hiezl Gábor</v>
      </c>
      <c r="C1136" s="1"/>
      <c r="D1136" s="1" t="str">
        <f ca="1">IFERROR(__xludf.DUMMYFUNCTION("""COMPUTED_VALUE"""),"Férfi")</f>
        <v>Férfi</v>
      </c>
      <c r="E1136" s="1"/>
      <c r="F1136" s="1">
        <f ca="1">IFERROR(__xludf.DUMMYFUNCTION("""COMPUTED_VALUE"""),1975)</f>
        <v>1975</v>
      </c>
      <c r="G1136" s="1">
        <f ca="1">IFERROR(__xludf.DUMMYFUNCTION("""COMPUTED_VALUE"""),4279)</f>
        <v>4279</v>
      </c>
      <c r="H1136" s="1" t="str">
        <f ca="1">IFERROR(__xludf.DUMMYFUNCTION("""COMPUTED_VALUE"""),"MTLSZ004279A21")</f>
        <v>MTLSZ004279A21</v>
      </c>
      <c r="I1136" s="2">
        <f ca="1">IFERROR(__xludf.DUMMYFUNCTION("""COMPUTED_VALUE"""),44235)</f>
        <v>44235</v>
      </c>
      <c r="J1136" s="2">
        <f ca="1">IFERROR(__xludf.DUMMYFUNCTION("""COMPUTED_VALUE"""),44599)</f>
        <v>44599</v>
      </c>
    </row>
    <row r="1137" spans="1:10" x14ac:dyDescent="0.25">
      <c r="A1137" s="1" t="str">
        <f ca="1">IFERROR(__xludf.DUMMYFUNCTION("""COMPUTED_VALUE"""),"Újpest TSE")</f>
        <v>Újpest TSE</v>
      </c>
      <c r="B1137" s="1" t="str">
        <f ca="1">IFERROR(__xludf.DUMMYFUNCTION("""COMPUTED_VALUE"""),"Koncz Péter")</f>
        <v>Koncz Péter</v>
      </c>
      <c r="C1137" s="1"/>
      <c r="D1137" s="1" t="str">
        <f ca="1">IFERROR(__xludf.DUMMYFUNCTION("""COMPUTED_VALUE"""),"Férfi")</f>
        <v>Férfi</v>
      </c>
      <c r="E1137" s="1"/>
      <c r="F1137" s="1">
        <f ca="1">IFERROR(__xludf.DUMMYFUNCTION("""COMPUTED_VALUE"""),1977)</f>
        <v>1977</v>
      </c>
      <c r="G1137" s="1">
        <f ca="1">IFERROR(__xludf.DUMMYFUNCTION("""COMPUTED_VALUE"""),4221)</f>
        <v>4221</v>
      </c>
      <c r="H1137" s="1" t="str">
        <f ca="1">IFERROR(__xludf.DUMMYFUNCTION("""COMPUTED_VALUE"""),"MTLSZ004221A21")</f>
        <v>MTLSZ004221A21</v>
      </c>
      <c r="I1137" s="2">
        <f ca="1">IFERROR(__xludf.DUMMYFUNCTION("""COMPUTED_VALUE"""),44235)</f>
        <v>44235</v>
      </c>
      <c r="J1137" s="2">
        <f ca="1">IFERROR(__xludf.DUMMYFUNCTION("""COMPUTED_VALUE"""),44599)</f>
        <v>44599</v>
      </c>
    </row>
    <row r="1138" spans="1:10" x14ac:dyDescent="0.25">
      <c r="A1138" s="1" t="str">
        <f ca="1">IFERROR(__xludf.DUMMYFUNCTION("""COMPUTED_VALUE"""),"BEAC")</f>
        <v>BEAC</v>
      </c>
      <c r="B1138" s="1" t="str">
        <f ca="1">IFERROR(__xludf.DUMMYFUNCTION("""COMPUTED_VALUE"""),"Sárosi Dávid")</f>
        <v>Sárosi Dávid</v>
      </c>
      <c r="C1138" s="1"/>
      <c r="D1138" s="1" t="str">
        <f ca="1">IFERROR(__xludf.DUMMYFUNCTION("""COMPUTED_VALUE"""),"Férfi")</f>
        <v>Férfi</v>
      </c>
      <c r="E1138" s="1"/>
      <c r="F1138" s="1">
        <f ca="1">IFERROR(__xludf.DUMMYFUNCTION("""COMPUTED_VALUE"""),1990)</f>
        <v>1990</v>
      </c>
      <c r="G1138" s="1">
        <f ca="1">IFERROR(__xludf.DUMMYFUNCTION("""COMPUTED_VALUE"""),834)</f>
        <v>834</v>
      </c>
      <c r="H1138" s="1" t="str">
        <f ca="1">IFERROR(__xludf.DUMMYFUNCTION("""COMPUTED_VALUE"""),"MTLSZ000834A21")</f>
        <v>MTLSZ000834A21</v>
      </c>
      <c r="I1138" s="2">
        <f ca="1">IFERROR(__xludf.DUMMYFUNCTION("""COMPUTED_VALUE"""),44232)</f>
        <v>44232</v>
      </c>
      <c r="J1138" s="2">
        <f ca="1">IFERROR(__xludf.DUMMYFUNCTION("""COMPUTED_VALUE"""),44596)</f>
        <v>44596</v>
      </c>
    </row>
    <row r="1139" spans="1:10" x14ac:dyDescent="0.25">
      <c r="A1139" s="1" t="str">
        <f ca="1">IFERROR(__xludf.DUMMYFUNCTION("""COMPUTED_VALUE"""),"BEAC")</f>
        <v>BEAC</v>
      </c>
      <c r="B1139" s="1" t="str">
        <f ca="1">IFERROR(__xludf.DUMMYFUNCTION("""COMPUTED_VALUE"""),"Bakó Eszter")</f>
        <v>Bakó Eszter</v>
      </c>
      <c r="C1139" s="1"/>
      <c r="D1139" s="1" t="str">
        <f ca="1">IFERROR(__xludf.DUMMYFUNCTION("""COMPUTED_VALUE"""),"Nő")</f>
        <v>Nő</v>
      </c>
      <c r="E1139" s="1"/>
      <c r="F1139" s="1">
        <f ca="1">IFERROR(__xludf.DUMMYFUNCTION("""COMPUTED_VALUE"""),2003)</f>
        <v>2003</v>
      </c>
      <c r="G1139" s="1">
        <f ca="1">IFERROR(__xludf.DUMMYFUNCTION("""COMPUTED_VALUE"""),4275)</f>
        <v>4275</v>
      </c>
      <c r="H1139" s="1" t="str">
        <f ca="1">IFERROR(__xludf.DUMMYFUNCTION("""COMPUTED_VALUE"""),"MTLSZ004275A21")</f>
        <v>MTLSZ004275A21</v>
      </c>
      <c r="I1139" s="2">
        <f ca="1">IFERROR(__xludf.DUMMYFUNCTION("""COMPUTED_VALUE"""),44230)</f>
        <v>44230</v>
      </c>
      <c r="J1139" s="2">
        <f ca="1">IFERROR(__xludf.DUMMYFUNCTION("""COMPUTED_VALUE"""),44594)</f>
        <v>44594</v>
      </c>
    </row>
    <row r="1140" spans="1:10" x14ac:dyDescent="0.25">
      <c r="A1140" s="1" t="str">
        <f ca="1">IFERROR(__xludf.DUMMYFUNCTION("""COMPUTED_VALUE"""),"Főtaxi SC")</f>
        <v>Főtaxi SC</v>
      </c>
      <c r="B1140" s="1" t="str">
        <f ca="1">IFERROR(__xludf.DUMMYFUNCTION("""COMPUTED_VALUE"""),"Dr. Farkasné Novák Fanni")</f>
        <v>Dr. Farkasné Novák Fanni</v>
      </c>
      <c r="C1140" s="1"/>
      <c r="D1140" s="1" t="str">
        <f ca="1">IFERROR(__xludf.DUMMYFUNCTION("""COMPUTED_VALUE"""),"Nő")</f>
        <v>Nő</v>
      </c>
      <c r="E1140" s="1"/>
      <c r="F1140" s="1">
        <f ca="1">IFERROR(__xludf.DUMMYFUNCTION("""COMPUTED_VALUE"""),1995)</f>
        <v>1995</v>
      </c>
      <c r="G1140" s="1">
        <f ca="1">IFERROR(__xludf.DUMMYFUNCTION("""COMPUTED_VALUE"""),4241)</f>
        <v>4241</v>
      </c>
      <c r="H1140" s="1" t="str">
        <f ca="1">IFERROR(__xludf.DUMMYFUNCTION("""COMPUTED_VALUE"""),"MTLSZ004241A21")</f>
        <v>MTLSZ004241A21</v>
      </c>
      <c r="I1140" s="2">
        <f ca="1">IFERROR(__xludf.DUMMYFUNCTION("""COMPUTED_VALUE"""),44230)</f>
        <v>44230</v>
      </c>
      <c r="J1140" s="2">
        <f ca="1">IFERROR(__xludf.DUMMYFUNCTION("""COMPUTED_VALUE"""),44594)</f>
        <v>44594</v>
      </c>
    </row>
    <row r="1141" spans="1:10" x14ac:dyDescent="0.25">
      <c r="A1141" s="1" t="str">
        <f ca="1">IFERROR(__xludf.DUMMYFUNCTION("""COMPUTED_VALUE"""),"Főtaxi SC")</f>
        <v>Főtaxi SC</v>
      </c>
      <c r="B1141" s="1" t="str">
        <f ca="1">IFERROR(__xludf.DUMMYFUNCTION("""COMPUTED_VALUE"""),"Farkas Imre Dr.")</f>
        <v>Farkas Imre Dr.</v>
      </c>
      <c r="C1141" s="1"/>
      <c r="D1141" s="1" t="str">
        <f ca="1">IFERROR(__xludf.DUMMYFUNCTION("""COMPUTED_VALUE"""),"Férfi")</f>
        <v>Férfi</v>
      </c>
      <c r="E1141" s="1"/>
      <c r="F1141" s="1">
        <f ca="1">IFERROR(__xludf.DUMMYFUNCTION("""COMPUTED_VALUE"""),1989)</f>
        <v>1989</v>
      </c>
      <c r="G1141" s="1">
        <f ca="1">IFERROR(__xludf.DUMMYFUNCTION("""COMPUTED_VALUE"""),4240)</f>
        <v>4240</v>
      </c>
      <c r="H1141" s="1" t="str">
        <f ca="1">IFERROR(__xludf.DUMMYFUNCTION("""COMPUTED_VALUE"""),"MTLSZ004240A21")</f>
        <v>MTLSZ004240A21</v>
      </c>
      <c r="I1141" s="2">
        <f ca="1">IFERROR(__xludf.DUMMYFUNCTION("""COMPUTED_VALUE"""),44230)</f>
        <v>44230</v>
      </c>
      <c r="J1141" s="2">
        <f ca="1">IFERROR(__xludf.DUMMYFUNCTION("""COMPUTED_VALUE"""),44594)</f>
        <v>44594</v>
      </c>
    </row>
    <row r="1142" spans="1:10" x14ac:dyDescent="0.25">
      <c r="A1142" s="1" t="str">
        <f ca="1">IFERROR(__xludf.DUMMYFUNCTION("""COMPUTED_VALUE"""),"Főtaxi SC")</f>
        <v>Főtaxi SC</v>
      </c>
      <c r="B1142" s="1" t="str">
        <f ca="1">IFERROR(__xludf.DUMMYFUNCTION("""COMPUTED_VALUE"""),"Fockt Ádámné")</f>
        <v>Fockt Ádámné</v>
      </c>
      <c r="C1142" s="1"/>
      <c r="D1142" s="1" t="str">
        <f ca="1">IFERROR(__xludf.DUMMYFUNCTION("""COMPUTED_VALUE"""),"Nő")</f>
        <v>Nő</v>
      </c>
      <c r="E1142" s="1"/>
      <c r="F1142" s="1">
        <f ca="1">IFERROR(__xludf.DUMMYFUNCTION("""COMPUTED_VALUE"""),1968)</f>
        <v>1968</v>
      </c>
      <c r="G1142" s="1">
        <f ca="1">IFERROR(__xludf.DUMMYFUNCTION("""COMPUTED_VALUE"""),4259)</f>
        <v>4259</v>
      </c>
      <c r="H1142" s="1" t="str">
        <f ca="1">IFERROR(__xludf.DUMMYFUNCTION("""COMPUTED_VALUE"""),"MTLSZ004259A21")</f>
        <v>MTLSZ004259A21</v>
      </c>
      <c r="I1142" s="2">
        <f ca="1">IFERROR(__xludf.DUMMYFUNCTION("""COMPUTED_VALUE"""),44230)</f>
        <v>44230</v>
      </c>
      <c r="J1142" s="2">
        <f ca="1">IFERROR(__xludf.DUMMYFUNCTION("""COMPUTED_VALUE"""),44594)</f>
        <v>44594</v>
      </c>
    </row>
    <row r="1143" spans="1:10" x14ac:dyDescent="0.25">
      <c r="A1143" s="1" t="str">
        <f ca="1">IFERROR(__xludf.DUMMYFUNCTION("""COMPUTED_VALUE"""),"Főtaxi SC")</f>
        <v>Főtaxi SC</v>
      </c>
      <c r="B1143" s="1" t="str">
        <f ca="1">IFERROR(__xludf.DUMMYFUNCTION("""COMPUTED_VALUE"""),"Gábor Imola")</f>
        <v>Gábor Imola</v>
      </c>
      <c r="C1143" s="1"/>
      <c r="D1143" s="1" t="str">
        <f ca="1">IFERROR(__xludf.DUMMYFUNCTION("""COMPUTED_VALUE"""),"Nő")</f>
        <v>Nő</v>
      </c>
      <c r="E1143" s="1"/>
      <c r="F1143" s="1">
        <f ca="1">IFERROR(__xludf.DUMMYFUNCTION("""COMPUTED_VALUE"""),1977)</f>
        <v>1977</v>
      </c>
      <c r="G1143" s="1">
        <f ca="1">IFERROR(__xludf.DUMMYFUNCTION("""COMPUTED_VALUE"""),4260)</f>
        <v>4260</v>
      </c>
      <c r="H1143" s="1" t="str">
        <f ca="1">IFERROR(__xludf.DUMMYFUNCTION("""COMPUTED_VALUE"""),"MTLSZ004260A21")</f>
        <v>MTLSZ004260A21</v>
      </c>
      <c r="I1143" s="2">
        <f ca="1">IFERROR(__xludf.DUMMYFUNCTION("""COMPUTED_VALUE"""),44230)</f>
        <v>44230</v>
      </c>
      <c r="J1143" s="2">
        <f ca="1">IFERROR(__xludf.DUMMYFUNCTION("""COMPUTED_VALUE"""),44594)</f>
        <v>44594</v>
      </c>
    </row>
    <row r="1144" spans="1:10" x14ac:dyDescent="0.25">
      <c r="A1144" s="1" t="str">
        <f ca="1">IFERROR(__xludf.DUMMYFUNCTION("""COMPUTED_VALUE"""),"Főtaxi SC")</f>
        <v>Főtaxi SC</v>
      </c>
      <c r="B1144" s="1" t="str">
        <f ca="1">IFERROR(__xludf.DUMMYFUNCTION("""COMPUTED_VALUE"""),"Jakschitzné Somogyi Mónika")</f>
        <v>Jakschitzné Somogyi Mónika</v>
      </c>
      <c r="C1144" s="1"/>
      <c r="D1144" s="1" t="str">
        <f ca="1">IFERROR(__xludf.DUMMYFUNCTION("""COMPUTED_VALUE"""),"Nő")</f>
        <v>Nő</v>
      </c>
      <c r="E1144" s="1"/>
      <c r="F1144" s="1">
        <f ca="1">IFERROR(__xludf.DUMMYFUNCTION("""COMPUTED_VALUE"""),1970)</f>
        <v>1970</v>
      </c>
      <c r="G1144" s="1">
        <f ca="1">IFERROR(__xludf.DUMMYFUNCTION("""COMPUTED_VALUE"""),4261)</f>
        <v>4261</v>
      </c>
      <c r="H1144" s="1" t="str">
        <f ca="1">IFERROR(__xludf.DUMMYFUNCTION("""COMPUTED_VALUE"""),"MTLSZ004261A21")</f>
        <v>MTLSZ004261A21</v>
      </c>
      <c r="I1144" s="2">
        <f ca="1">IFERROR(__xludf.DUMMYFUNCTION("""COMPUTED_VALUE"""),44230)</f>
        <v>44230</v>
      </c>
      <c r="J1144" s="2">
        <f ca="1">IFERROR(__xludf.DUMMYFUNCTION("""COMPUTED_VALUE"""),44594)</f>
        <v>44594</v>
      </c>
    </row>
    <row r="1145" spans="1:10" x14ac:dyDescent="0.25">
      <c r="A1145" s="1" t="str">
        <f ca="1">IFERROR(__xludf.DUMMYFUNCTION("""COMPUTED_VALUE"""),"Főtaxi SC")</f>
        <v>Főtaxi SC</v>
      </c>
      <c r="B1145" s="1" t="str">
        <f ca="1">IFERROR(__xludf.DUMMYFUNCTION("""COMPUTED_VALUE"""),"Joó Tibor")</f>
        <v>Joó Tibor</v>
      </c>
      <c r="C1145" s="1"/>
      <c r="D1145" s="1" t="str">
        <f ca="1">IFERROR(__xludf.DUMMYFUNCTION("""COMPUTED_VALUE"""),"Férfi")</f>
        <v>Férfi</v>
      </c>
      <c r="E1145" s="1"/>
      <c r="F1145" s="1">
        <f ca="1">IFERROR(__xludf.DUMMYFUNCTION("""COMPUTED_VALUE"""),1972)</f>
        <v>1972</v>
      </c>
      <c r="G1145" s="1">
        <f ca="1">IFERROR(__xludf.DUMMYFUNCTION("""COMPUTED_VALUE"""),3982)</f>
        <v>3982</v>
      </c>
      <c r="H1145" s="1" t="str">
        <f ca="1">IFERROR(__xludf.DUMMYFUNCTION("""COMPUTED_VALUE"""),"MTLSZ003982A21")</f>
        <v>MTLSZ003982A21</v>
      </c>
      <c r="I1145" s="2">
        <f ca="1">IFERROR(__xludf.DUMMYFUNCTION("""COMPUTED_VALUE"""),44230)</f>
        <v>44230</v>
      </c>
      <c r="J1145" s="2">
        <f ca="1">IFERROR(__xludf.DUMMYFUNCTION("""COMPUTED_VALUE"""),44594)</f>
        <v>44594</v>
      </c>
    </row>
    <row r="1146" spans="1:10" x14ac:dyDescent="0.25">
      <c r="A1146" s="1" t="str">
        <f ca="1">IFERROR(__xludf.DUMMYFUNCTION("""COMPUTED_VALUE"""),"Főtaxi SC")</f>
        <v>Főtaxi SC</v>
      </c>
      <c r="B1146" s="1" t="str">
        <f ca="1">IFERROR(__xludf.DUMMYFUNCTION("""COMPUTED_VALUE"""),"Kövér István")</f>
        <v>Kövér István</v>
      </c>
      <c r="C1146" s="1"/>
      <c r="D1146" s="1" t="str">
        <f ca="1">IFERROR(__xludf.DUMMYFUNCTION("""COMPUTED_VALUE"""),"Férfi")</f>
        <v>Férfi</v>
      </c>
      <c r="E1146" s="1"/>
      <c r="F1146" s="1">
        <f ca="1">IFERROR(__xludf.DUMMYFUNCTION("""COMPUTED_VALUE"""),1968)</f>
        <v>1968</v>
      </c>
      <c r="G1146" s="1">
        <f ca="1">IFERROR(__xludf.DUMMYFUNCTION("""COMPUTED_VALUE"""),2186)</f>
        <v>2186</v>
      </c>
      <c r="H1146" s="1" t="str">
        <f ca="1">IFERROR(__xludf.DUMMYFUNCTION("""COMPUTED_VALUE"""),"MTLSZ002186A21")</f>
        <v>MTLSZ002186A21</v>
      </c>
      <c r="I1146" s="2">
        <f ca="1">IFERROR(__xludf.DUMMYFUNCTION("""COMPUTED_VALUE"""),44230)</f>
        <v>44230</v>
      </c>
      <c r="J1146" s="2">
        <f ca="1">IFERROR(__xludf.DUMMYFUNCTION("""COMPUTED_VALUE"""),44594)</f>
        <v>44594</v>
      </c>
    </row>
    <row r="1147" spans="1:10" x14ac:dyDescent="0.25">
      <c r="A1147" s="1" t="str">
        <f ca="1">IFERROR(__xludf.DUMMYFUNCTION("""COMPUTED_VALUE"""),"Főtaxi SC")</f>
        <v>Főtaxi SC</v>
      </c>
      <c r="B1147" s="1" t="str">
        <f ca="1">IFERROR(__xludf.DUMMYFUNCTION("""COMPUTED_VALUE"""),"Szabó Gergely")</f>
        <v>Szabó Gergely</v>
      </c>
      <c r="C1147" s="1"/>
      <c r="D1147" s="1" t="str">
        <f ca="1">IFERROR(__xludf.DUMMYFUNCTION("""COMPUTED_VALUE"""),"Férfi")</f>
        <v>Férfi</v>
      </c>
      <c r="E1147" s="1"/>
      <c r="F1147" s="1">
        <f ca="1">IFERROR(__xludf.DUMMYFUNCTION("""COMPUTED_VALUE"""),1979)</f>
        <v>1979</v>
      </c>
      <c r="G1147" s="1">
        <f ca="1">IFERROR(__xludf.DUMMYFUNCTION("""COMPUTED_VALUE"""),891)</f>
        <v>891</v>
      </c>
      <c r="H1147" s="1" t="str">
        <f ca="1">IFERROR(__xludf.DUMMYFUNCTION("""COMPUTED_VALUE"""),"MTLSZ000891A21")</f>
        <v>MTLSZ000891A21</v>
      </c>
      <c r="I1147" s="2">
        <f ca="1">IFERROR(__xludf.DUMMYFUNCTION("""COMPUTED_VALUE"""),44230)</f>
        <v>44230</v>
      </c>
      <c r="J1147" s="2">
        <f ca="1">IFERROR(__xludf.DUMMYFUNCTION("""COMPUTED_VALUE"""),44594)</f>
        <v>44594</v>
      </c>
    </row>
    <row r="1148" spans="1:10" x14ac:dyDescent="0.25">
      <c r="A1148" s="1" t="str">
        <f ca="1">IFERROR(__xludf.DUMMYFUNCTION("""COMPUTED_VALUE"""),"Főtaxi SC")</f>
        <v>Főtaxi SC</v>
      </c>
      <c r="B1148" s="1" t="str">
        <f ca="1">IFERROR(__xludf.DUMMYFUNCTION("""COMPUTED_VALUE"""),"Szics Alexander")</f>
        <v>Szics Alexander</v>
      </c>
      <c r="C1148" s="1"/>
      <c r="D1148" s="1" t="str">
        <f ca="1">IFERROR(__xludf.DUMMYFUNCTION("""COMPUTED_VALUE"""),"Férfi")</f>
        <v>Férfi</v>
      </c>
      <c r="E1148" s="1"/>
      <c r="F1148" s="1">
        <f ca="1">IFERROR(__xludf.DUMMYFUNCTION("""COMPUTED_VALUE"""),2002)</f>
        <v>2002</v>
      </c>
      <c r="G1148" s="1">
        <f ca="1">IFERROR(__xludf.DUMMYFUNCTION("""COMPUTED_VALUE"""),4263)</f>
        <v>4263</v>
      </c>
      <c r="H1148" s="1" t="str">
        <f ca="1">IFERROR(__xludf.DUMMYFUNCTION("""COMPUTED_VALUE"""),"MTLSZ004263A21")</f>
        <v>MTLSZ004263A21</v>
      </c>
      <c r="I1148" s="2">
        <f ca="1">IFERROR(__xludf.DUMMYFUNCTION("""COMPUTED_VALUE"""),44230)</f>
        <v>44230</v>
      </c>
      <c r="J1148" s="2">
        <f ca="1">IFERROR(__xludf.DUMMYFUNCTION("""COMPUTED_VALUE"""),44594)</f>
        <v>44594</v>
      </c>
    </row>
    <row r="1149" spans="1:10" x14ac:dyDescent="0.25">
      <c r="A1149" s="1" t="str">
        <f ca="1">IFERROR(__xludf.DUMMYFUNCTION("""COMPUTED_VALUE"""),"Főtaxi SC")</f>
        <v>Főtaxi SC</v>
      </c>
      <c r="B1149" s="1" t="str">
        <f ca="1">IFERROR(__xludf.DUMMYFUNCTION("""COMPUTED_VALUE"""),"Temesi Attila")</f>
        <v>Temesi Attila</v>
      </c>
      <c r="C1149" s="1"/>
      <c r="D1149" s="1" t="str">
        <f ca="1">IFERROR(__xludf.DUMMYFUNCTION("""COMPUTED_VALUE"""),"Férfi")</f>
        <v>Férfi</v>
      </c>
      <c r="E1149" s="1"/>
      <c r="F1149" s="1">
        <f ca="1">IFERROR(__xludf.DUMMYFUNCTION("""COMPUTED_VALUE"""),1972)</f>
        <v>1972</v>
      </c>
      <c r="G1149" s="1">
        <f ca="1">IFERROR(__xludf.DUMMYFUNCTION("""COMPUTED_VALUE"""),2038)</f>
        <v>2038</v>
      </c>
      <c r="H1149" s="1" t="str">
        <f ca="1">IFERROR(__xludf.DUMMYFUNCTION("""COMPUTED_VALUE"""),"MTLSZ002038A21")</f>
        <v>MTLSZ002038A21</v>
      </c>
      <c r="I1149" s="2">
        <f ca="1">IFERROR(__xludf.DUMMYFUNCTION("""COMPUTED_VALUE"""),44230)</f>
        <v>44230</v>
      </c>
      <c r="J1149" s="2">
        <f ca="1">IFERROR(__xludf.DUMMYFUNCTION("""COMPUTED_VALUE"""),44594)</f>
        <v>44594</v>
      </c>
    </row>
    <row r="1150" spans="1:10" x14ac:dyDescent="0.25">
      <c r="A1150" s="1" t="str">
        <f ca="1">IFERROR(__xludf.DUMMYFUNCTION("""COMPUTED_VALUE"""),"Főtaxi SC")</f>
        <v>Főtaxi SC</v>
      </c>
      <c r="B1150" s="1"/>
      <c r="C1150" s="1"/>
      <c r="D1150" s="1"/>
      <c r="E1150" s="1"/>
      <c r="F1150" s="1">
        <f ca="1">IFERROR(__xludf.DUMMYFUNCTION("""COMPUTED_VALUE"""),1899)</f>
        <v>1899</v>
      </c>
      <c r="G1150" s="1">
        <f ca="1">IFERROR(__xludf.DUMMYFUNCTION("""COMPUTED_VALUE"""),4262)</f>
        <v>4262</v>
      </c>
      <c r="H1150" s="1"/>
      <c r="I1150" s="2">
        <f ca="1">IFERROR(__xludf.DUMMYFUNCTION("""COMPUTED_VALUE"""),44230)</f>
        <v>44230</v>
      </c>
      <c r="J1150" s="2">
        <f ca="1">IFERROR(__xludf.DUMMYFUNCTION("""COMPUTED_VALUE"""),44594)</f>
        <v>44594</v>
      </c>
    </row>
    <row r="1151" spans="1:10" x14ac:dyDescent="0.25">
      <c r="A1151" s="1" t="str">
        <f ca="1">IFERROR(__xludf.DUMMYFUNCTION("""COMPUTED_VALUE"""),"Klébi DSE")</f>
        <v>Klébi DSE</v>
      </c>
      <c r="B1151" s="1" t="str">
        <f ca="1">IFERROR(__xludf.DUMMYFUNCTION("""COMPUTED_VALUE"""),"Bőle Balázs")</f>
        <v>Bőle Balázs</v>
      </c>
      <c r="C1151" s="1"/>
      <c r="D1151" s="1" t="str">
        <f ca="1">IFERROR(__xludf.DUMMYFUNCTION("""COMPUTED_VALUE"""),"Férfi")</f>
        <v>Férfi</v>
      </c>
      <c r="E1151" s="1"/>
      <c r="F1151" s="1">
        <f ca="1">IFERROR(__xludf.DUMMYFUNCTION("""COMPUTED_VALUE"""),1972)</f>
        <v>1972</v>
      </c>
      <c r="G1151" s="1">
        <f ca="1">IFERROR(__xludf.DUMMYFUNCTION("""COMPUTED_VALUE"""),4255)</f>
        <v>4255</v>
      </c>
      <c r="H1151" s="1" t="str">
        <f ca="1">IFERROR(__xludf.DUMMYFUNCTION("""COMPUTED_VALUE"""),"MTLSZ004255A21")</f>
        <v>MTLSZ004255A21</v>
      </c>
      <c r="I1151" s="2">
        <f ca="1">IFERROR(__xludf.DUMMYFUNCTION("""COMPUTED_VALUE"""),44230)</f>
        <v>44230</v>
      </c>
      <c r="J1151" s="2">
        <f ca="1">IFERROR(__xludf.DUMMYFUNCTION("""COMPUTED_VALUE"""),44594)</f>
        <v>44594</v>
      </c>
    </row>
    <row r="1152" spans="1:10" x14ac:dyDescent="0.25">
      <c r="A1152" s="1" t="str">
        <f ca="1">IFERROR(__xludf.DUMMYFUNCTION("""COMPUTED_VALUE"""),"Klébi DSE")</f>
        <v>Klébi DSE</v>
      </c>
      <c r="B1152" s="1" t="str">
        <f ca="1">IFERROR(__xludf.DUMMYFUNCTION("""COMPUTED_VALUE"""),"Piros Zsolt")</f>
        <v>Piros Zsolt</v>
      </c>
      <c r="C1152" s="1"/>
      <c r="D1152" s="1" t="str">
        <f ca="1">IFERROR(__xludf.DUMMYFUNCTION("""COMPUTED_VALUE"""),"Férfi")</f>
        <v>Férfi</v>
      </c>
      <c r="E1152" s="1"/>
      <c r="F1152" s="1">
        <f ca="1">IFERROR(__xludf.DUMMYFUNCTION("""COMPUTED_VALUE"""),1979)</f>
        <v>1979</v>
      </c>
      <c r="G1152" s="1">
        <f ca="1">IFERROR(__xludf.DUMMYFUNCTION("""COMPUTED_VALUE"""),4257)</f>
        <v>4257</v>
      </c>
      <c r="H1152" s="1" t="str">
        <f ca="1">IFERROR(__xludf.DUMMYFUNCTION("""COMPUTED_VALUE"""),"MTLSZ004257A21")</f>
        <v>MTLSZ004257A21</v>
      </c>
      <c r="I1152" s="2">
        <f ca="1">IFERROR(__xludf.DUMMYFUNCTION("""COMPUTED_VALUE"""),44230)</f>
        <v>44230</v>
      </c>
      <c r="J1152" s="2">
        <f ca="1">IFERROR(__xludf.DUMMYFUNCTION("""COMPUTED_VALUE"""),44594)</f>
        <v>44594</v>
      </c>
    </row>
    <row r="1153" spans="1:10" x14ac:dyDescent="0.25">
      <c r="A1153" s="1" t="str">
        <f ca="1">IFERROR(__xludf.DUMMYFUNCTION("""COMPUTED_VALUE"""),"Klébi DSE")</f>
        <v>Klébi DSE</v>
      </c>
      <c r="B1153" s="1" t="str">
        <f ca="1">IFERROR(__xludf.DUMMYFUNCTION("""COMPUTED_VALUE"""),"Takách Géza Dr.")</f>
        <v>Takách Géza Dr.</v>
      </c>
      <c r="C1153" s="1"/>
      <c r="D1153" s="1" t="str">
        <f ca="1">IFERROR(__xludf.DUMMYFUNCTION("""COMPUTED_VALUE"""),"Férfi")</f>
        <v>Férfi</v>
      </c>
      <c r="E1153" s="1"/>
      <c r="F1153" s="1">
        <f ca="1">IFERROR(__xludf.DUMMYFUNCTION("""COMPUTED_VALUE"""),1971)</f>
        <v>1971</v>
      </c>
      <c r="G1153" s="1">
        <f ca="1">IFERROR(__xludf.DUMMYFUNCTION("""COMPUTED_VALUE"""),4258)</f>
        <v>4258</v>
      </c>
      <c r="H1153" s="1" t="str">
        <f ca="1">IFERROR(__xludf.DUMMYFUNCTION("""COMPUTED_VALUE"""),"MTLSZ004258A21")</f>
        <v>MTLSZ004258A21</v>
      </c>
      <c r="I1153" s="2">
        <f ca="1">IFERROR(__xludf.DUMMYFUNCTION("""COMPUTED_VALUE"""),44230)</f>
        <v>44230</v>
      </c>
      <c r="J1153" s="2">
        <f ca="1">IFERROR(__xludf.DUMMYFUNCTION("""COMPUTED_VALUE"""),44594)</f>
        <v>44594</v>
      </c>
    </row>
    <row r="1154" spans="1:10" x14ac:dyDescent="0.25">
      <c r="A1154" s="1" t="str">
        <f ca="1">IFERROR(__xludf.DUMMYFUNCTION("""COMPUTED_VALUE"""),"Klébi DSE")</f>
        <v>Klébi DSE</v>
      </c>
      <c r="B1154" s="1" t="str">
        <f ca="1">IFERROR(__xludf.DUMMYFUNCTION("""COMPUTED_VALUE"""),"Tombor Katalin")</f>
        <v>Tombor Katalin</v>
      </c>
      <c r="C1154" s="1"/>
      <c r="D1154" s="1" t="str">
        <f ca="1">IFERROR(__xludf.DUMMYFUNCTION("""COMPUTED_VALUE"""),"Nő")</f>
        <v>Nő</v>
      </c>
      <c r="E1154" s="1"/>
      <c r="F1154" s="1">
        <f ca="1">IFERROR(__xludf.DUMMYFUNCTION("""COMPUTED_VALUE"""),1980)</f>
        <v>1980</v>
      </c>
      <c r="G1154" s="1">
        <f ca="1">IFERROR(__xludf.DUMMYFUNCTION("""COMPUTED_VALUE"""),4256)</f>
        <v>4256</v>
      </c>
      <c r="H1154" s="1" t="str">
        <f ca="1">IFERROR(__xludf.DUMMYFUNCTION("""COMPUTED_VALUE"""),"MTLSZ004256A21")</f>
        <v>MTLSZ004256A21</v>
      </c>
      <c r="I1154" s="2">
        <f ca="1">IFERROR(__xludf.DUMMYFUNCTION("""COMPUTED_VALUE"""),44230)</f>
        <v>44230</v>
      </c>
      <c r="J1154" s="2">
        <f ca="1">IFERROR(__xludf.DUMMYFUNCTION("""COMPUTED_VALUE"""),44594)</f>
        <v>44594</v>
      </c>
    </row>
    <row r="1155" spans="1:10" x14ac:dyDescent="0.25">
      <c r="A1155" s="1" t="str">
        <f ca="1">IFERROR(__xludf.DUMMYFUNCTION("""COMPUTED_VALUE"""),"MEAFC")</f>
        <v>MEAFC</v>
      </c>
      <c r="B1155" s="1" t="str">
        <f ca="1">IFERROR(__xludf.DUMMYFUNCTION("""COMPUTED_VALUE"""),"Kozenkai Richárd Péter")</f>
        <v>Kozenkai Richárd Péter</v>
      </c>
      <c r="C1155" s="1"/>
      <c r="D1155" s="1" t="str">
        <f ca="1">IFERROR(__xludf.DUMMYFUNCTION("""COMPUTED_VALUE"""),"Férfi")</f>
        <v>Férfi</v>
      </c>
      <c r="E1155" s="1"/>
      <c r="F1155" s="1">
        <f ca="1">IFERROR(__xludf.DUMMYFUNCTION("""COMPUTED_VALUE"""),2011)</f>
        <v>2011</v>
      </c>
      <c r="G1155" s="1">
        <f ca="1">IFERROR(__xludf.DUMMYFUNCTION("""COMPUTED_VALUE"""),4272)</f>
        <v>4272</v>
      </c>
      <c r="H1155" s="1" t="str">
        <f ca="1">IFERROR(__xludf.DUMMYFUNCTION("""COMPUTED_VALUE"""),"MTLSZ004272A21")</f>
        <v>MTLSZ004272A21</v>
      </c>
      <c r="I1155" s="2">
        <f ca="1">IFERROR(__xludf.DUMMYFUNCTION("""COMPUTED_VALUE"""),44230)</f>
        <v>44230</v>
      </c>
      <c r="J1155" s="2">
        <f ca="1">IFERROR(__xludf.DUMMYFUNCTION("""COMPUTED_VALUE"""),44594)</f>
        <v>44594</v>
      </c>
    </row>
    <row r="1156" spans="1:10" x14ac:dyDescent="0.25">
      <c r="A1156" s="1" t="str">
        <f ca="1">IFERROR(__xludf.DUMMYFUNCTION("""COMPUTED_VALUE"""),"MEAFC")</f>
        <v>MEAFC</v>
      </c>
      <c r="B1156" s="1" t="str">
        <f ca="1">IFERROR(__xludf.DUMMYFUNCTION("""COMPUTED_VALUE"""),"Szakács Eszter")</f>
        <v>Szakács Eszter</v>
      </c>
      <c r="C1156" s="1"/>
      <c r="D1156" s="1" t="str">
        <f ca="1">IFERROR(__xludf.DUMMYFUNCTION("""COMPUTED_VALUE"""),"Nő")</f>
        <v>Nő</v>
      </c>
      <c r="E1156" s="1"/>
      <c r="F1156" s="1">
        <f ca="1">IFERROR(__xludf.DUMMYFUNCTION("""COMPUTED_VALUE"""),2001)</f>
        <v>2001</v>
      </c>
      <c r="G1156" s="1">
        <f ca="1">IFERROR(__xludf.DUMMYFUNCTION("""COMPUTED_VALUE"""),4271)</f>
        <v>4271</v>
      </c>
      <c r="H1156" s="1" t="str">
        <f ca="1">IFERROR(__xludf.DUMMYFUNCTION("""COMPUTED_VALUE"""),"MTLSZ004271A21")</f>
        <v>MTLSZ004271A21</v>
      </c>
      <c r="I1156" s="2">
        <f ca="1">IFERROR(__xludf.DUMMYFUNCTION("""COMPUTED_VALUE"""),44230)</f>
        <v>44230</v>
      </c>
      <c r="J1156" s="2">
        <f ca="1">IFERROR(__xludf.DUMMYFUNCTION("""COMPUTED_VALUE"""),44594)</f>
        <v>44594</v>
      </c>
    </row>
    <row r="1157" spans="1:10" x14ac:dyDescent="0.25">
      <c r="A1157" s="1" t="str">
        <f ca="1">IFERROR(__xludf.DUMMYFUNCTION("""COMPUTED_VALUE"""),"NYVSC")</f>
        <v>NYVSC</v>
      </c>
      <c r="B1157" s="1" t="str">
        <f ca="1">IFERROR(__xludf.DUMMYFUNCTION("""COMPUTED_VALUE"""),"Fesztóry Sándor")</f>
        <v>Fesztóry Sándor</v>
      </c>
      <c r="C1157" s="1"/>
      <c r="D1157" s="1" t="str">
        <f ca="1">IFERROR(__xludf.DUMMYFUNCTION("""COMPUTED_VALUE"""),"Férfi")</f>
        <v>Férfi</v>
      </c>
      <c r="E1157" s="1"/>
      <c r="F1157" s="1">
        <f ca="1">IFERROR(__xludf.DUMMYFUNCTION("""COMPUTED_VALUE"""),1969)</f>
        <v>1969</v>
      </c>
      <c r="G1157" s="1">
        <f ca="1">IFERROR(__xludf.DUMMYFUNCTION("""COMPUTED_VALUE"""),3253)</f>
        <v>3253</v>
      </c>
      <c r="H1157" s="1" t="str">
        <f ca="1">IFERROR(__xludf.DUMMYFUNCTION("""COMPUTED_VALUE"""),"MTLSZ003253A21")</f>
        <v>MTLSZ003253A21</v>
      </c>
      <c r="I1157" s="2">
        <f ca="1">IFERROR(__xludf.DUMMYFUNCTION("""COMPUTED_VALUE"""),44230)</f>
        <v>44230</v>
      </c>
      <c r="J1157" s="2">
        <f ca="1">IFERROR(__xludf.DUMMYFUNCTION("""COMPUTED_VALUE"""),44594)</f>
        <v>44594</v>
      </c>
    </row>
    <row r="1158" spans="1:10" x14ac:dyDescent="0.25">
      <c r="A1158" s="1" t="str">
        <f ca="1">IFERROR(__xludf.DUMMYFUNCTION("""COMPUTED_VALUE"""),"NYVSC")</f>
        <v>NYVSC</v>
      </c>
      <c r="B1158" s="1" t="str">
        <f ca="1">IFERROR(__xludf.DUMMYFUNCTION("""COMPUTED_VALUE"""),"Hajdu Eszter")</f>
        <v>Hajdu Eszter</v>
      </c>
      <c r="C1158" s="1"/>
      <c r="D1158" s="1" t="str">
        <f ca="1">IFERROR(__xludf.DUMMYFUNCTION("""COMPUTED_VALUE"""),"Nő")</f>
        <v>Nő</v>
      </c>
      <c r="E1158" s="1"/>
      <c r="F1158" s="1">
        <f ca="1">IFERROR(__xludf.DUMMYFUNCTION("""COMPUTED_VALUE"""),2001)</f>
        <v>2001</v>
      </c>
      <c r="G1158" s="1">
        <f ca="1">IFERROR(__xludf.DUMMYFUNCTION("""COMPUTED_VALUE"""),2226)</f>
        <v>2226</v>
      </c>
      <c r="H1158" s="1" t="str">
        <f ca="1">IFERROR(__xludf.DUMMYFUNCTION("""COMPUTED_VALUE"""),"MTLSZ002226A21")</f>
        <v>MTLSZ002226A21</v>
      </c>
      <c r="I1158" s="2">
        <f ca="1">IFERROR(__xludf.DUMMYFUNCTION("""COMPUTED_VALUE"""),44230)</f>
        <v>44230</v>
      </c>
      <c r="J1158" s="2">
        <f ca="1">IFERROR(__xludf.DUMMYFUNCTION("""COMPUTED_VALUE"""),44594)</f>
        <v>44594</v>
      </c>
    </row>
    <row r="1159" spans="1:10" x14ac:dyDescent="0.25">
      <c r="A1159" s="1" t="str">
        <f ca="1">IFERROR(__xludf.DUMMYFUNCTION("""COMPUTED_VALUE"""),"NYVSC")</f>
        <v>NYVSC</v>
      </c>
      <c r="B1159" s="1" t="str">
        <f ca="1">IFERROR(__xludf.DUMMYFUNCTION("""COMPUTED_VALUE"""),"Hajdu Gyula")</f>
        <v>Hajdu Gyula</v>
      </c>
      <c r="C1159" s="1"/>
      <c r="D1159" s="1" t="str">
        <f ca="1">IFERROR(__xludf.DUMMYFUNCTION("""COMPUTED_VALUE"""),"Férfi")</f>
        <v>Férfi</v>
      </c>
      <c r="E1159" s="1"/>
      <c r="F1159" s="1">
        <f ca="1">IFERROR(__xludf.DUMMYFUNCTION("""COMPUTED_VALUE"""),1971)</f>
        <v>1971</v>
      </c>
      <c r="G1159" s="1">
        <f ca="1">IFERROR(__xludf.DUMMYFUNCTION("""COMPUTED_VALUE"""),2017)</f>
        <v>2017</v>
      </c>
      <c r="H1159" s="1" t="str">
        <f ca="1">IFERROR(__xludf.DUMMYFUNCTION("""COMPUTED_VALUE"""),"MTLSZ002017A21")</f>
        <v>MTLSZ002017A21</v>
      </c>
      <c r="I1159" s="2">
        <f ca="1">IFERROR(__xludf.DUMMYFUNCTION("""COMPUTED_VALUE"""),44230)</f>
        <v>44230</v>
      </c>
      <c r="J1159" s="2">
        <f ca="1">IFERROR(__xludf.DUMMYFUNCTION("""COMPUTED_VALUE"""),44594)</f>
        <v>44594</v>
      </c>
    </row>
    <row r="1160" spans="1:10" x14ac:dyDescent="0.25">
      <c r="A1160" s="1" t="str">
        <f ca="1">IFERROR(__xludf.DUMMYFUNCTION("""COMPUTED_VALUE"""),"NYVSC")</f>
        <v>NYVSC</v>
      </c>
      <c r="B1160" s="1" t="str">
        <f ca="1">IFERROR(__xludf.DUMMYFUNCTION("""COMPUTED_VALUE"""),"Hajdu Péter")</f>
        <v>Hajdu Péter</v>
      </c>
      <c r="C1160" s="1"/>
      <c r="D1160" s="1" t="str">
        <f ca="1">IFERROR(__xludf.DUMMYFUNCTION("""COMPUTED_VALUE"""),"Férfi")</f>
        <v>Férfi</v>
      </c>
      <c r="E1160" s="1"/>
      <c r="F1160" s="1">
        <f ca="1">IFERROR(__xludf.DUMMYFUNCTION("""COMPUTED_VALUE"""),1995)</f>
        <v>1995</v>
      </c>
      <c r="G1160" s="1">
        <f ca="1">IFERROR(__xludf.DUMMYFUNCTION("""COMPUTED_VALUE"""),2045)</f>
        <v>2045</v>
      </c>
      <c r="H1160" s="1" t="str">
        <f ca="1">IFERROR(__xludf.DUMMYFUNCTION("""COMPUTED_VALUE"""),"MTLSZ002045A21")</f>
        <v>MTLSZ002045A21</v>
      </c>
      <c r="I1160" s="2">
        <f ca="1">IFERROR(__xludf.DUMMYFUNCTION("""COMPUTED_VALUE"""),44230)</f>
        <v>44230</v>
      </c>
      <c r="J1160" s="2">
        <f ca="1">IFERROR(__xludf.DUMMYFUNCTION("""COMPUTED_VALUE"""),44594)</f>
        <v>44594</v>
      </c>
    </row>
    <row r="1161" spans="1:10" x14ac:dyDescent="0.25">
      <c r="A1161" s="1" t="str">
        <f ca="1">IFERROR(__xludf.DUMMYFUNCTION("""COMPUTED_VALUE"""),"NYVSC")</f>
        <v>NYVSC</v>
      </c>
      <c r="B1161" s="1" t="str">
        <f ca="1">IFERROR(__xludf.DUMMYFUNCTION("""COMPUTED_VALUE"""),"Kovács Tibor")</f>
        <v>Kovács Tibor</v>
      </c>
      <c r="C1161" s="1"/>
      <c r="D1161" s="1" t="str">
        <f ca="1">IFERROR(__xludf.DUMMYFUNCTION("""COMPUTED_VALUE"""),"Férfi")</f>
        <v>Férfi</v>
      </c>
      <c r="E1161" s="1"/>
      <c r="F1161" s="1">
        <f ca="1">IFERROR(__xludf.DUMMYFUNCTION("""COMPUTED_VALUE"""),1958)</f>
        <v>1958</v>
      </c>
      <c r="G1161" s="1">
        <f ca="1">IFERROR(__xludf.DUMMYFUNCTION("""COMPUTED_VALUE"""),4254)</f>
        <v>4254</v>
      </c>
      <c r="H1161" s="1" t="str">
        <f ca="1">IFERROR(__xludf.DUMMYFUNCTION("""COMPUTED_VALUE"""),"MTLSZ004254A21")</f>
        <v>MTLSZ004254A21</v>
      </c>
      <c r="I1161" s="2">
        <f ca="1">IFERROR(__xludf.DUMMYFUNCTION("""COMPUTED_VALUE"""),44230)</f>
        <v>44230</v>
      </c>
      <c r="J1161" s="2">
        <f ca="1">IFERROR(__xludf.DUMMYFUNCTION("""COMPUTED_VALUE"""),44594)</f>
        <v>44594</v>
      </c>
    </row>
    <row r="1162" spans="1:10" x14ac:dyDescent="0.25">
      <c r="A1162" s="1" t="str">
        <f ca="1">IFERROR(__xludf.DUMMYFUNCTION("""COMPUTED_VALUE"""),"NYVSC")</f>
        <v>NYVSC</v>
      </c>
      <c r="B1162" s="1" t="str">
        <f ca="1">IFERROR(__xludf.DUMMYFUNCTION("""COMPUTED_VALUE"""),"Nyéki Soma")</f>
        <v>Nyéki Soma</v>
      </c>
      <c r="C1162" s="1"/>
      <c r="D1162" s="1" t="str">
        <f ca="1">IFERROR(__xludf.DUMMYFUNCTION("""COMPUTED_VALUE"""),"Férfi")</f>
        <v>Férfi</v>
      </c>
      <c r="E1162" s="1"/>
      <c r="F1162" s="1">
        <f ca="1">IFERROR(__xludf.DUMMYFUNCTION("""COMPUTED_VALUE"""),2001)</f>
        <v>2001</v>
      </c>
      <c r="G1162" s="1">
        <f ca="1">IFERROR(__xludf.DUMMYFUNCTION("""COMPUTED_VALUE"""),2245)</f>
        <v>2245</v>
      </c>
      <c r="H1162" s="1" t="str">
        <f ca="1">IFERROR(__xludf.DUMMYFUNCTION("""COMPUTED_VALUE"""),"MTLSZ002245A21")</f>
        <v>MTLSZ002245A21</v>
      </c>
      <c r="I1162" s="2">
        <f ca="1">IFERROR(__xludf.DUMMYFUNCTION("""COMPUTED_VALUE"""),44230)</f>
        <v>44230</v>
      </c>
      <c r="J1162" s="2">
        <f ca="1">IFERROR(__xludf.DUMMYFUNCTION("""COMPUTED_VALUE"""),44594)</f>
        <v>44594</v>
      </c>
    </row>
    <row r="1163" spans="1:10" x14ac:dyDescent="0.25">
      <c r="A1163" s="1" t="str">
        <f ca="1">IFERROR(__xludf.DUMMYFUNCTION("""COMPUTED_VALUE"""),"NYVSC")</f>
        <v>NYVSC</v>
      </c>
      <c r="B1163" s="1" t="str">
        <f ca="1">IFERROR(__xludf.DUMMYFUNCTION("""COMPUTED_VALUE"""),"Nyéki Tünde")</f>
        <v>Nyéki Tünde</v>
      </c>
      <c r="C1163" s="1"/>
      <c r="D1163" s="1" t="str">
        <f ca="1">IFERROR(__xludf.DUMMYFUNCTION("""COMPUTED_VALUE"""),"Nő")</f>
        <v>Nő</v>
      </c>
      <c r="E1163" s="1"/>
      <c r="F1163" s="1">
        <f ca="1">IFERROR(__xludf.DUMMYFUNCTION("""COMPUTED_VALUE"""),1967)</f>
        <v>1967</v>
      </c>
      <c r="G1163" s="1">
        <f ca="1">IFERROR(__xludf.DUMMYFUNCTION("""COMPUTED_VALUE"""),2189)</f>
        <v>2189</v>
      </c>
      <c r="H1163" s="1" t="str">
        <f ca="1">IFERROR(__xludf.DUMMYFUNCTION("""COMPUTED_VALUE"""),"MTLSZ002189A21")</f>
        <v>MTLSZ002189A21</v>
      </c>
      <c r="I1163" s="2">
        <f ca="1">IFERROR(__xludf.DUMMYFUNCTION("""COMPUTED_VALUE"""),44230)</f>
        <v>44230</v>
      </c>
      <c r="J1163" s="2">
        <f ca="1">IFERROR(__xludf.DUMMYFUNCTION("""COMPUTED_VALUE"""),44594)</f>
        <v>44594</v>
      </c>
    </row>
    <row r="1164" spans="1:10" x14ac:dyDescent="0.25">
      <c r="A1164" s="1" t="str">
        <f ca="1">IFERROR(__xludf.DUMMYFUNCTION("""COMPUTED_VALUE"""),"NYVSC")</f>
        <v>NYVSC</v>
      </c>
      <c r="B1164" s="1" t="str">
        <f ca="1">IFERROR(__xludf.DUMMYFUNCTION("""COMPUTED_VALUE"""),"Szepesi Zoltán")</f>
        <v>Szepesi Zoltán</v>
      </c>
      <c r="C1164" s="1"/>
      <c r="D1164" s="1" t="str">
        <f ca="1">IFERROR(__xludf.DUMMYFUNCTION("""COMPUTED_VALUE"""),"Férfi")</f>
        <v>Férfi</v>
      </c>
      <c r="E1164" s="1"/>
      <c r="F1164" s="1">
        <f ca="1">IFERROR(__xludf.DUMMYFUNCTION("""COMPUTED_VALUE"""),1975)</f>
        <v>1975</v>
      </c>
      <c r="G1164" s="1">
        <f ca="1">IFERROR(__xludf.DUMMYFUNCTION("""COMPUTED_VALUE"""),4253)</f>
        <v>4253</v>
      </c>
      <c r="H1164" s="1" t="str">
        <f ca="1">IFERROR(__xludf.DUMMYFUNCTION("""COMPUTED_VALUE"""),"MTLSZ004253A21")</f>
        <v>MTLSZ004253A21</v>
      </c>
      <c r="I1164" s="2">
        <f ca="1">IFERROR(__xludf.DUMMYFUNCTION("""COMPUTED_VALUE"""),44230)</f>
        <v>44230</v>
      </c>
      <c r="J1164" s="2">
        <f ca="1">IFERROR(__xludf.DUMMYFUNCTION("""COMPUTED_VALUE"""),44594)</f>
        <v>44594</v>
      </c>
    </row>
    <row r="1165" spans="1:10" x14ac:dyDescent="0.25">
      <c r="A1165" s="1" t="str">
        <f ca="1">IFERROR(__xludf.DUMMYFUNCTION("""COMPUTED_VALUE"""),"NYVSC")</f>
        <v>NYVSC</v>
      </c>
      <c r="B1165" s="1" t="str">
        <f ca="1">IFERROR(__xludf.DUMMYFUNCTION("""COMPUTED_VALUE"""),"Vaskó Zsolt")</f>
        <v>Vaskó Zsolt</v>
      </c>
      <c r="C1165" s="1"/>
      <c r="D1165" s="1" t="str">
        <f ca="1">IFERROR(__xludf.DUMMYFUNCTION("""COMPUTED_VALUE"""),"Férfi")</f>
        <v>Férfi</v>
      </c>
      <c r="E1165" s="1"/>
      <c r="F1165" s="1">
        <f ca="1">IFERROR(__xludf.DUMMYFUNCTION("""COMPUTED_VALUE"""),1971)</f>
        <v>1971</v>
      </c>
      <c r="G1165" s="1">
        <f ca="1">IFERROR(__xludf.DUMMYFUNCTION("""COMPUTED_VALUE"""),3268)</f>
        <v>3268</v>
      </c>
      <c r="H1165" s="1" t="str">
        <f ca="1">IFERROR(__xludf.DUMMYFUNCTION("""COMPUTED_VALUE"""),"MTLSZ003268A21")</f>
        <v>MTLSZ003268A21</v>
      </c>
      <c r="I1165" s="2">
        <f ca="1">IFERROR(__xludf.DUMMYFUNCTION("""COMPUTED_VALUE"""),44230)</f>
        <v>44230</v>
      </c>
      <c r="J1165" s="2">
        <f ca="1">IFERROR(__xludf.DUMMYFUNCTION("""COMPUTED_VALUE"""),44594)</f>
        <v>44594</v>
      </c>
    </row>
    <row r="1166" spans="1:10" x14ac:dyDescent="0.25">
      <c r="A1166" s="1" t="str">
        <f ca="1">IFERROR(__xludf.DUMMYFUNCTION("""COMPUTED_VALUE"""),"OSC")</f>
        <v>OSC</v>
      </c>
      <c r="B1166" s="1" t="str">
        <f ca="1">IFERROR(__xludf.DUMMYFUNCTION("""COMPUTED_VALUE"""),"Éder Zoltán")</f>
        <v>Éder Zoltán</v>
      </c>
      <c r="C1166" s="1"/>
      <c r="D1166" s="1" t="str">
        <f ca="1">IFERROR(__xludf.DUMMYFUNCTION("""COMPUTED_VALUE"""),"Férfi")</f>
        <v>Férfi</v>
      </c>
      <c r="E1166" s="1"/>
      <c r="F1166" s="1">
        <f ca="1">IFERROR(__xludf.DUMMYFUNCTION("""COMPUTED_VALUE"""),1976)</f>
        <v>1976</v>
      </c>
      <c r="G1166" s="1">
        <f ca="1">IFERROR(__xludf.DUMMYFUNCTION("""COMPUTED_VALUE"""),1779)</f>
        <v>1779</v>
      </c>
      <c r="H1166" s="1" t="str">
        <f ca="1">IFERROR(__xludf.DUMMYFUNCTION("""COMPUTED_VALUE"""),"MTLSZ001779A21")</f>
        <v>MTLSZ001779A21</v>
      </c>
      <c r="I1166" s="2">
        <f ca="1">IFERROR(__xludf.DUMMYFUNCTION("""COMPUTED_VALUE"""),44230)</f>
        <v>44230</v>
      </c>
      <c r="J1166" s="2">
        <f ca="1">IFERROR(__xludf.DUMMYFUNCTION("""COMPUTED_VALUE"""),44594)</f>
        <v>44594</v>
      </c>
    </row>
    <row r="1167" spans="1:10" x14ac:dyDescent="0.25">
      <c r="A1167" s="1" t="str">
        <f ca="1">IFERROR(__xludf.DUMMYFUNCTION("""COMPUTED_VALUE"""),"Tisza TSE")</f>
        <v>Tisza TSE</v>
      </c>
      <c r="B1167" s="1" t="str">
        <f ca="1">IFERROR(__xludf.DUMMYFUNCTION("""COMPUTED_VALUE"""),"Antal-Szabó Réka")</f>
        <v>Antal-Szabó Réka</v>
      </c>
      <c r="C1167" s="1"/>
      <c r="D1167" s="1" t="str">
        <f ca="1">IFERROR(__xludf.DUMMYFUNCTION("""COMPUTED_VALUE"""),"Nő")</f>
        <v>Nő</v>
      </c>
      <c r="E1167" s="1"/>
      <c r="F1167" s="1">
        <f ca="1">IFERROR(__xludf.DUMMYFUNCTION("""COMPUTED_VALUE"""),1984)</f>
        <v>1984</v>
      </c>
      <c r="G1167" s="1">
        <f ca="1">IFERROR(__xludf.DUMMYFUNCTION("""COMPUTED_VALUE"""),4243)</f>
        <v>4243</v>
      </c>
      <c r="H1167" s="1" t="str">
        <f ca="1">IFERROR(__xludf.DUMMYFUNCTION("""COMPUTED_VALUE"""),"MTLSZ004243A21")</f>
        <v>MTLSZ004243A21</v>
      </c>
      <c r="I1167" s="2">
        <f ca="1">IFERROR(__xludf.DUMMYFUNCTION("""COMPUTED_VALUE"""),44230)</f>
        <v>44230</v>
      </c>
      <c r="J1167" s="2">
        <f ca="1">IFERROR(__xludf.DUMMYFUNCTION("""COMPUTED_VALUE"""),44594)</f>
        <v>44594</v>
      </c>
    </row>
    <row r="1168" spans="1:10" x14ac:dyDescent="0.25">
      <c r="A1168" s="1" t="str">
        <f ca="1">IFERROR(__xludf.DUMMYFUNCTION("""COMPUTED_VALUE"""),"Tisza TSE")</f>
        <v>Tisza TSE</v>
      </c>
      <c r="B1168" s="1" t="str">
        <f ca="1">IFERROR(__xludf.DUMMYFUNCTION("""COMPUTED_VALUE"""),"Horváth Zsolt")</f>
        <v>Horváth Zsolt</v>
      </c>
      <c r="C1168" s="1"/>
      <c r="D1168" s="1" t="str">
        <f ca="1">IFERROR(__xludf.DUMMYFUNCTION("""COMPUTED_VALUE"""),"Férfi")</f>
        <v>Férfi</v>
      </c>
      <c r="E1168" s="1"/>
      <c r="F1168" s="1">
        <f ca="1">IFERROR(__xludf.DUMMYFUNCTION("""COMPUTED_VALUE"""),1974)</f>
        <v>1974</v>
      </c>
      <c r="G1168" s="1">
        <f ca="1">IFERROR(__xludf.DUMMYFUNCTION("""COMPUTED_VALUE"""),4252)</f>
        <v>4252</v>
      </c>
      <c r="H1168" s="1" t="str">
        <f ca="1">IFERROR(__xludf.DUMMYFUNCTION("""COMPUTED_VALUE"""),"MTLSZ004252A21")</f>
        <v>MTLSZ004252A21</v>
      </c>
      <c r="I1168" s="2">
        <f ca="1">IFERROR(__xludf.DUMMYFUNCTION("""COMPUTED_VALUE"""),44230)</f>
        <v>44230</v>
      </c>
      <c r="J1168" s="2">
        <f ca="1">IFERROR(__xludf.DUMMYFUNCTION("""COMPUTED_VALUE"""),44594)</f>
        <v>44594</v>
      </c>
    </row>
    <row r="1169" spans="1:10" x14ac:dyDescent="0.25">
      <c r="A1169" s="1" t="str">
        <f ca="1">IFERROR(__xludf.DUMMYFUNCTION("""COMPUTED_VALUE"""),"Tisza TSE")</f>
        <v>Tisza TSE</v>
      </c>
      <c r="B1169" s="1" t="str">
        <f ca="1">IFERROR(__xludf.DUMMYFUNCTION("""COMPUTED_VALUE"""),"Jelenfi Péter")</f>
        <v>Jelenfi Péter</v>
      </c>
      <c r="C1169" s="1"/>
      <c r="D1169" s="1" t="str">
        <f ca="1">IFERROR(__xludf.DUMMYFUNCTION("""COMPUTED_VALUE"""),"Férfi")</f>
        <v>Férfi</v>
      </c>
      <c r="E1169" s="1"/>
      <c r="F1169" s="1">
        <f ca="1">IFERROR(__xludf.DUMMYFUNCTION("""COMPUTED_VALUE"""),1973)</f>
        <v>1973</v>
      </c>
      <c r="G1169" s="1">
        <f ca="1">IFERROR(__xludf.DUMMYFUNCTION("""COMPUTED_VALUE"""),4245)</f>
        <v>4245</v>
      </c>
      <c r="H1169" s="1" t="str">
        <f ca="1">IFERROR(__xludf.DUMMYFUNCTION("""COMPUTED_VALUE"""),"MTLSZ004245A21")</f>
        <v>MTLSZ004245A21</v>
      </c>
      <c r="I1169" s="2">
        <f ca="1">IFERROR(__xludf.DUMMYFUNCTION("""COMPUTED_VALUE"""),44230)</f>
        <v>44230</v>
      </c>
      <c r="J1169" s="2">
        <f ca="1">IFERROR(__xludf.DUMMYFUNCTION("""COMPUTED_VALUE"""),44594)</f>
        <v>44594</v>
      </c>
    </row>
    <row r="1170" spans="1:10" x14ac:dyDescent="0.25">
      <c r="A1170" s="1" t="str">
        <f ca="1">IFERROR(__xludf.DUMMYFUNCTION("""COMPUTED_VALUE"""),"Tisza TSE")</f>
        <v>Tisza TSE</v>
      </c>
      <c r="B1170" s="1" t="str">
        <f ca="1">IFERROR(__xludf.DUMMYFUNCTION("""COMPUTED_VALUE"""),"Lázár Ferenc")</f>
        <v>Lázár Ferenc</v>
      </c>
      <c r="C1170" s="1"/>
      <c r="D1170" s="1" t="str">
        <f ca="1">IFERROR(__xludf.DUMMYFUNCTION("""COMPUTED_VALUE"""),"Férfi")</f>
        <v>Férfi</v>
      </c>
      <c r="E1170" s="1"/>
      <c r="F1170" s="1">
        <f ca="1">IFERROR(__xludf.DUMMYFUNCTION("""COMPUTED_VALUE"""),1968)</f>
        <v>1968</v>
      </c>
      <c r="G1170" s="1">
        <f ca="1">IFERROR(__xludf.DUMMYFUNCTION("""COMPUTED_VALUE"""),4251)</f>
        <v>4251</v>
      </c>
      <c r="H1170" s="1" t="str">
        <f ca="1">IFERROR(__xludf.DUMMYFUNCTION("""COMPUTED_VALUE"""),"MTLSZ004251A21")</f>
        <v>MTLSZ004251A21</v>
      </c>
      <c r="I1170" s="2">
        <f ca="1">IFERROR(__xludf.DUMMYFUNCTION("""COMPUTED_VALUE"""),44230)</f>
        <v>44230</v>
      </c>
      <c r="J1170" s="2">
        <f ca="1">IFERROR(__xludf.DUMMYFUNCTION("""COMPUTED_VALUE"""),44594)</f>
        <v>44594</v>
      </c>
    </row>
    <row r="1171" spans="1:10" x14ac:dyDescent="0.25">
      <c r="A1171" s="1" t="str">
        <f ca="1">IFERROR(__xludf.DUMMYFUNCTION("""COMPUTED_VALUE"""),"Tisza TSE")</f>
        <v>Tisza TSE</v>
      </c>
      <c r="B1171" s="1" t="str">
        <f ca="1">IFERROR(__xludf.DUMMYFUNCTION("""COMPUTED_VALUE"""),"Németh Zoltán")</f>
        <v>Németh Zoltán</v>
      </c>
      <c r="C1171" s="1"/>
      <c r="D1171" s="1" t="str">
        <f ca="1">IFERROR(__xludf.DUMMYFUNCTION("""COMPUTED_VALUE"""),"Férfi")</f>
        <v>Férfi</v>
      </c>
      <c r="E1171" s="1"/>
      <c r="F1171" s="1">
        <f ca="1">IFERROR(__xludf.DUMMYFUNCTION("""COMPUTED_VALUE"""),1968)</f>
        <v>1968</v>
      </c>
      <c r="G1171" s="1">
        <f ca="1">IFERROR(__xludf.DUMMYFUNCTION("""COMPUTED_VALUE"""),4248)</f>
        <v>4248</v>
      </c>
      <c r="H1171" s="1" t="str">
        <f ca="1">IFERROR(__xludf.DUMMYFUNCTION("""COMPUTED_VALUE"""),"MTLSZ004248A21")</f>
        <v>MTLSZ004248A21</v>
      </c>
      <c r="I1171" s="2">
        <f ca="1">IFERROR(__xludf.DUMMYFUNCTION("""COMPUTED_VALUE"""),44230)</f>
        <v>44230</v>
      </c>
      <c r="J1171" s="2">
        <f ca="1">IFERROR(__xludf.DUMMYFUNCTION("""COMPUTED_VALUE"""),44594)</f>
        <v>44594</v>
      </c>
    </row>
    <row r="1172" spans="1:10" x14ac:dyDescent="0.25">
      <c r="A1172" s="1" t="str">
        <f ca="1">IFERROR(__xludf.DUMMYFUNCTION("""COMPUTED_VALUE"""),"Tisza TSE")</f>
        <v>Tisza TSE</v>
      </c>
      <c r="B1172" s="1" t="str">
        <f ca="1">IFERROR(__xludf.DUMMYFUNCTION("""COMPUTED_VALUE"""),"Pataki Erika")</f>
        <v>Pataki Erika</v>
      </c>
      <c r="C1172" s="1"/>
      <c r="D1172" s="1" t="str">
        <f ca="1">IFERROR(__xludf.DUMMYFUNCTION("""COMPUTED_VALUE"""),"Nő")</f>
        <v>Nő</v>
      </c>
      <c r="E1172" s="1"/>
      <c r="F1172" s="1">
        <f ca="1">IFERROR(__xludf.DUMMYFUNCTION("""COMPUTED_VALUE"""),1972)</f>
        <v>1972</v>
      </c>
      <c r="G1172" s="1">
        <f ca="1">IFERROR(__xludf.DUMMYFUNCTION("""COMPUTED_VALUE"""),4250)</f>
        <v>4250</v>
      </c>
      <c r="H1172" s="1" t="str">
        <f ca="1">IFERROR(__xludf.DUMMYFUNCTION("""COMPUTED_VALUE"""),"MTLSZ004250A21")</f>
        <v>MTLSZ004250A21</v>
      </c>
      <c r="I1172" s="2">
        <f ca="1">IFERROR(__xludf.DUMMYFUNCTION("""COMPUTED_VALUE"""),44230)</f>
        <v>44230</v>
      </c>
      <c r="J1172" s="2">
        <f ca="1">IFERROR(__xludf.DUMMYFUNCTION("""COMPUTED_VALUE"""),44594)</f>
        <v>44594</v>
      </c>
    </row>
    <row r="1173" spans="1:10" x14ac:dyDescent="0.25">
      <c r="A1173" s="1" t="str">
        <f ca="1">IFERROR(__xludf.DUMMYFUNCTION("""COMPUTED_VALUE"""),"Tisza TSE")</f>
        <v>Tisza TSE</v>
      </c>
      <c r="B1173" s="1" t="str">
        <f ca="1">IFERROR(__xludf.DUMMYFUNCTION("""COMPUTED_VALUE"""),"Utassy Patrícia Dr.")</f>
        <v>Utassy Patrícia Dr.</v>
      </c>
      <c r="C1173" s="1"/>
      <c r="D1173" s="1" t="str">
        <f ca="1">IFERROR(__xludf.DUMMYFUNCTION("""COMPUTED_VALUE"""),"Nő")</f>
        <v>Nő</v>
      </c>
      <c r="E1173" s="1"/>
      <c r="F1173" s="1">
        <f ca="1">IFERROR(__xludf.DUMMYFUNCTION("""COMPUTED_VALUE"""),1993)</f>
        <v>1993</v>
      </c>
      <c r="G1173" s="1">
        <f ca="1">IFERROR(__xludf.DUMMYFUNCTION("""COMPUTED_VALUE"""),4242)</f>
        <v>4242</v>
      </c>
      <c r="H1173" s="1" t="str">
        <f ca="1">IFERROR(__xludf.DUMMYFUNCTION("""COMPUTED_VALUE"""),"MTLSZ004242A21")</f>
        <v>MTLSZ004242A21</v>
      </c>
      <c r="I1173" s="2">
        <f ca="1">IFERROR(__xludf.DUMMYFUNCTION("""COMPUTED_VALUE"""),44230)</f>
        <v>44230</v>
      </c>
      <c r="J1173" s="2">
        <f ca="1">IFERROR(__xludf.DUMMYFUNCTION("""COMPUTED_VALUE"""),44594)</f>
        <v>44594</v>
      </c>
    </row>
    <row r="1174" spans="1:10" x14ac:dyDescent="0.25">
      <c r="A1174" s="1" t="str">
        <f ca="1">IFERROR(__xludf.DUMMYFUNCTION("""COMPUTED_VALUE"""),"Tisza TSE")</f>
        <v>Tisza TSE</v>
      </c>
      <c r="B1174" s="1" t="str">
        <f ca="1">IFERROR(__xludf.DUMMYFUNCTION("""COMPUTED_VALUE"""),"Várkonyi Miklós")</f>
        <v>Várkonyi Miklós</v>
      </c>
      <c r="C1174" s="1"/>
      <c r="D1174" s="1" t="str">
        <f ca="1">IFERROR(__xludf.DUMMYFUNCTION("""COMPUTED_VALUE"""),"Férfi")</f>
        <v>Férfi</v>
      </c>
      <c r="E1174" s="1"/>
      <c r="F1174" s="1">
        <f ca="1">IFERROR(__xludf.DUMMYFUNCTION("""COMPUTED_VALUE"""),1956)</f>
        <v>1956</v>
      </c>
      <c r="G1174" s="1">
        <f ca="1">IFERROR(__xludf.DUMMYFUNCTION("""COMPUTED_VALUE"""),4244)</f>
        <v>4244</v>
      </c>
      <c r="H1174" s="1" t="str">
        <f ca="1">IFERROR(__xludf.DUMMYFUNCTION("""COMPUTED_VALUE"""),"MTLSZ004244A21")</f>
        <v>MTLSZ004244A21</v>
      </c>
      <c r="I1174" s="2">
        <f ca="1">IFERROR(__xludf.DUMMYFUNCTION("""COMPUTED_VALUE"""),44230)</f>
        <v>44230</v>
      </c>
      <c r="J1174" s="2">
        <f ca="1">IFERROR(__xludf.DUMMYFUNCTION("""COMPUTED_VALUE"""),44594)</f>
        <v>44594</v>
      </c>
    </row>
    <row r="1175" spans="1:10" x14ac:dyDescent="0.25">
      <c r="A1175" s="1" t="str">
        <f ca="1">IFERROR(__xludf.DUMMYFUNCTION("""COMPUTED_VALUE"""),"Tisza TSE")</f>
        <v>Tisza TSE</v>
      </c>
      <c r="B1175" s="1" t="str">
        <f ca="1">IFERROR(__xludf.DUMMYFUNCTION("""COMPUTED_VALUE"""),"Vaszkóné Gémes Mónika")</f>
        <v>Vaszkóné Gémes Mónika</v>
      </c>
      <c r="C1175" s="1"/>
      <c r="D1175" s="1" t="str">
        <f ca="1">IFERROR(__xludf.DUMMYFUNCTION("""COMPUTED_VALUE"""),"Nő")</f>
        <v>Nő</v>
      </c>
      <c r="E1175" s="1"/>
      <c r="F1175" s="1">
        <f ca="1">IFERROR(__xludf.DUMMYFUNCTION("""COMPUTED_VALUE"""),1993)</f>
        <v>1993</v>
      </c>
      <c r="G1175" s="1">
        <f ca="1">IFERROR(__xludf.DUMMYFUNCTION("""COMPUTED_VALUE"""),4246)</f>
        <v>4246</v>
      </c>
      <c r="H1175" s="1" t="str">
        <f ca="1">IFERROR(__xludf.DUMMYFUNCTION("""COMPUTED_VALUE"""),"MTLSZ004246A21")</f>
        <v>MTLSZ004246A21</v>
      </c>
      <c r="I1175" s="2">
        <f ca="1">IFERROR(__xludf.DUMMYFUNCTION("""COMPUTED_VALUE"""),44230)</f>
        <v>44230</v>
      </c>
      <c r="J1175" s="2">
        <f ca="1">IFERROR(__xludf.DUMMYFUNCTION("""COMPUTED_VALUE"""),44594)</f>
        <v>44594</v>
      </c>
    </row>
    <row r="1176" spans="1:10" x14ac:dyDescent="0.25">
      <c r="A1176" s="1" t="str">
        <f ca="1">IFERROR(__xludf.DUMMYFUNCTION("""COMPUTED_VALUE"""),"Tisza TSE")</f>
        <v>Tisza TSE</v>
      </c>
      <c r="B1176" s="1" t="str">
        <f ca="1">IFERROR(__xludf.DUMMYFUNCTION("""COMPUTED_VALUE"""),"Vladiszavlyev Zsanett Dr.")</f>
        <v>Vladiszavlyev Zsanett Dr.</v>
      </c>
      <c r="C1176" s="1"/>
      <c r="D1176" s="1" t="str">
        <f ca="1">IFERROR(__xludf.DUMMYFUNCTION("""COMPUTED_VALUE"""),"Nő")</f>
        <v>Nő</v>
      </c>
      <c r="E1176" s="1"/>
      <c r="F1176" s="1">
        <f ca="1">IFERROR(__xludf.DUMMYFUNCTION("""COMPUTED_VALUE"""),1983)</f>
        <v>1983</v>
      </c>
      <c r="G1176" s="1">
        <f ca="1">IFERROR(__xludf.DUMMYFUNCTION("""COMPUTED_VALUE"""),4249)</f>
        <v>4249</v>
      </c>
      <c r="H1176" s="1" t="str">
        <f ca="1">IFERROR(__xludf.DUMMYFUNCTION("""COMPUTED_VALUE"""),"MTLSZ004249A21")</f>
        <v>MTLSZ004249A21</v>
      </c>
      <c r="I1176" s="2">
        <f ca="1">IFERROR(__xludf.DUMMYFUNCTION("""COMPUTED_VALUE"""),44230)</f>
        <v>44230</v>
      </c>
      <c r="J1176" s="2">
        <f ca="1">IFERROR(__xludf.DUMMYFUNCTION("""COMPUTED_VALUE"""),44594)</f>
        <v>44594</v>
      </c>
    </row>
    <row r="1177" spans="1:10" x14ac:dyDescent="0.25">
      <c r="A1177" s="1" t="str">
        <f ca="1">IFERROR(__xludf.DUMMYFUNCTION("""COMPUTED_VALUE"""),"Veszprémi TE")</f>
        <v>Veszprémi TE</v>
      </c>
      <c r="B1177" s="1" t="str">
        <f ca="1">IFERROR(__xludf.DUMMYFUNCTION("""COMPUTED_VALUE"""),"Rompos Ádám")</f>
        <v>Rompos Ádám</v>
      </c>
      <c r="C1177" s="1"/>
      <c r="D1177" s="1" t="str">
        <f ca="1">IFERROR(__xludf.DUMMYFUNCTION("""COMPUTED_VALUE"""),"Férfi")</f>
        <v>Férfi</v>
      </c>
      <c r="E1177" s="1"/>
      <c r="F1177" s="1">
        <f ca="1">IFERROR(__xludf.DUMMYFUNCTION("""COMPUTED_VALUE"""),1999)</f>
        <v>1999</v>
      </c>
      <c r="G1177" s="1">
        <f ca="1">IFERROR(__xludf.DUMMYFUNCTION("""COMPUTED_VALUE"""),4274)</f>
        <v>4274</v>
      </c>
      <c r="H1177" s="1" t="str">
        <f ca="1">IFERROR(__xludf.DUMMYFUNCTION("""COMPUTED_VALUE"""),"MTLSZ004274A21")</f>
        <v>MTLSZ004274A21</v>
      </c>
      <c r="I1177" s="2">
        <f ca="1">IFERROR(__xludf.DUMMYFUNCTION("""COMPUTED_VALUE"""),44230)</f>
        <v>44230</v>
      </c>
      <c r="J1177" s="2">
        <f ca="1">IFERROR(__xludf.DUMMYFUNCTION("""COMPUTED_VALUE"""),44594)</f>
        <v>44594</v>
      </c>
    </row>
    <row r="1178" spans="1:10" x14ac:dyDescent="0.25">
      <c r="A1178" s="1" t="str">
        <f ca="1">IFERROR(__xludf.DUMMYFUNCTION("""COMPUTED_VALUE"""),"VSD")</f>
        <v>VSD</v>
      </c>
      <c r="B1178" s="1" t="str">
        <f ca="1">IFERROR(__xludf.DUMMYFUNCTION("""COMPUTED_VALUE"""),"Bihari László")</f>
        <v>Bihari László</v>
      </c>
      <c r="C1178" s="1"/>
      <c r="D1178" s="1" t="str">
        <f ca="1">IFERROR(__xludf.DUMMYFUNCTION("""COMPUTED_VALUE"""),"Férfi")</f>
        <v>Férfi</v>
      </c>
      <c r="E1178" s="1"/>
      <c r="F1178" s="1">
        <f ca="1">IFERROR(__xludf.DUMMYFUNCTION("""COMPUTED_VALUE"""),1980)</f>
        <v>1980</v>
      </c>
      <c r="G1178" s="1">
        <f ca="1">IFERROR(__xludf.DUMMYFUNCTION("""COMPUTED_VALUE"""),4267)</f>
        <v>4267</v>
      </c>
      <c r="H1178" s="1" t="str">
        <f ca="1">IFERROR(__xludf.DUMMYFUNCTION("""COMPUTED_VALUE"""),"MTLSZ004267A21")</f>
        <v>MTLSZ004267A21</v>
      </c>
      <c r="I1178" s="2">
        <f ca="1">IFERROR(__xludf.DUMMYFUNCTION("""COMPUTED_VALUE"""),44230)</f>
        <v>44230</v>
      </c>
      <c r="J1178" s="2">
        <f ca="1">IFERROR(__xludf.DUMMYFUNCTION("""COMPUTED_VALUE"""),44594)</f>
        <v>44594</v>
      </c>
    </row>
    <row r="1179" spans="1:10" x14ac:dyDescent="0.25">
      <c r="A1179" s="1" t="str">
        <f ca="1">IFERROR(__xludf.DUMMYFUNCTION("""COMPUTED_VALUE"""),"VSD")</f>
        <v>VSD</v>
      </c>
      <c r="B1179" s="1" t="str">
        <f ca="1">IFERROR(__xludf.DUMMYFUNCTION("""COMPUTED_VALUE"""),"Madiyeva Aigul")</f>
        <v>Madiyeva Aigul</v>
      </c>
      <c r="C1179" s="1"/>
      <c r="D1179" s="1" t="str">
        <f ca="1">IFERROR(__xludf.DUMMYFUNCTION("""COMPUTED_VALUE"""),"Nő")</f>
        <v>Nő</v>
      </c>
      <c r="E1179" s="1"/>
      <c r="F1179" s="1">
        <f ca="1">IFERROR(__xludf.DUMMYFUNCTION("""COMPUTED_VALUE"""),1981)</f>
        <v>1981</v>
      </c>
      <c r="G1179" s="1">
        <f ca="1">IFERROR(__xludf.DUMMYFUNCTION("""COMPUTED_VALUE"""),4264)</f>
        <v>4264</v>
      </c>
      <c r="H1179" s="1" t="str">
        <f ca="1">IFERROR(__xludf.DUMMYFUNCTION("""COMPUTED_VALUE"""),"MTLSZ004264A21")</f>
        <v>MTLSZ004264A21</v>
      </c>
      <c r="I1179" s="2">
        <f ca="1">IFERROR(__xludf.DUMMYFUNCTION("""COMPUTED_VALUE"""),44230)</f>
        <v>44230</v>
      </c>
      <c r="J1179" s="2">
        <f ca="1">IFERROR(__xludf.DUMMYFUNCTION("""COMPUTED_VALUE"""),44594)</f>
        <v>44594</v>
      </c>
    </row>
    <row r="1180" spans="1:10" x14ac:dyDescent="0.25">
      <c r="A1180" s="1" t="str">
        <f ca="1">IFERROR(__xludf.DUMMYFUNCTION("""COMPUTED_VALUE"""),"Főtaxi SC")</f>
        <v>Főtaxi SC</v>
      </c>
      <c r="B1180" s="1"/>
      <c r="C1180" s="1"/>
      <c r="D1180" s="1"/>
      <c r="E1180" s="1"/>
      <c r="F1180" s="1">
        <f ca="1">IFERROR(__xludf.DUMMYFUNCTION("""COMPUTED_VALUE"""),1899)</f>
        <v>1899</v>
      </c>
      <c r="G1180" s="1">
        <f ca="1">IFERROR(__xludf.DUMMYFUNCTION("""COMPUTED_VALUE"""),4239)</f>
        <v>4239</v>
      </c>
      <c r="H1180" s="1"/>
      <c r="I1180" s="2">
        <f ca="1">IFERROR(__xludf.DUMMYFUNCTION("""COMPUTED_VALUE"""),44229)</f>
        <v>44229</v>
      </c>
      <c r="J1180" s="2">
        <f ca="1">IFERROR(__xludf.DUMMYFUNCTION("""COMPUTED_VALUE"""),44593)</f>
        <v>44593</v>
      </c>
    </row>
    <row r="1181" spans="1:10" x14ac:dyDescent="0.25">
      <c r="A1181" s="1" t="str">
        <f ca="1">IFERROR(__xludf.DUMMYFUNCTION("""COMPUTED_VALUE"""),"Klébi DSE")</f>
        <v>Klébi DSE</v>
      </c>
      <c r="B1181" s="1" t="str">
        <f ca="1">IFERROR(__xludf.DUMMYFUNCTION("""COMPUTED_VALUE"""),"Gondos Csaba")</f>
        <v>Gondos Csaba</v>
      </c>
      <c r="C1181" s="1"/>
      <c r="D1181" s="1" t="str">
        <f ca="1">IFERROR(__xludf.DUMMYFUNCTION("""COMPUTED_VALUE"""),"Férfi")</f>
        <v>Férfi</v>
      </c>
      <c r="E1181" s="1"/>
      <c r="F1181" s="1">
        <f ca="1">IFERROR(__xludf.DUMMYFUNCTION("""COMPUTED_VALUE"""),1970)</f>
        <v>1970</v>
      </c>
      <c r="G1181" s="1">
        <f ca="1">IFERROR(__xludf.DUMMYFUNCTION("""COMPUTED_VALUE"""),4236)</f>
        <v>4236</v>
      </c>
      <c r="H1181" s="1" t="str">
        <f ca="1">IFERROR(__xludf.DUMMYFUNCTION("""COMPUTED_VALUE"""),"MTLSZ004236A21")</f>
        <v>MTLSZ004236A21</v>
      </c>
      <c r="I1181" s="2">
        <f ca="1">IFERROR(__xludf.DUMMYFUNCTION("""COMPUTED_VALUE"""),44229)</f>
        <v>44229</v>
      </c>
      <c r="J1181" s="2">
        <f ca="1">IFERROR(__xludf.DUMMYFUNCTION("""COMPUTED_VALUE"""),44593)</f>
        <v>44593</v>
      </c>
    </row>
    <row r="1182" spans="1:10" x14ac:dyDescent="0.25">
      <c r="A1182" s="1" t="str">
        <f ca="1">IFERROR(__xludf.DUMMYFUNCTION("""COMPUTED_VALUE"""),"Klébi DSE")</f>
        <v>Klébi DSE</v>
      </c>
      <c r="B1182" s="1" t="str">
        <f ca="1">IFERROR(__xludf.DUMMYFUNCTION("""COMPUTED_VALUE"""),"Gondos Luca")</f>
        <v>Gondos Luca</v>
      </c>
      <c r="C1182" s="1"/>
      <c r="D1182" s="1" t="str">
        <f ca="1">IFERROR(__xludf.DUMMYFUNCTION("""COMPUTED_VALUE"""),"Nő")</f>
        <v>Nő</v>
      </c>
      <c r="E1182" s="1"/>
      <c r="F1182" s="1">
        <f ca="1">IFERROR(__xludf.DUMMYFUNCTION("""COMPUTED_VALUE"""),1971)</f>
        <v>1971</v>
      </c>
      <c r="G1182" s="1">
        <f ca="1">IFERROR(__xludf.DUMMYFUNCTION("""COMPUTED_VALUE"""),4235)</f>
        <v>4235</v>
      </c>
      <c r="H1182" s="1" t="str">
        <f ca="1">IFERROR(__xludf.DUMMYFUNCTION("""COMPUTED_VALUE"""),"MTLSZ004235A21")</f>
        <v>MTLSZ004235A21</v>
      </c>
      <c r="I1182" s="2">
        <f ca="1">IFERROR(__xludf.DUMMYFUNCTION("""COMPUTED_VALUE"""),44229)</f>
        <v>44229</v>
      </c>
      <c r="J1182" s="2">
        <f ca="1">IFERROR(__xludf.DUMMYFUNCTION("""COMPUTED_VALUE"""),44593)</f>
        <v>44593</v>
      </c>
    </row>
    <row r="1183" spans="1:10" x14ac:dyDescent="0.25">
      <c r="A1183" s="1" t="str">
        <f ca="1">IFERROR(__xludf.DUMMYFUNCTION("""COMPUTED_VALUE"""),"Multi Alarm SE")</f>
        <v>Multi Alarm SE</v>
      </c>
      <c r="B1183" s="1" t="str">
        <f ca="1">IFERROR(__xludf.DUMMYFUNCTION("""COMPUTED_VALUE"""),"Damsa Dániel")</f>
        <v>Damsa Dániel</v>
      </c>
      <c r="C1183" s="1"/>
      <c r="D1183" s="1" t="str">
        <f ca="1">IFERROR(__xludf.DUMMYFUNCTION("""COMPUTED_VALUE"""),"Férfi")</f>
        <v>Férfi</v>
      </c>
      <c r="E1183" s="1"/>
      <c r="F1183" s="1">
        <f ca="1">IFERROR(__xludf.DUMMYFUNCTION("""COMPUTED_VALUE"""),1979)</f>
        <v>1979</v>
      </c>
      <c r="G1183" s="1">
        <f ca="1">IFERROR(__xludf.DUMMYFUNCTION("""COMPUTED_VALUE"""),4227)</f>
        <v>4227</v>
      </c>
      <c r="H1183" s="1" t="str">
        <f ca="1">IFERROR(__xludf.DUMMYFUNCTION("""COMPUTED_VALUE"""),"MTLSZ004227A21")</f>
        <v>MTLSZ004227A21</v>
      </c>
      <c r="I1183" s="2">
        <f ca="1">IFERROR(__xludf.DUMMYFUNCTION("""COMPUTED_VALUE"""),44229)</f>
        <v>44229</v>
      </c>
      <c r="J1183" s="2">
        <f ca="1">IFERROR(__xludf.DUMMYFUNCTION("""COMPUTED_VALUE"""),44593)</f>
        <v>44593</v>
      </c>
    </row>
    <row r="1184" spans="1:10" x14ac:dyDescent="0.25">
      <c r="A1184" s="1" t="str">
        <f ca="1">IFERROR(__xludf.DUMMYFUNCTION("""COMPUTED_VALUE"""),"Multi Alarm SE")</f>
        <v>Multi Alarm SE</v>
      </c>
      <c r="B1184" s="1" t="str">
        <f ca="1">IFERROR(__xludf.DUMMYFUNCTION("""COMPUTED_VALUE"""),"Palotai Tamás")</f>
        <v>Palotai Tamás</v>
      </c>
      <c r="C1184" s="1"/>
      <c r="D1184" s="1" t="str">
        <f ca="1">IFERROR(__xludf.DUMMYFUNCTION("""COMPUTED_VALUE"""),"Férfi")</f>
        <v>Férfi</v>
      </c>
      <c r="E1184" s="1"/>
      <c r="F1184" s="1">
        <f ca="1">IFERROR(__xludf.DUMMYFUNCTION("""COMPUTED_VALUE"""),1983)</f>
        <v>1983</v>
      </c>
      <c r="G1184" s="1">
        <f ca="1">IFERROR(__xludf.DUMMYFUNCTION("""COMPUTED_VALUE"""),1964)</f>
        <v>1964</v>
      </c>
      <c r="H1184" s="1" t="str">
        <f ca="1">IFERROR(__xludf.DUMMYFUNCTION("""COMPUTED_VALUE"""),"MTLSZ001964A21")</f>
        <v>MTLSZ001964A21</v>
      </c>
      <c r="I1184" s="2">
        <f ca="1">IFERROR(__xludf.DUMMYFUNCTION("""COMPUTED_VALUE"""),44229)</f>
        <v>44229</v>
      </c>
      <c r="J1184" s="2">
        <f ca="1">IFERROR(__xludf.DUMMYFUNCTION("""COMPUTED_VALUE"""),44593)</f>
        <v>44593</v>
      </c>
    </row>
    <row r="1185" spans="1:10" x14ac:dyDescent="0.25">
      <c r="A1185" s="1" t="str">
        <f ca="1">IFERROR(__xludf.DUMMYFUNCTION("""COMPUTED_VALUE"""),"Szegedi TSE")</f>
        <v>Szegedi TSE</v>
      </c>
      <c r="B1185" s="1" t="str">
        <f ca="1">IFERROR(__xludf.DUMMYFUNCTION("""COMPUTED_VALUE"""),"Farkasné Kutasi Katalin")</f>
        <v>Farkasné Kutasi Katalin</v>
      </c>
      <c r="C1185" s="1"/>
      <c r="D1185" s="1" t="str">
        <f ca="1">IFERROR(__xludf.DUMMYFUNCTION("""COMPUTED_VALUE"""),"Nő")</f>
        <v>Nő</v>
      </c>
      <c r="E1185" s="1"/>
      <c r="F1185" s="1">
        <f ca="1">IFERROR(__xludf.DUMMYFUNCTION("""COMPUTED_VALUE"""),1971)</f>
        <v>1971</v>
      </c>
      <c r="G1185" s="1">
        <f ca="1">IFERROR(__xludf.DUMMYFUNCTION("""COMPUTED_VALUE"""),4237)</f>
        <v>4237</v>
      </c>
      <c r="H1185" s="1" t="str">
        <f ca="1">IFERROR(__xludf.DUMMYFUNCTION("""COMPUTED_VALUE"""),"MTLSZ004237A21")</f>
        <v>MTLSZ004237A21</v>
      </c>
      <c r="I1185" s="2">
        <f ca="1">IFERROR(__xludf.DUMMYFUNCTION("""COMPUTED_VALUE"""),44229)</f>
        <v>44229</v>
      </c>
      <c r="J1185" s="2">
        <f ca="1">IFERROR(__xludf.DUMMYFUNCTION("""COMPUTED_VALUE"""),44593)</f>
        <v>44593</v>
      </c>
    </row>
    <row r="1186" spans="1:10" x14ac:dyDescent="0.25">
      <c r="A1186" s="1" t="str">
        <f ca="1">IFERROR(__xludf.DUMMYFUNCTION("""COMPUTED_VALUE"""),"Szegedi TSE")</f>
        <v>Szegedi TSE</v>
      </c>
      <c r="B1186" s="1" t="str">
        <f ca="1">IFERROR(__xludf.DUMMYFUNCTION("""COMPUTED_VALUE"""),"Szántó Gergely Dr.")</f>
        <v>Szántó Gergely Dr.</v>
      </c>
      <c r="C1186" s="1"/>
      <c r="D1186" s="1" t="str">
        <f ca="1">IFERROR(__xludf.DUMMYFUNCTION("""COMPUTED_VALUE"""),"Férfi")</f>
        <v>Férfi</v>
      </c>
      <c r="E1186" s="1"/>
      <c r="F1186" s="1">
        <f ca="1">IFERROR(__xludf.DUMMYFUNCTION("""COMPUTED_VALUE"""),1969)</f>
        <v>1969</v>
      </c>
      <c r="G1186" s="1">
        <f ca="1">IFERROR(__xludf.DUMMYFUNCTION("""COMPUTED_VALUE"""),4234)</f>
        <v>4234</v>
      </c>
      <c r="H1186" s="1" t="str">
        <f ca="1">IFERROR(__xludf.DUMMYFUNCTION("""COMPUTED_VALUE"""),"MTLSZ004234A21")</f>
        <v>MTLSZ004234A21</v>
      </c>
      <c r="I1186" s="2">
        <f ca="1">IFERROR(__xludf.DUMMYFUNCTION("""COMPUTED_VALUE"""),44229)</f>
        <v>44229</v>
      </c>
      <c r="J1186" s="2">
        <f ca="1">IFERROR(__xludf.DUMMYFUNCTION("""COMPUTED_VALUE"""),44593)</f>
        <v>44593</v>
      </c>
    </row>
    <row r="1187" spans="1:10" x14ac:dyDescent="0.25">
      <c r="A1187" s="1" t="str">
        <f ca="1">IFERROR(__xludf.DUMMYFUNCTION("""COMPUTED_VALUE"""),"Újpest TSE")</f>
        <v>Újpest TSE</v>
      </c>
      <c r="B1187" s="1" t="str">
        <f ca="1">IFERROR(__xludf.DUMMYFUNCTION("""COMPUTED_VALUE"""),"Szkocsovszky Sára")</f>
        <v>Szkocsovszky Sára</v>
      </c>
      <c r="C1187" s="1"/>
      <c r="D1187" s="1" t="str">
        <f ca="1">IFERROR(__xludf.DUMMYFUNCTION("""COMPUTED_VALUE"""),"Nő")</f>
        <v>Nő</v>
      </c>
      <c r="E1187" s="1"/>
      <c r="F1187" s="1">
        <f ca="1">IFERROR(__xludf.DUMMYFUNCTION("""COMPUTED_VALUE"""),1986)</f>
        <v>1986</v>
      </c>
      <c r="G1187" s="1">
        <f ca="1">IFERROR(__xludf.DUMMYFUNCTION("""COMPUTED_VALUE"""),4238)</f>
        <v>4238</v>
      </c>
      <c r="H1187" s="1" t="str">
        <f ca="1">IFERROR(__xludf.DUMMYFUNCTION("""COMPUTED_VALUE"""),"MTLSZ004238A21")</f>
        <v>MTLSZ004238A21</v>
      </c>
      <c r="I1187" s="2">
        <f ca="1">IFERROR(__xludf.DUMMYFUNCTION("""COMPUTED_VALUE"""),44229)</f>
        <v>44229</v>
      </c>
      <c r="J1187" s="2">
        <f ca="1">IFERROR(__xludf.DUMMYFUNCTION("""COMPUTED_VALUE"""),44593)</f>
        <v>44593</v>
      </c>
    </row>
    <row r="1188" spans="1:10" x14ac:dyDescent="0.25">
      <c r="A1188" s="1" t="str">
        <f ca="1">IFERROR(__xludf.DUMMYFUNCTION("""COMPUTED_VALUE"""),"Universitas SC")</f>
        <v>Universitas SC</v>
      </c>
      <c r="B1188" s="1" t="str">
        <f ca="1">IFERROR(__xludf.DUMMYFUNCTION("""COMPUTED_VALUE"""),"Veszprémi László dr.")</f>
        <v>Veszprémi László dr.</v>
      </c>
      <c r="C1188" s="1"/>
      <c r="D1188" s="1" t="str">
        <f ca="1">IFERROR(__xludf.DUMMYFUNCTION("""COMPUTED_VALUE"""),"Férfi")</f>
        <v>Férfi</v>
      </c>
      <c r="E1188" s="1"/>
      <c r="F1188" s="1">
        <f ca="1">IFERROR(__xludf.DUMMYFUNCTION("""COMPUTED_VALUE"""),1953)</f>
        <v>1953</v>
      </c>
      <c r="G1188" s="1">
        <f ca="1">IFERROR(__xludf.DUMMYFUNCTION("""COMPUTED_VALUE"""),1372)</f>
        <v>1372</v>
      </c>
      <c r="H1188" s="1" t="str">
        <f ca="1">IFERROR(__xludf.DUMMYFUNCTION("""COMPUTED_VALUE"""),"MTLSZ001372A21")</f>
        <v>MTLSZ001372A21</v>
      </c>
      <c r="I1188" s="2">
        <f ca="1">IFERROR(__xludf.DUMMYFUNCTION("""COMPUTED_VALUE"""),44229)</f>
        <v>44229</v>
      </c>
      <c r="J1188" s="2">
        <f ca="1">IFERROR(__xludf.DUMMYFUNCTION("""COMPUTED_VALUE"""),44593)</f>
        <v>44593</v>
      </c>
    </row>
    <row r="1189" spans="1:10" x14ac:dyDescent="0.25">
      <c r="A1189" s="1" t="str">
        <f ca="1">IFERROR(__xludf.DUMMYFUNCTION("""COMPUTED_VALUE"""),"Dunakanyar TSE")</f>
        <v>Dunakanyar TSE</v>
      </c>
      <c r="B1189" s="1" t="str">
        <f ca="1">IFERROR(__xludf.DUMMYFUNCTION("""COMPUTED_VALUE"""),"Bellaagh László")</f>
        <v>Bellaagh László</v>
      </c>
      <c r="C1189" s="1"/>
      <c r="D1189" s="1" t="str">
        <f ca="1">IFERROR(__xludf.DUMMYFUNCTION("""COMPUTED_VALUE"""),"Férfi")</f>
        <v>Férfi</v>
      </c>
      <c r="E1189" s="1"/>
      <c r="F1189" s="1">
        <f ca="1">IFERROR(__xludf.DUMMYFUNCTION("""COMPUTED_VALUE"""),1951)</f>
        <v>1951</v>
      </c>
      <c r="G1189" s="1">
        <f ca="1">IFERROR(__xludf.DUMMYFUNCTION("""COMPUTED_VALUE"""),4220)</f>
        <v>4220</v>
      </c>
      <c r="H1189" s="1" t="str">
        <f ca="1">IFERROR(__xludf.DUMMYFUNCTION("""COMPUTED_VALUE"""),"MTLSZ004220A21")</f>
        <v>MTLSZ004220A21</v>
      </c>
      <c r="I1189" s="2">
        <f ca="1">IFERROR(__xludf.DUMMYFUNCTION("""COMPUTED_VALUE"""),44224)</f>
        <v>44224</v>
      </c>
      <c r="J1189" s="2">
        <f ca="1">IFERROR(__xludf.DUMMYFUNCTION("""COMPUTED_VALUE"""),44588)</f>
        <v>44588</v>
      </c>
    </row>
    <row r="1190" spans="1:10" x14ac:dyDescent="0.25">
      <c r="A1190" s="1" t="str">
        <f ca="1">IFERROR(__xludf.DUMMYFUNCTION("""COMPUTED_VALUE"""),"Dunakanyar TSE")</f>
        <v>Dunakanyar TSE</v>
      </c>
      <c r="B1190" s="1" t="str">
        <f ca="1">IFERROR(__xludf.DUMMYFUNCTION("""COMPUTED_VALUE"""),"Borzsák Jenő")</f>
        <v>Borzsák Jenő</v>
      </c>
      <c r="C1190" s="1"/>
      <c r="D1190" s="1" t="str">
        <f ca="1">IFERROR(__xludf.DUMMYFUNCTION("""COMPUTED_VALUE"""),"Férfi")</f>
        <v>Férfi</v>
      </c>
      <c r="E1190" s="1"/>
      <c r="F1190" s="1">
        <f ca="1">IFERROR(__xludf.DUMMYFUNCTION("""COMPUTED_VALUE"""),1950)</f>
        <v>1950</v>
      </c>
      <c r="G1190" s="1">
        <f ca="1">IFERROR(__xludf.DUMMYFUNCTION("""COMPUTED_VALUE"""),4219)</f>
        <v>4219</v>
      </c>
      <c r="H1190" s="1" t="str">
        <f ca="1">IFERROR(__xludf.DUMMYFUNCTION("""COMPUTED_VALUE"""),"MTLSZ004219A21")</f>
        <v>MTLSZ004219A21</v>
      </c>
      <c r="I1190" s="2">
        <f ca="1">IFERROR(__xludf.DUMMYFUNCTION("""COMPUTED_VALUE"""),44224)</f>
        <v>44224</v>
      </c>
      <c r="J1190" s="2">
        <f ca="1">IFERROR(__xludf.DUMMYFUNCTION("""COMPUTED_VALUE"""),44588)</f>
        <v>44588</v>
      </c>
    </row>
    <row r="1191" spans="1:10" x14ac:dyDescent="0.25">
      <c r="A1191" s="1" t="str">
        <f ca="1">IFERROR(__xludf.DUMMYFUNCTION("""COMPUTED_VALUE"""),"Életmód SE")</f>
        <v>Életmód SE</v>
      </c>
      <c r="B1191" s="1" t="str">
        <f ca="1">IFERROR(__xludf.DUMMYFUNCTION("""COMPUTED_VALUE"""),"Bíró Máté")</f>
        <v>Bíró Máté</v>
      </c>
      <c r="C1191" s="1"/>
      <c r="D1191" s="1" t="str">
        <f ca="1">IFERROR(__xludf.DUMMYFUNCTION("""COMPUTED_VALUE"""),"Férfi")</f>
        <v>Férfi</v>
      </c>
      <c r="E1191" s="1"/>
      <c r="F1191" s="1">
        <f ca="1">IFERROR(__xludf.DUMMYFUNCTION("""COMPUTED_VALUE"""),1994)</f>
        <v>1994</v>
      </c>
      <c r="G1191" s="1">
        <f ca="1">IFERROR(__xludf.DUMMYFUNCTION("""COMPUTED_VALUE"""),4215)</f>
        <v>4215</v>
      </c>
      <c r="H1191" s="1" t="str">
        <f ca="1">IFERROR(__xludf.DUMMYFUNCTION("""COMPUTED_VALUE"""),"MTLSZ004215A21")</f>
        <v>MTLSZ004215A21</v>
      </c>
      <c r="I1191" s="2">
        <f ca="1">IFERROR(__xludf.DUMMYFUNCTION("""COMPUTED_VALUE"""),44224)</f>
        <v>44224</v>
      </c>
      <c r="J1191" s="2">
        <f ca="1">IFERROR(__xludf.DUMMYFUNCTION("""COMPUTED_VALUE"""),44588)</f>
        <v>44588</v>
      </c>
    </row>
    <row r="1192" spans="1:10" x14ac:dyDescent="0.25">
      <c r="A1192" s="1" t="str">
        <f ca="1">IFERROR(__xludf.DUMMYFUNCTION("""COMPUTED_VALUE"""),"Életmód SE")</f>
        <v>Életmód SE</v>
      </c>
      <c r="B1192" s="1" t="str">
        <f ca="1">IFERROR(__xludf.DUMMYFUNCTION("""COMPUTED_VALUE"""),"Pintér Ferenc")</f>
        <v>Pintér Ferenc</v>
      </c>
      <c r="C1192" s="1"/>
      <c r="D1192" s="1" t="str">
        <f ca="1">IFERROR(__xludf.DUMMYFUNCTION("""COMPUTED_VALUE"""),"Férfi")</f>
        <v>Férfi</v>
      </c>
      <c r="E1192" s="1"/>
      <c r="F1192" s="1">
        <f ca="1">IFERROR(__xludf.DUMMYFUNCTION("""COMPUTED_VALUE"""),1996)</f>
        <v>1996</v>
      </c>
      <c r="G1192" s="1">
        <f ca="1">IFERROR(__xludf.DUMMYFUNCTION("""COMPUTED_VALUE"""),4217)</f>
        <v>4217</v>
      </c>
      <c r="H1192" s="1" t="str">
        <f ca="1">IFERROR(__xludf.DUMMYFUNCTION("""COMPUTED_VALUE"""),"MTLSZ004217A21")</f>
        <v>MTLSZ004217A21</v>
      </c>
      <c r="I1192" s="2">
        <f ca="1">IFERROR(__xludf.DUMMYFUNCTION("""COMPUTED_VALUE"""),44224)</f>
        <v>44224</v>
      </c>
      <c r="J1192" s="2">
        <f ca="1">IFERROR(__xludf.DUMMYFUNCTION("""COMPUTED_VALUE"""),44588)</f>
        <v>44588</v>
      </c>
    </row>
    <row r="1193" spans="1:10" x14ac:dyDescent="0.25">
      <c r="A1193" s="1" t="str">
        <f ca="1">IFERROR(__xludf.DUMMYFUNCTION("""COMPUTED_VALUE"""),"Életmód SE")</f>
        <v>Életmód SE</v>
      </c>
      <c r="B1193" s="1" t="str">
        <f ca="1">IFERROR(__xludf.DUMMYFUNCTION("""COMPUTED_VALUE"""),"Rajnai Gábor")</f>
        <v>Rajnai Gábor</v>
      </c>
      <c r="C1193" s="1"/>
      <c r="D1193" s="1" t="str">
        <f ca="1">IFERROR(__xludf.DUMMYFUNCTION("""COMPUTED_VALUE"""),"Férfi")</f>
        <v>Férfi</v>
      </c>
      <c r="E1193" s="1"/>
      <c r="F1193" s="1">
        <f ca="1">IFERROR(__xludf.DUMMYFUNCTION("""COMPUTED_VALUE"""),1983)</f>
        <v>1983</v>
      </c>
      <c r="G1193" s="1">
        <f ca="1">IFERROR(__xludf.DUMMYFUNCTION("""COMPUTED_VALUE"""),4218)</f>
        <v>4218</v>
      </c>
      <c r="H1193" s="1" t="str">
        <f ca="1">IFERROR(__xludf.DUMMYFUNCTION("""COMPUTED_VALUE"""),"MTLSZ004218A21")</f>
        <v>MTLSZ004218A21</v>
      </c>
      <c r="I1193" s="2">
        <f ca="1">IFERROR(__xludf.DUMMYFUNCTION("""COMPUTED_VALUE"""),44224)</f>
        <v>44224</v>
      </c>
      <c r="J1193" s="2">
        <f ca="1">IFERROR(__xludf.DUMMYFUNCTION("""COMPUTED_VALUE"""),44588)</f>
        <v>44588</v>
      </c>
    </row>
    <row r="1194" spans="1:10" x14ac:dyDescent="0.25">
      <c r="A1194" s="1" t="str">
        <f ca="1">IFERROR(__xludf.DUMMYFUNCTION("""COMPUTED_VALUE"""),"Életmód SE")</f>
        <v>Életmód SE</v>
      </c>
      <c r="B1194" s="1" t="str">
        <f ca="1">IFERROR(__xludf.DUMMYFUNCTION("""COMPUTED_VALUE"""),"Szabó Roland Zsolt")</f>
        <v>Szabó Roland Zsolt</v>
      </c>
      <c r="C1194" s="1"/>
      <c r="D1194" s="1" t="str">
        <f ca="1">IFERROR(__xludf.DUMMYFUNCTION("""COMPUTED_VALUE"""),"Férfi")</f>
        <v>Férfi</v>
      </c>
      <c r="E1194" s="1"/>
      <c r="F1194" s="1">
        <f ca="1">IFERROR(__xludf.DUMMYFUNCTION("""COMPUTED_VALUE"""),1993)</f>
        <v>1993</v>
      </c>
      <c r="G1194" s="1">
        <f ca="1">IFERROR(__xludf.DUMMYFUNCTION("""COMPUTED_VALUE"""),4216)</f>
        <v>4216</v>
      </c>
      <c r="H1194" s="1" t="str">
        <f ca="1">IFERROR(__xludf.DUMMYFUNCTION("""COMPUTED_VALUE"""),"MTLSZ004216A21")</f>
        <v>MTLSZ004216A21</v>
      </c>
      <c r="I1194" s="2">
        <f ca="1">IFERROR(__xludf.DUMMYFUNCTION("""COMPUTED_VALUE"""),44224)</f>
        <v>44224</v>
      </c>
      <c r="J1194" s="2">
        <f ca="1">IFERROR(__xludf.DUMMYFUNCTION("""COMPUTED_VALUE"""),44588)</f>
        <v>44588</v>
      </c>
    </row>
    <row r="1195" spans="1:10" x14ac:dyDescent="0.25">
      <c r="A1195" s="1" t="str">
        <f ca="1">IFERROR(__xludf.DUMMYFUNCTION("""COMPUTED_VALUE"""),"Formás SE")</f>
        <v>Formás SE</v>
      </c>
      <c r="B1195" s="1" t="str">
        <f ca="1">IFERROR(__xludf.DUMMYFUNCTION("""COMPUTED_VALUE"""),"Bernáth Beáta")</f>
        <v>Bernáth Beáta</v>
      </c>
      <c r="C1195" s="1"/>
      <c r="D1195" s="1" t="str">
        <f ca="1">IFERROR(__xludf.DUMMYFUNCTION("""COMPUTED_VALUE"""),"Nő")</f>
        <v>Nő</v>
      </c>
      <c r="E1195" s="1"/>
      <c r="F1195" s="1">
        <f ca="1">IFERROR(__xludf.DUMMYFUNCTION("""COMPUTED_VALUE"""),1975)</f>
        <v>1975</v>
      </c>
      <c r="G1195" s="1">
        <f ca="1">IFERROR(__xludf.DUMMYFUNCTION("""COMPUTED_VALUE"""),4214)</f>
        <v>4214</v>
      </c>
      <c r="H1195" s="1" t="str">
        <f ca="1">IFERROR(__xludf.DUMMYFUNCTION("""COMPUTED_VALUE"""),"MTLSZ004214A21")</f>
        <v>MTLSZ004214A21</v>
      </c>
      <c r="I1195" s="2">
        <f ca="1">IFERROR(__xludf.DUMMYFUNCTION("""COMPUTED_VALUE"""),44224)</f>
        <v>44224</v>
      </c>
      <c r="J1195" s="2">
        <f ca="1">IFERROR(__xludf.DUMMYFUNCTION("""COMPUTED_VALUE"""),44588)</f>
        <v>44588</v>
      </c>
    </row>
    <row r="1196" spans="1:10" x14ac:dyDescent="0.25">
      <c r="A1196" s="1" t="str">
        <f ca="1">IFERROR(__xludf.DUMMYFUNCTION("""COMPUTED_VALUE"""),"Formás SE")</f>
        <v>Formás SE</v>
      </c>
      <c r="B1196" s="1" t="str">
        <f ca="1">IFERROR(__xludf.DUMMYFUNCTION("""COMPUTED_VALUE"""),"Szűcs Judit")</f>
        <v>Szűcs Judit</v>
      </c>
      <c r="C1196" s="1"/>
      <c r="D1196" s="1" t="str">
        <f ca="1">IFERROR(__xludf.DUMMYFUNCTION("""COMPUTED_VALUE"""),"Nő")</f>
        <v>Nő</v>
      </c>
      <c r="E1196" s="1"/>
      <c r="F1196" s="1">
        <f ca="1">IFERROR(__xludf.DUMMYFUNCTION("""COMPUTED_VALUE"""),1970)</f>
        <v>1970</v>
      </c>
      <c r="G1196" s="1">
        <f ca="1">IFERROR(__xludf.DUMMYFUNCTION("""COMPUTED_VALUE"""),4213)</f>
        <v>4213</v>
      </c>
      <c r="H1196" s="1" t="str">
        <f ca="1">IFERROR(__xludf.DUMMYFUNCTION("""COMPUTED_VALUE"""),"MTLSZ004213A21")</f>
        <v>MTLSZ004213A21</v>
      </c>
      <c r="I1196" s="2">
        <f ca="1">IFERROR(__xludf.DUMMYFUNCTION("""COMPUTED_VALUE"""),44224)</f>
        <v>44224</v>
      </c>
      <c r="J1196" s="2">
        <f ca="1">IFERROR(__xludf.DUMMYFUNCTION("""COMPUTED_VALUE"""),44588)</f>
        <v>44588</v>
      </c>
    </row>
    <row r="1197" spans="1:10" x14ac:dyDescent="0.25">
      <c r="A1197" s="1" t="str">
        <f ca="1">IFERROR(__xludf.DUMMYFUNCTION("""COMPUTED_VALUE"""),"Formás SE")</f>
        <v>Formás SE</v>
      </c>
      <c r="B1197" s="1" t="str">
        <f ca="1">IFERROR(__xludf.DUMMYFUNCTION("""COMPUTED_VALUE"""),"Vékes Attila")</f>
        <v>Vékes Attila</v>
      </c>
      <c r="C1197" s="1"/>
      <c r="D1197" s="1" t="str">
        <f ca="1">IFERROR(__xludf.DUMMYFUNCTION("""COMPUTED_VALUE"""),"Férfi")</f>
        <v>Férfi</v>
      </c>
      <c r="E1197" s="1"/>
      <c r="F1197" s="1">
        <f ca="1">IFERROR(__xludf.DUMMYFUNCTION("""COMPUTED_VALUE"""),1977)</f>
        <v>1977</v>
      </c>
      <c r="G1197" s="1">
        <f ca="1">IFERROR(__xludf.DUMMYFUNCTION("""COMPUTED_VALUE"""),4212)</f>
        <v>4212</v>
      </c>
      <c r="H1197" s="1" t="str">
        <f ca="1">IFERROR(__xludf.DUMMYFUNCTION("""COMPUTED_VALUE"""),"MTLSZ004212A21")</f>
        <v>MTLSZ004212A21</v>
      </c>
      <c r="I1197" s="2">
        <f ca="1">IFERROR(__xludf.DUMMYFUNCTION("""COMPUTED_VALUE"""),44224)</f>
        <v>44224</v>
      </c>
      <c r="J1197" s="2">
        <f ca="1">IFERROR(__xludf.DUMMYFUNCTION("""COMPUTED_VALUE"""),44588)</f>
        <v>44588</v>
      </c>
    </row>
    <row r="1198" spans="1:10" x14ac:dyDescent="0.25">
      <c r="A1198" s="1" t="str">
        <f ca="1">IFERROR(__xludf.DUMMYFUNCTION("""COMPUTED_VALUE"""),"Vízművek SK")</f>
        <v>Vízművek SK</v>
      </c>
      <c r="B1198" s="1" t="str">
        <f ca="1">IFERROR(__xludf.DUMMYFUNCTION("""COMPUTED_VALUE"""),"Andersen Viktória")</f>
        <v>Andersen Viktória</v>
      </c>
      <c r="C1198" s="1"/>
      <c r="D1198" s="1" t="str">
        <f ca="1">IFERROR(__xludf.DUMMYFUNCTION("""COMPUTED_VALUE"""),"Nő")</f>
        <v>Nő</v>
      </c>
      <c r="E1198" s="1"/>
      <c r="F1198" s="1">
        <f ca="1">IFERROR(__xludf.DUMMYFUNCTION("""COMPUTED_VALUE"""),1974)</f>
        <v>1974</v>
      </c>
      <c r="G1198" s="1">
        <f ca="1">IFERROR(__xludf.DUMMYFUNCTION("""COMPUTED_VALUE"""),246)</f>
        <v>246</v>
      </c>
      <c r="H1198" s="1" t="str">
        <f ca="1">IFERROR(__xludf.DUMMYFUNCTION("""COMPUTED_VALUE"""),"MTLSZ000246A21")</f>
        <v>MTLSZ000246A21</v>
      </c>
      <c r="I1198" s="2">
        <f ca="1">IFERROR(__xludf.DUMMYFUNCTION("""COMPUTED_VALUE"""),44224)</f>
        <v>44224</v>
      </c>
      <c r="J1198" s="2">
        <f ca="1">IFERROR(__xludf.DUMMYFUNCTION("""COMPUTED_VALUE"""),44588)</f>
        <v>44588</v>
      </c>
    </row>
    <row r="1199" spans="1:10" x14ac:dyDescent="0.25">
      <c r="A1199" s="1" t="str">
        <f ca="1">IFERROR(__xludf.DUMMYFUNCTION("""COMPUTED_VALUE"""),"Klébi DSE")</f>
        <v>Klébi DSE</v>
      </c>
      <c r="B1199" s="1" t="str">
        <f ca="1">IFERROR(__xludf.DUMMYFUNCTION("""COMPUTED_VALUE"""),"Bárdos Benedek")</f>
        <v>Bárdos Benedek</v>
      </c>
      <c r="C1199" s="1"/>
      <c r="D1199" s="1" t="str">
        <f ca="1">IFERROR(__xludf.DUMMYFUNCTION("""COMPUTED_VALUE"""),"Férfi")</f>
        <v>Férfi</v>
      </c>
      <c r="E1199" s="1"/>
      <c r="F1199" s="1">
        <f ca="1">IFERROR(__xludf.DUMMYFUNCTION("""COMPUTED_VALUE"""),1999)</f>
        <v>1999</v>
      </c>
      <c r="G1199" s="1">
        <f ca="1">IFERROR(__xludf.DUMMYFUNCTION("""COMPUTED_VALUE"""),4224)</f>
        <v>4224</v>
      </c>
      <c r="H1199" s="1" t="str">
        <f ca="1">IFERROR(__xludf.DUMMYFUNCTION("""COMPUTED_VALUE"""),"MTLSZ004224A21")</f>
        <v>MTLSZ004224A21</v>
      </c>
      <c r="I1199" s="2">
        <f ca="1">IFERROR(__xludf.DUMMYFUNCTION("""COMPUTED_VALUE"""),44224)</f>
        <v>44224</v>
      </c>
      <c r="J1199" s="2">
        <f ca="1">IFERROR(__xludf.DUMMYFUNCTION("""COMPUTED_VALUE"""),44588)</f>
        <v>44588</v>
      </c>
    </row>
    <row r="1200" spans="1:10" x14ac:dyDescent="0.25">
      <c r="A1200" s="1" t="str">
        <f ca="1">IFERROR(__xludf.DUMMYFUNCTION("""COMPUTED_VALUE"""),"Klébi DSE")</f>
        <v>Klébi DSE</v>
      </c>
      <c r="B1200" s="1" t="str">
        <f ca="1">IFERROR(__xludf.DUMMYFUNCTION("""COMPUTED_VALUE"""),"Harangi Orsolya")</f>
        <v>Harangi Orsolya</v>
      </c>
      <c r="C1200" s="1"/>
      <c r="D1200" s="1" t="str">
        <f ca="1">IFERROR(__xludf.DUMMYFUNCTION("""COMPUTED_VALUE"""),"Nő")</f>
        <v>Nő</v>
      </c>
      <c r="E1200" s="1"/>
      <c r="F1200" s="1">
        <f ca="1">IFERROR(__xludf.DUMMYFUNCTION("""COMPUTED_VALUE"""),1963)</f>
        <v>1963</v>
      </c>
      <c r="G1200" s="1">
        <f ca="1">IFERROR(__xludf.DUMMYFUNCTION("""COMPUTED_VALUE"""),4225)</f>
        <v>4225</v>
      </c>
      <c r="H1200" s="1" t="str">
        <f ca="1">IFERROR(__xludf.DUMMYFUNCTION("""COMPUTED_VALUE"""),"MTLSZ004225A21")</f>
        <v>MTLSZ004225A21</v>
      </c>
      <c r="I1200" s="2">
        <f ca="1">IFERROR(__xludf.DUMMYFUNCTION("""COMPUTED_VALUE"""),44224)</f>
        <v>44224</v>
      </c>
      <c r="J1200" s="2">
        <f ca="1">IFERROR(__xludf.DUMMYFUNCTION("""COMPUTED_VALUE"""),44588)</f>
        <v>44588</v>
      </c>
    </row>
    <row r="1201" spans="1:10" x14ac:dyDescent="0.25">
      <c r="A1201" s="1" t="str">
        <f ca="1">IFERROR(__xludf.DUMMYFUNCTION("""COMPUTED_VALUE"""),"Multi Alarm SE")</f>
        <v>Multi Alarm SE</v>
      </c>
      <c r="B1201" s="1" t="str">
        <f ca="1">IFERROR(__xludf.DUMMYFUNCTION("""COMPUTED_VALUE"""),"Dusa János")</f>
        <v>Dusa János</v>
      </c>
      <c r="C1201" s="1"/>
      <c r="D1201" s="1" t="str">
        <f ca="1">IFERROR(__xludf.DUMMYFUNCTION("""COMPUTED_VALUE"""),"Férfi")</f>
        <v>Férfi</v>
      </c>
      <c r="E1201" s="1"/>
      <c r="F1201" s="1">
        <f ca="1">IFERROR(__xludf.DUMMYFUNCTION("""COMPUTED_VALUE"""),1960)</f>
        <v>1960</v>
      </c>
      <c r="G1201" s="1">
        <f ca="1">IFERROR(__xludf.DUMMYFUNCTION("""COMPUTED_VALUE"""),4223)</f>
        <v>4223</v>
      </c>
      <c r="H1201" s="1" t="str">
        <f ca="1">IFERROR(__xludf.DUMMYFUNCTION("""COMPUTED_VALUE"""),"MTLSZ004223A21")</f>
        <v>MTLSZ004223A21</v>
      </c>
      <c r="I1201" s="2">
        <f ca="1">IFERROR(__xludf.DUMMYFUNCTION("""COMPUTED_VALUE"""),44224)</f>
        <v>44224</v>
      </c>
      <c r="J1201" s="2">
        <f ca="1">IFERROR(__xludf.DUMMYFUNCTION("""COMPUTED_VALUE"""),44588)</f>
        <v>44588</v>
      </c>
    </row>
    <row r="1202" spans="1:10" x14ac:dyDescent="0.25">
      <c r="A1202" s="1" t="str">
        <f ca="1">IFERROR(__xludf.DUMMYFUNCTION("""COMPUTED_VALUE"""),"Újpest TSE")</f>
        <v>Újpest TSE</v>
      </c>
      <c r="B1202" s="1" t="str">
        <f ca="1">IFERROR(__xludf.DUMMYFUNCTION("""COMPUTED_VALUE"""),"Kelemen Ákos")</f>
        <v>Kelemen Ákos</v>
      </c>
      <c r="C1202" s="1"/>
      <c r="D1202" s="1" t="str">
        <f ca="1">IFERROR(__xludf.DUMMYFUNCTION("""COMPUTED_VALUE"""),"Férfi")</f>
        <v>Férfi</v>
      </c>
      <c r="E1202" s="1"/>
      <c r="F1202" s="1">
        <f ca="1">IFERROR(__xludf.DUMMYFUNCTION("""COMPUTED_VALUE"""),1968)</f>
        <v>1968</v>
      </c>
      <c r="G1202" s="1">
        <f ca="1">IFERROR(__xludf.DUMMYFUNCTION("""COMPUTED_VALUE"""),2766)</f>
        <v>2766</v>
      </c>
      <c r="H1202" s="1" t="str">
        <f ca="1">IFERROR(__xludf.DUMMYFUNCTION("""COMPUTED_VALUE"""),"MTLSZ002766A21")</f>
        <v>MTLSZ002766A21</v>
      </c>
      <c r="I1202" s="2">
        <f ca="1">IFERROR(__xludf.DUMMYFUNCTION("""COMPUTED_VALUE"""),44224)</f>
        <v>44224</v>
      </c>
      <c r="J1202" s="2">
        <f ca="1">IFERROR(__xludf.DUMMYFUNCTION("""COMPUTED_VALUE"""),44588)</f>
        <v>44588</v>
      </c>
    </row>
    <row r="1203" spans="1:10" x14ac:dyDescent="0.25">
      <c r="A1203" s="1" t="str">
        <f ca="1">IFERROR(__xludf.DUMMYFUNCTION("""COMPUTED_VALUE"""),"Életmód SE")</f>
        <v>Életmód SE</v>
      </c>
      <c r="B1203" s="1" t="str">
        <f ca="1">IFERROR(__xludf.DUMMYFUNCTION("""COMPUTED_VALUE"""),"Göndics Klára")</f>
        <v>Göndics Klára</v>
      </c>
      <c r="C1203" s="1"/>
      <c r="D1203" s="1" t="str">
        <f ca="1">IFERROR(__xludf.DUMMYFUNCTION("""COMPUTED_VALUE"""),"Nő")</f>
        <v>Nő</v>
      </c>
      <c r="E1203" s="1"/>
      <c r="F1203" s="1">
        <f ca="1">IFERROR(__xludf.DUMMYFUNCTION("""COMPUTED_VALUE"""),2009)</f>
        <v>2009</v>
      </c>
      <c r="G1203" s="1">
        <f ca="1">IFERROR(__xludf.DUMMYFUNCTION("""COMPUTED_VALUE"""),4208)</f>
        <v>4208</v>
      </c>
      <c r="H1203" s="1" t="str">
        <f ca="1">IFERROR(__xludf.DUMMYFUNCTION("""COMPUTED_VALUE"""),"MTLSZ004208A21")</f>
        <v>MTLSZ004208A21</v>
      </c>
      <c r="I1203" s="2">
        <f ca="1">IFERROR(__xludf.DUMMYFUNCTION("""COMPUTED_VALUE"""),44223)</f>
        <v>44223</v>
      </c>
      <c r="J1203" s="2">
        <f ca="1">IFERROR(__xludf.DUMMYFUNCTION("""COMPUTED_VALUE"""),44587)</f>
        <v>44587</v>
      </c>
    </row>
    <row r="1204" spans="1:10" x14ac:dyDescent="0.25">
      <c r="A1204" s="1" t="str">
        <f ca="1">IFERROR(__xludf.DUMMYFUNCTION("""COMPUTED_VALUE"""),"Életmód SE")</f>
        <v>Életmód SE</v>
      </c>
      <c r="B1204" s="1" t="str">
        <f ca="1">IFERROR(__xludf.DUMMYFUNCTION("""COMPUTED_VALUE"""),"Horváth Hanna")</f>
        <v>Horváth Hanna</v>
      </c>
      <c r="C1204" s="1"/>
      <c r="D1204" s="1" t="str">
        <f ca="1">IFERROR(__xludf.DUMMYFUNCTION("""COMPUTED_VALUE"""),"Nő")</f>
        <v>Nő</v>
      </c>
      <c r="E1204" s="1"/>
      <c r="F1204" s="1">
        <f ca="1">IFERROR(__xludf.DUMMYFUNCTION("""COMPUTED_VALUE"""),2001)</f>
        <v>2001</v>
      </c>
      <c r="G1204" s="1">
        <f ca="1">IFERROR(__xludf.DUMMYFUNCTION("""COMPUTED_VALUE"""),4201)</f>
        <v>4201</v>
      </c>
      <c r="H1204" s="1" t="str">
        <f ca="1">IFERROR(__xludf.DUMMYFUNCTION("""COMPUTED_VALUE"""),"MTLSZ004201A21")</f>
        <v>MTLSZ004201A21</v>
      </c>
      <c r="I1204" s="2">
        <f ca="1">IFERROR(__xludf.DUMMYFUNCTION("""COMPUTED_VALUE"""),44223)</f>
        <v>44223</v>
      </c>
      <c r="J1204" s="2">
        <f ca="1">IFERROR(__xludf.DUMMYFUNCTION("""COMPUTED_VALUE"""),44587)</f>
        <v>44587</v>
      </c>
    </row>
    <row r="1205" spans="1:10" x14ac:dyDescent="0.25">
      <c r="A1205" s="1" t="str">
        <f ca="1">IFERROR(__xludf.DUMMYFUNCTION("""COMPUTED_VALUE"""),"Életmód SE")</f>
        <v>Életmód SE</v>
      </c>
      <c r="B1205" s="1" t="str">
        <f ca="1">IFERROR(__xludf.DUMMYFUNCTION("""COMPUTED_VALUE"""),"Horváth Laura")</f>
        <v>Horváth Laura</v>
      </c>
      <c r="C1205" s="1"/>
      <c r="D1205" s="1" t="str">
        <f ca="1">IFERROR(__xludf.DUMMYFUNCTION("""COMPUTED_VALUE"""),"Nő")</f>
        <v>Nő</v>
      </c>
      <c r="E1205" s="1"/>
      <c r="F1205" s="1">
        <f ca="1">IFERROR(__xludf.DUMMYFUNCTION("""COMPUTED_VALUE"""),1998)</f>
        <v>1998</v>
      </c>
      <c r="G1205" s="1">
        <f ca="1">IFERROR(__xludf.DUMMYFUNCTION("""COMPUTED_VALUE"""),4202)</f>
        <v>4202</v>
      </c>
      <c r="H1205" s="1" t="str">
        <f ca="1">IFERROR(__xludf.DUMMYFUNCTION("""COMPUTED_VALUE"""),"MTLSZ004202A21")</f>
        <v>MTLSZ004202A21</v>
      </c>
      <c r="I1205" s="2">
        <f ca="1">IFERROR(__xludf.DUMMYFUNCTION("""COMPUTED_VALUE"""),44223)</f>
        <v>44223</v>
      </c>
      <c r="J1205" s="2">
        <f ca="1">IFERROR(__xludf.DUMMYFUNCTION("""COMPUTED_VALUE"""),44587)</f>
        <v>44587</v>
      </c>
    </row>
    <row r="1206" spans="1:10" x14ac:dyDescent="0.25">
      <c r="A1206" s="1" t="str">
        <f ca="1">IFERROR(__xludf.DUMMYFUNCTION("""COMPUTED_VALUE"""),"Életmód SE")</f>
        <v>Életmód SE</v>
      </c>
      <c r="B1206" s="1" t="str">
        <f ca="1">IFERROR(__xludf.DUMMYFUNCTION("""COMPUTED_VALUE"""),"Horváth Marcell")</f>
        <v>Horváth Marcell</v>
      </c>
      <c r="C1206" s="1"/>
      <c r="D1206" s="1" t="str">
        <f ca="1">IFERROR(__xludf.DUMMYFUNCTION("""COMPUTED_VALUE"""),"Férfi")</f>
        <v>Férfi</v>
      </c>
      <c r="E1206" s="1"/>
      <c r="F1206" s="1">
        <f ca="1">IFERROR(__xludf.DUMMYFUNCTION("""COMPUTED_VALUE"""),1973)</f>
        <v>1973</v>
      </c>
      <c r="G1206" s="1">
        <f ca="1">IFERROR(__xludf.DUMMYFUNCTION("""COMPUTED_VALUE"""),4203)</f>
        <v>4203</v>
      </c>
      <c r="H1206" s="1" t="str">
        <f ca="1">IFERROR(__xludf.DUMMYFUNCTION("""COMPUTED_VALUE"""),"MTLSZ004203A21")</f>
        <v>MTLSZ004203A21</v>
      </c>
      <c r="I1206" s="2">
        <f ca="1">IFERROR(__xludf.DUMMYFUNCTION("""COMPUTED_VALUE"""),44223)</f>
        <v>44223</v>
      </c>
      <c r="J1206" s="2">
        <f ca="1">IFERROR(__xludf.DUMMYFUNCTION("""COMPUTED_VALUE"""),44587)</f>
        <v>44587</v>
      </c>
    </row>
    <row r="1207" spans="1:10" x14ac:dyDescent="0.25">
      <c r="A1207" s="1" t="str">
        <f ca="1">IFERROR(__xludf.DUMMYFUNCTION("""COMPUTED_VALUE"""),"Életmód SE")</f>
        <v>Életmód SE</v>
      </c>
      <c r="B1207" s="1" t="str">
        <f ca="1">IFERROR(__xludf.DUMMYFUNCTION("""COMPUTED_VALUE"""),"Ivádyné Komár Kata")</f>
        <v>Ivádyné Komár Kata</v>
      </c>
      <c r="C1207" s="1"/>
      <c r="D1207" s="1" t="str">
        <f ca="1">IFERROR(__xludf.DUMMYFUNCTION("""COMPUTED_VALUE"""),"Nő")</f>
        <v>Nő</v>
      </c>
      <c r="E1207" s="1"/>
      <c r="F1207" s="1">
        <f ca="1">IFERROR(__xludf.DUMMYFUNCTION("""COMPUTED_VALUE"""),1956)</f>
        <v>1956</v>
      </c>
      <c r="G1207" s="1">
        <f ca="1">IFERROR(__xludf.DUMMYFUNCTION("""COMPUTED_VALUE"""),4205)</f>
        <v>4205</v>
      </c>
      <c r="H1207" s="1" t="str">
        <f ca="1">IFERROR(__xludf.DUMMYFUNCTION("""COMPUTED_VALUE"""),"MTLSZ004205A21")</f>
        <v>MTLSZ004205A21</v>
      </c>
      <c r="I1207" s="2">
        <f ca="1">IFERROR(__xludf.DUMMYFUNCTION("""COMPUTED_VALUE"""),44223)</f>
        <v>44223</v>
      </c>
      <c r="J1207" s="2">
        <f ca="1">IFERROR(__xludf.DUMMYFUNCTION("""COMPUTED_VALUE"""),44587)</f>
        <v>44587</v>
      </c>
    </row>
    <row r="1208" spans="1:10" x14ac:dyDescent="0.25">
      <c r="A1208" s="1" t="str">
        <f ca="1">IFERROR(__xludf.DUMMYFUNCTION("""COMPUTED_VALUE"""),"Életmód SE")</f>
        <v>Életmód SE</v>
      </c>
      <c r="B1208" s="1" t="str">
        <f ca="1">IFERROR(__xludf.DUMMYFUNCTION("""COMPUTED_VALUE"""),"Koczka István")</f>
        <v>Koczka István</v>
      </c>
      <c r="C1208" s="1"/>
      <c r="D1208" s="1" t="str">
        <f ca="1">IFERROR(__xludf.DUMMYFUNCTION("""COMPUTED_VALUE"""),"Férfi")</f>
        <v>Férfi</v>
      </c>
      <c r="E1208" s="1"/>
      <c r="F1208" s="1">
        <f ca="1">IFERROR(__xludf.DUMMYFUNCTION("""COMPUTED_VALUE"""),2010)</f>
        <v>2010</v>
      </c>
      <c r="G1208" s="1">
        <f ca="1">IFERROR(__xludf.DUMMYFUNCTION("""COMPUTED_VALUE"""),4200)</f>
        <v>4200</v>
      </c>
      <c r="H1208" s="1" t="str">
        <f ca="1">IFERROR(__xludf.DUMMYFUNCTION("""COMPUTED_VALUE"""),"MTLSZ004200A21")</f>
        <v>MTLSZ004200A21</v>
      </c>
      <c r="I1208" s="2">
        <f ca="1">IFERROR(__xludf.DUMMYFUNCTION("""COMPUTED_VALUE"""),44223)</f>
        <v>44223</v>
      </c>
      <c r="J1208" s="2">
        <f ca="1">IFERROR(__xludf.DUMMYFUNCTION("""COMPUTED_VALUE"""),44587)</f>
        <v>44587</v>
      </c>
    </row>
    <row r="1209" spans="1:10" x14ac:dyDescent="0.25">
      <c r="A1209" s="1" t="str">
        <f ca="1">IFERROR(__xludf.DUMMYFUNCTION("""COMPUTED_VALUE"""),"Életmód SE")</f>
        <v>Életmód SE</v>
      </c>
      <c r="B1209" s="1" t="str">
        <f ca="1">IFERROR(__xludf.DUMMYFUNCTION("""COMPUTED_VALUE"""),"Nagy Péter")</f>
        <v>Nagy Péter</v>
      </c>
      <c r="C1209" s="1"/>
      <c r="D1209" s="1" t="str">
        <f ca="1">IFERROR(__xludf.DUMMYFUNCTION("""COMPUTED_VALUE"""),"Férfi")</f>
        <v>Férfi</v>
      </c>
      <c r="E1209" s="1"/>
      <c r="F1209" s="1">
        <f ca="1">IFERROR(__xludf.DUMMYFUNCTION("""COMPUTED_VALUE"""),1994)</f>
        <v>1994</v>
      </c>
      <c r="G1209" s="1">
        <f ca="1">IFERROR(__xludf.DUMMYFUNCTION("""COMPUTED_VALUE"""),4206)</f>
        <v>4206</v>
      </c>
      <c r="H1209" s="1" t="str">
        <f ca="1">IFERROR(__xludf.DUMMYFUNCTION("""COMPUTED_VALUE"""),"MTLSZ004206A21")</f>
        <v>MTLSZ004206A21</v>
      </c>
      <c r="I1209" s="2">
        <f ca="1">IFERROR(__xludf.DUMMYFUNCTION("""COMPUTED_VALUE"""),44223)</f>
        <v>44223</v>
      </c>
      <c r="J1209" s="2">
        <f ca="1">IFERROR(__xludf.DUMMYFUNCTION("""COMPUTED_VALUE"""),44587)</f>
        <v>44587</v>
      </c>
    </row>
    <row r="1210" spans="1:10" x14ac:dyDescent="0.25">
      <c r="A1210" s="1" t="str">
        <f ca="1">IFERROR(__xludf.DUMMYFUNCTION("""COMPUTED_VALUE"""),"Életmód SE")</f>
        <v>Életmód SE</v>
      </c>
      <c r="B1210" s="1" t="str">
        <f ca="1">IFERROR(__xludf.DUMMYFUNCTION("""COMPUTED_VALUE"""),"Olasz Lilla")</f>
        <v>Olasz Lilla</v>
      </c>
      <c r="C1210" s="1"/>
      <c r="D1210" s="1" t="str">
        <f ca="1">IFERROR(__xludf.DUMMYFUNCTION("""COMPUTED_VALUE"""),"Nő")</f>
        <v>Nő</v>
      </c>
      <c r="E1210" s="1"/>
      <c r="F1210" s="1">
        <f ca="1">IFERROR(__xludf.DUMMYFUNCTION("""COMPUTED_VALUE"""),1991)</f>
        <v>1991</v>
      </c>
      <c r="G1210" s="1">
        <f ca="1">IFERROR(__xludf.DUMMYFUNCTION("""COMPUTED_VALUE"""),4207)</f>
        <v>4207</v>
      </c>
      <c r="H1210" s="1" t="str">
        <f ca="1">IFERROR(__xludf.DUMMYFUNCTION("""COMPUTED_VALUE"""),"MTLSZ004207A21")</f>
        <v>MTLSZ004207A21</v>
      </c>
      <c r="I1210" s="2">
        <f ca="1">IFERROR(__xludf.DUMMYFUNCTION("""COMPUTED_VALUE"""),44223)</f>
        <v>44223</v>
      </c>
      <c r="J1210" s="2">
        <f ca="1">IFERROR(__xludf.DUMMYFUNCTION("""COMPUTED_VALUE"""),44587)</f>
        <v>44587</v>
      </c>
    </row>
    <row r="1211" spans="1:10" x14ac:dyDescent="0.25">
      <c r="A1211" s="1" t="str">
        <f ca="1">IFERROR(__xludf.DUMMYFUNCTION("""COMPUTED_VALUE"""),"Életmód SE")</f>
        <v>Életmód SE</v>
      </c>
      <c r="B1211" s="1" t="str">
        <f ca="1">IFERROR(__xludf.DUMMYFUNCTION("""COMPUTED_VALUE"""),"Rácz Tamás")</f>
        <v>Rácz Tamás</v>
      </c>
      <c r="C1211" s="1"/>
      <c r="D1211" s="1" t="str">
        <f ca="1">IFERROR(__xludf.DUMMYFUNCTION("""COMPUTED_VALUE"""),"Férfi")</f>
        <v>Férfi</v>
      </c>
      <c r="E1211" s="1"/>
      <c r="F1211" s="1">
        <f ca="1">IFERROR(__xludf.DUMMYFUNCTION("""COMPUTED_VALUE"""),1977)</f>
        <v>1977</v>
      </c>
      <c r="G1211" s="1">
        <f ca="1">IFERROR(__xludf.DUMMYFUNCTION("""COMPUTED_VALUE"""),4204)</f>
        <v>4204</v>
      </c>
      <c r="H1211" s="1" t="str">
        <f ca="1">IFERROR(__xludf.DUMMYFUNCTION("""COMPUTED_VALUE"""),"MTLSZ004204A21")</f>
        <v>MTLSZ004204A21</v>
      </c>
      <c r="I1211" s="2">
        <f ca="1">IFERROR(__xludf.DUMMYFUNCTION("""COMPUTED_VALUE"""),44223)</f>
        <v>44223</v>
      </c>
      <c r="J1211" s="2">
        <f ca="1">IFERROR(__xludf.DUMMYFUNCTION("""COMPUTED_VALUE"""),44587)</f>
        <v>44587</v>
      </c>
    </row>
    <row r="1212" spans="1:10" x14ac:dyDescent="0.25">
      <c r="A1212" s="1" t="str">
        <f ca="1">IFERROR(__xludf.DUMMYFUNCTION("""COMPUTED_VALUE"""),"Klébi DSE")</f>
        <v>Klébi DSE</v>
      </c>
      <c r="B1212" s="1" t="str">
        <f ca="1">IFERROR(__xludf.DUMMYFUNCTION("""COMPUTED_VALUE"""),"Horváth András")</f>
        <v>Horváth András</v>
      </c>
      <c r="C1212" s="1"/>
      <c r="D1212" s="1" t="str">
        <f ca="1">IFERROR(__xludf.DUMMYFUNCTION("""COMPUTED_VALUE"""),"Férfi")</f>
        <v>Férfi</v>
      </c>
      <c r="E1212" s="1"/>
      <c r="F1212" s="1">
        <f ca="1">IFERROR(__xludf.DUMMYFUNCTION("""COMPUTED_VALUE"""),2008)</f>
        <v>2008</v>
      </c>
      <c r="G1212" s="1">
        <f ca="1">IFERROR(__xludf.DUMMYFUNCTION("""COMPUTED_VALUE"""),4211)</f>
        <v>4211</v>
      </c>
      <c r="H1212" s="1" t="str">
        <f ca="1">IFERROR(__xludf.DUMMYFUNCTION("""COMPUTED_VALUE"""),"MTLSZ004211A21")</f>
        <v>MTLSZ004211A21</v>
      </c>
      <c r="I1212" s="2">
        <f ca="1">IFERROR(__xludf.DUMMYFUNCTION("""COMPUTED_VALUE"""),44223)</f>
        <v>44223</v>
      </c>
      <c r="J1212" s="2">
        <f ca="1">IFERROR(__xludf.DUMMYFUNCTION("""COMPUTED_VALUE"""),44587)</f>
        <v>44587</v>
      </c>
    </row>
    <row r="1213" spans="1:10" x14ac:dyDescent="0.25">
      <c r="A1213" s="1" t="str">
        <f ca="1">IFERROR(__xludf.DUMMYFUNCTION("""COMPUTED_VALUE"""),"Klébi DSE")</f>
        <v>Klébi DSE</v>
      </c>
      <c r="B1213" s="1" t="str">
        <f ca="1">IFERROR(__xludf.DUMMYFUNCTION("""COMPUTED_VALUE"""),"Horváth Benedek")</f>
        <v>Horváth Benedek</v>
      </c>
      <c r="C1213" s="1"/>
      <c r="D1213" s="1" t="str">
        <f ca="1">IFERROR(__xludf.DUMMYFUNCTION("""COMPUTED_VALUE"""),"Férfi")</f>
        <v>Férfi</v>
      </c>
      <c r="E1213" s="1"/>
      <c r="F1213" s="1">
        <f ca="1">IFERROR(__xludf.DUMMYFUNCTION("""COMPUTED_VALUE"""),2008)</f>
        <v>2008</v>
      </c>
      <c r="G1213" s="1">
        <f ca="1">IFERROR(__xludf.DUMMYFUNCTION("""COMPUTED_VALUE"""),4210)</f>
        <v>4210</v>
      </c>
      <c r="H1213" s="1" t="str">
        <f ca="1">IFERROR(__xludf.DUMMYFUNCTION("""COMPUTED_VALUE"""),"MTLSZ004210A21")</f>
        <v>MTLSZ004210A21</v>
      </c>
      <c r="I1213" s="2">
        <f ca="1">IFERROR(__xludf.DUMMYFUNCTION("""COMPUTED_VALUE"""),44223)</f>
        <v>44223</v>
      </c>
      <c r="J1213" s="2">
        <f ca="1">IFERROR(__xludf.DUMMYFUNCTION("""COMPUTED_VALUE"""),44587)</f>
        <v>44587</v>
      </c>
    </row>
    <row r="1214" spans="1:10" x14ac:dyDescent="0.25">
      <c r="A1214" s="1" t="str">
        <f ca="1">IFERROR(__xludf.DUMMYFUNCTION("""COMPUTED_VALUE"""),"Klébi DSE")</f>
        <v>Klébi DSE</v>
      </c>
      <c r="B1214" s="1" t="str">
        <f ca="1">IFERROR(__xludf.DUMMYFUNCTION("""COMPUTED_VALUE"""),"Vass Dorottya")</f>
        <v>Vass Dorottya</v>
      </c>
      <c r="C1214" s="1"/>
      <c r="D1214" s="1" t="str">
        <f ca="1">IFERROR(__xludf.DUMMYFUNCTION("""COMPUTED_VALUE"""),"Nő")</f>
        <v>Nő</v>
      </c>
      <c r="E1214" s="1"/>
      <c r="F1214" s="1">
        <f ca="1">IFERROR(__xludf.DUMMYFUNCTION("""COMPUTED_VALUE"""),1981)</f>
        <v>1981</v>
      </c>
      <c r="G1214" s="1">
        <f ca="1">IFERROR(__xludf.DUMMYFUNCTION("""COMPUTED_VALUE"""),4209)</f>
        <v>4209</v>
      </c>
      <c r="H1214" s="1" t="str">
        <f ca="1">IFERROR(__xludf.DUMMYFUNCTION("""COMPUTED_VALUE"""),"MTLSZ004209A21")</f>
        <v>MTLSZ004209A21</v>
      </c>
      <c r="I1214" s="2">
        <f ca="1">IFERROR(__xludf.DUMMYFUNCTION("""COMPUTED_VALUE"""),44223)</f>
        <v>44223</v>
      </c>
      <c r="J1214" s="2">
        <f ca="1">IFERROR(__xludf.DUMMYFUNCTION("""COMPUTED_VALUE"""),44587)</f>
        <v>44587</v>
      </c>
    </row>
    <row r="1215" spans="1:10" x14ac:dyDescent="0.25">
      <c r="A1215" s="1" t="str">
        <f ca="1">IFERROR(__xludf.DUMMYFUNCTION("""COMPUTED_VALUE"""),"Életmód SE")</f>
        <v>Életmód SE</v>
      </c>
      <c r="B1215" s="1" t="str">
        <f ca="1">IFERROR(__xludf.DUMMYFUNCTION("""COMPUTED_VALUE"""),"Vincze Gábor")</f>
        <v>Vincze Gábor</v>
      </c>
      <c r="C1215" s="1"/>
      <c r="D1215" s="1" t="str">
        <f ca="1">IFERROR(__xludf.DUMMYFUNCTION("""COMPUTED_VALUE"""),"Férfi")</f>
        <v>Férfi</v>
      </c>
      <c r="E1215" s="1"/>
      <c r="F1215" s="1">
        <f ca="1">IFERROR(__xludf.DUMMYFUNCTION("""COMPUTED_VALUE"""),2007)</f>
        <v>2007</v>
      </c>
      <c r="G1215" s="1">
        <f ca="1">IFERROR(__xludf.DUMMYFUNCTION("""COMPUTED_VALUE"""),3420)</f>
        <v>3420</v>
      </c>
      <c r="H1215" s="1" t="str">
        <f ca="1">IFERROR(__xludf.DUMMYFUNCTION("""COMPUTED_VALUE"""),"MTLSZ003420A21")</f>
        <v>MTLSZ003420A21</v>
      </c>
      <c r="I1215" s="2">
        <f ca="1">IFERROR(__xludf.DUMMYFUNCTION("""COMPUTED_VALUE"""),44222)</f>
        <v>44222</v>
      </c>
      <c r="J1215" s="2">
        <f ca="1">IFERROR(__xludf.DUMMYFUNCTION("""COMPUTED_VALUE"""),44586)</f>
        <v>44586</v>
      </c>
    </row>
    <row r="1216" spans="1:10" x14ac:dyDescent="0.25">
      <c r="A1216" s="1" t="str">
        <f ca="1">IFERROR(__xludf.DUMMYFUNCTION("""COMPUTED_VALUE"""),"Kék Sólymok SE")</f>
        <v>Kék Sólymok SE</v>
      </c>
      <c r="B1216" s="1" t="str">
        <f ca="1">IFERROR(__xludf.DUMMYFUNCTION("""COMPUTED_VALUE"""),"Alexy Milán")</f>
        <v>Alexy Milán</v>
      </c>
      <c r="C1216" s="1"/>
      <c r="D1216" s="1" t="str">
        <f ca="1">IFERROR(__xludf.DUMMYFUNCTION("""COMPUTED_VALUE"""),"Férfi")</f>
        <v>Férfi</v>
      </c>
      <c r="E1216" s="1"/>
      <c r="F1216" s="1">
        <f ca="1">IFERROR(__xludf.DUMMYFUNCTION("""COMPUTED_VALUE"""),2000)</f>
        <v>2000</v>
      </c>
      <c r="G1216" s="1">
        <f ca="1">IFERROR(__xludf.DUMMYFUNCTION("""COMPUTED_VALUE"""),4199)</f>
        <v>4199</v>
      </c>
      <c r="H1216" s="1" t="str">
        <f ca="1">IFERROR(__xludf.DUMMYFUNCTION("""COMPUTED_VALUE"""),"MTLSZ004199A21")</f>
        <v>MTLSZ004199A21</v>
      </c>
      <c r="I1216" s="2">
        <f ca="1">IFERROR(__xludf.DUMMYFUNCTION("""COMPUTED_VALUE"""),44222)</f>
        <v>44222</v>
      </c>
      <c r="J1216" s="2">
        <f ca="1">IFERROR(__xludf.DUMMYFUNCTION("""COMPUTED_VALUE"""),44586)</f>
        <v>44586</v>
      </c>
    </row>
    <row r="1217" spans="1:10" x14ac:dyDescent="0.25">
      <c r="A1217" s="1" t="str">
        <f ca="1">IFERROR(__xludf.DUMMYFUNCTION("""COMPUTED_VALUE"""),"MEAFC")</f>
        <v>MEAFC</v>
      </c>
      <c r="B1217" s="1" t="str">
        <f ca="1">IFERROR(__xludf.DUMMYFUNCTION("""COMPUTED_VALUE"""),"Bodnár Zoltán")</f>
        <v>Bodnár Zoltán</v>
      </c>
      <c r="C1217" s="1"/>
      <c r="D1217" s="1" t="str">
        <f ca="1">IFERROR(__xludf.DUMMYFUNCTION("""COMPUTED_VALUE"""),"Férfi")</f>
        <v>Férfi</v>
      </c>
      <c r="E1217" s="1"/>
      <c r="F1217" s="1">
        <f ca="1">IFERROR(__xludf.DUMMYFUNCTION("""COMPUTED_VALUE"""),1974)</f>
        <v>1974</v>
      </c>
      <c r="G1217" s="1">
        <f ca="1">IFERROR(__xludf.DUMMYFUNCTION("""COMPUTED_VALUE"""),92)</f>
        <v>92</v>
      </c>
      <c r="H1217" s="1" t="str">
        <f ca="1">IFERROR(__xludf.DUMMYFUNCTION("""COMPUTED_VALUE"""),"MTLSZ000092A21")</f>
        <v>MTLSZ000092A21</v>
      </c>
      <c r="I1217" s="2">
        <f ca="1">IFERROR(__xludf.DUMMYFUNCTION("""COMPUTED_VALUE"""),44222)</f>
        <v>44222</v>
      </c>
      <c r="J1217" s="2">
        <f ca="1">IFERROR(__xludf.DUMMYFUNCTION("""COMPUTED_VALUE"""),44586)</f>
        <v>44586</v>
      </c>
    </row>
    <row r="1218" spans="1:10" x14ac:dyDescent="0.25">
      <c r="A1218" s="1" t="str">
        <f ca="1">IFERROR(__xludf.DUMMYFUNCTION("""COMPUTED_VALUE"""),"Seregélyesi PDSE")</f>
        <v>Seregélyesi PDSE</v>
      </c>
      <c r="B1218" s="1" t="str">
        <f ca="1">IFERROR(__xludf.DUMMYFUNCTION("""COMPUTED_VALUE"""),"Varga Luca")</f>
        <v>Varga Luca</v>
      </c>
      <c r="C1218" s="1"/>
      <c r="D1218" s="1" t="str">
        <f ca="1">IFERROR(__xludf.DUMMYFUNCTION("""COMPUTED_VALUE"""),"Nő")</f>
        <v>Nő</v>
      </c>
      <c r="E1218" s="1"/>
      <c r="F1218" s="1">
        <f ca="1">IFERROR(__xludf.DUMMYFUNCTION("""COMPUTED_VALUE"""),2013)</f>
        <v>2013</v>
      </c>
      <c r="G1218" s="1">
        <f ca="1">IFERROR(__xludf.DUMMYFUNCTION("""COMPUTED_VALUE"""),4198)</f>
        <v>4198</v>
      </c>
      <c r="H1218" s="1" t="str">
        <f ca="1">IFERROR(__xludf.DUMMYFUNCTION("""COMPUTED_VALUE"""),"MTLSZ004198A21")</f>
        <v>MTLSZ004198A21</v>
      </c>
      <c r="I1218" s="2">
        <f ca="1">IFERROR(__xludf.DUMMYFUNCTION("""COMPUTED_VALUE"""),44222)</f>
        <v>44222</v>
      </c>
      <c r="J1218" s="2">
        <f ca="1">IFERROR(__xludf.DUMMYFUNCTION("""COMPUTED_VALUE"""),44586)</f>
        <v>44586</v>
      </c>
    </row>
    <row r="1219" spans="1:10" x14ac:dyDescent="0.25">
      <c r="A1219" s="1" t="str">
        <f ca="1">IFERROR(__xludf.DUMMYFUNCTION("""COMPUTED_VALUE"""),"MEAFC")</f>
        <v>MEAFC</v>
      </c>
      <c r="B1219" s="1" t="str">
        <f ca="1">IFERROR(__xludf.DUMMYFUNCTION("""COMPUTED_VALUE"""),"Csáki István Zsolt")</f>
        <v>Csáki István Zsolt</v>
      </c>
      <c r="C1219" s="1"/>
      <c r="D1219" s="1" t="str">
        <f ca="1">IFERROR(__xludf.DUMMYFUNCTION("""COMPUTED_VALUE"""),"Férfi")</f>
        <v>Férfi</v>
      </c>
      <c r="E1219" s="1"/>
      <c r="F1219" s="1">
        <f ca="1">IFERROR(__xludf.DUMMYFUNCTION("""COMPUTED_VALUE"""),1967)</f>
        <v>1967</v>
      </c>
      <c r="G1219" s="1">
        <f ca="1">IFERROR(__xludf.DUMMYFUNCTION("""COMPUTED_VALUE"""),4188)</f>
        <v>4188</v>
      </c>
      <c r="H1219" s="1" t="str">
        <f ca="1">IFERROR(__xludf.DUMMYFUNCTION("""COMPUTED_VALUE"""),"MTLSZ004188A21")</f>
        <v>MTLSZ004188A21</v>
      </c>
      <c r="I1219" s="2">
        <f ca="1">IFERROR(__xludf.DUMMYFUNCTION("""COMPUTED_VALUE"""),44221)</f>
        <v>44221</v>
      </c>
      <c r="J1219" s="2">
        <f ca="1">IFERROR(__xludf.DUMMYFUNCTION("""COMPUTED_VALUE"""),44585)</f>
        <v>44585</v>
      </c>
    </row>
    <row r="1220" spans="1:10" x14ac:dyDescent="0.25">
      <c r="A1220" s="1" t="str">
        <f ca="1">IFERROR(__xludf.DUMMYFUNCTION("""COMPUTED_VALUE"""),"MEAFC")</f>
        <v>MEAFC</v>
      </c>
      <c r="B1220" s="1" t="str">
        <f ca="1">IFERROR(__xludf.DUMMYFUNCTION("""COMPUTED_VALUE"""),"Hausel László")</f>
        <v>Hausel László</v>
      </c>
      <c r="C1220" s="1"/>
      <c r="D1220" s="1" t="str">
        <f ca="1">IFERROR(__xludf.DUMMYFUNCTION("""COMPUTED_VALUE"""),"Férfi")</f>
        <v>Férfi</v>
      </c>
      <c r="E1220" s="1"/>
      <c r="F1220" s="1">
        <f ca="1">IFERROR(__xludf.DUMMYFUNCTION("""COMPUTED_VALUE"""),1970)</f>
        <v>1970</v>
      </c>
      <c r="G1220" s="1">
        <f ca="1">IFERROR(__xludf.DUMMYFUNCTION("""COMPUTED_VALUE"""),4181)</f>
        <v>4181</v>
      </c>
      <c r="H1220" s="1" t="str">
        <f ca="1">IFERROR(__xludf.DUMMYFUNCTION("""COMPUTED_VALUE"""),"MTLSZ004181A21")</f>
        <v>MTLSZ004181A21</v>
      </c>
      <c r="I1220" s="2">
        <f ca="1">IFERROR(__xludf.DUMMYFUNCTION("""COMPUTED_VALUE"""),44221)</f>
        <v>44221</v>
      </c>
      <c r="J1220" s="2">
        <f ca="1">IFERROR(__xludf.DUMMYFUNCTION("""COMPUTED_VALUE"""),44585)</f>
        <v>44585</v>
      </c>
    </row>
    <row r="1221" spans="1:10" x14ac:dyDescent="0.25">
      <c r="A1221" s="1" t="str">
        <f ca="1">IFERROR(__xludf.DUMMYFUNCTION("""COMPUTED_VALUE"""),"MEAFC")</f>
        <v>MEAFC</v>
      </c>
      <c r="B1221" s="1" t="str">
        <f ca="1">IFERROR(__xludf.DUMMYFUNCTION("""COMPUTED_VALUE"""),"Horváth Róbert Ervin")</f>
        <v>Horváth Róbert Ervin</v>
      </c>
      <c r="C1221" s="1"/>
      <c r="D1221" s="1" t="str">
        <f ca="1">IFERROR(__xludf.DUMMYFUNCTION("""COMPUTED_VALUE"""),"Férfi")</f>
        <v>Férfi</v>
      </c>
      <c r="E1221" s="1"/>
      <c r="F1221" s="1">
        <f ca="1">IFERROR(__xludf.DUMMYFUNCTION("""COMPUTED_VALUE"""),1969)</f>
        <v>1969</v>
      </c>
      <c r="G1221" s="1">
        <f ca="1">IFERROR(__xludf.DUMMYFUNCTION("""COMPUTED_VALUE"""),4175)</f>
        <v>4175</v>
      </c>
      <c r="H1221" s="1" t="str">
        <f ca="1">IFERROR(__xludf.DUMMYFUNCTION("""COMPUTED_VALUE"""),"MTLSZ004175A21")</f>
        <v>MTLSZ004175A21</v>
      </c>
      <c r="I1221" s="2">
        <f ca="1">IFERROR(__xludf.DUMMYFUNCTION("""COMPUTED_VALUE"""),44221)</f>
        <v>44221</v>
      </c>
      <c r="J1221" s="2">
        <f ca="1">IFERROR(__xludf.DUMMYFUNCTION("""COMPUTED_VALUE"""),44585)</f>
        <v>44585</v>
      </c>
    </row>
    <row r="1222" spans="1:10" x14ac:dyDescent="0.25">
      <c r="A1222" s="1" t="str">
        <f ca="1">IFERROR(__xludf.DUMMYFUNCTION("""COMPUTED_VALUE"""),"MEAFC")</f>
        <v>MEAFC</v>
      </c>
      <c r="B1222" s="1" t="str">
        <f ca="1">IFERROR(__xludf.DUMMYFUNCTION("""COMPUTED_VALUE"""),"Illés Emma")</f>
        <v>Illés Emma</v>
      </c>
      <c r="C1222" s="1"/>
      <c r="D1222" s="1" t="str">
        <f ca="1">IFERROR(__xludf.DUMMYFUNCTION("""COMPUTED_VALUE"""),"Nő")</f>
        <v>Nő</v>
      </c>
      <c r="E1222" s="1"/>
      <c r="F1222" s="1">
        <f ca="1">IFERROR(__xludf.DUMMYFUNCTION("""COMPUTED_VALUE"""),2009)</f>
        <v>2009</v>
      </c>
      <c r="G1222" s="1">
        <f ca="1">IFERROR(__xludf.DUMMYFUNCTION("""COMPUTED_VALUE"""),4178)</f>
        <v>4178</v>
      </c>
      <c r="H1222" s="1" t="str">
        <f ca="1">IFERROR(__xludf.DUMMYFUNCTION("""COMPUTED_VALUE"""),"MTLSZ004178A21")</f>
        <v>MTLSZ004178A21</v>
      </c>
      <c r="I1222" s="2">
        <f ca="1">IFERROR(__xludf.DUMMYFUNCTION("""COMPUTED_VALUE"""),44221)</f>
        <v>44221</v>
      </c>
      <c r="J1222" s="2">
        <f ca="1">IFERROR(__xludf.DUMMYFUNCTION("""COMPUTED_VALUE"""),44585)</f>
        <v>44585</v>
      </c>
    </row>
    <row r="1223" spans="1:10" x14ac:dyDescent="0.25">
      <c r="A1223" s="1" t="str">
        <f ca="1">IFERROR(__xludf.DUMMYFUNCTION("""COMPUTED_VALUE"""),"MEAFC")</f>
        <v>MEAFC</v>
      </c>
      <c r="B1223" s="1" t="str">
        <f ca="1">IFERROR(__xludf.DUMMYFUNCTION("""COMPUTED_VALUE"""),"Illés Hanna")</f>
        <v>Illés Hanna</v>
      </c>
      <c r="C1223" s="1"/>
      <c r="D1223" s="1" t="str">
        <f ca="1">IFERROR(__xludf.DUMMYFUNCTION("""COMPUTED_VALUE"""),"Nő")</f>
        <v>Nő</v>
      </c>
      <c r="E1223" s="1"/>
      <c r="F1223" s="1">
        <f ca="1">IFERROR(__xludf.DUMMYFUNCTION("""COMPUTED_VALUE"""),2007)</f>
        <v>2007</v>
      </c>
      <c r="G1223" s="1">
        <f ca="1">IFERROR(__xludf.DUMMYFUNCTION("""COMPUTED_VALUE"""),4177)</f>
        <v>4177</v>
      </c>
      <c r="H1223" s="1" t="str">
        <f ca="1">IFERROR(__xludf.DUMMYFUNCTION("""COMPUTED_VALUE"""),"MTLSZ004177A21")</f>
        <v>MTLSZ004177A21</v>
      </c>
      <c r="I1223" s="2">
        <f ca="1">IFERROR(__xludf.DUMMYFUNCTION("""COMPUTED_VALUE"""),44221)</f>
        <v>44221</v>
      </c>
      <c r="J1223" s="2">
        <f ca="1">IFERROR(__xludf.DUMMYFUNCTION("""COMPUTED_VALUE"""),44585)</f>
        <v>44585</v>
      </c>
    </row>
    <row r="1224" spans="1:10" x14ac:dyDescent="0.25">
      <c r="A1224" s="1" t="str">
        <f ca="1">IFERROR(__xludf.DUMMYFUNCTION("""COMPUTED_VALUE"""),"MEAFC")</f>
        <v>MEAFC</v>
      </c>
      <c r="B1224" s="1" t="str">
        <f ca="1">IFERROR(__xludf.DUMMYFUNCTION("""COMPUTED_VALUE"""),"Jávor Attila")</f>
        <v>Jávor Attila</v>
      </c>
      <c r="C1224" s="1"/>
      <c r="D1224" s="1" t="str">
        <f ca="1">IFERROR(__xludf.DUMMYFUNCTION("""COMPUTED_VALUE"""),"Férfi")</f>
        <v>Férfi</v>
      </c>
      <c r="E1224" s="1"/>
      <c r="F1224" s="1">
        <f ca="1">IFERROR(__xludf.DUMMYFUNCTION("""COMPUTED_VALUE"""),1969)</f>
        <v>1969</v>
      </c>
      <c r="G1224" s="1">
        <f ca="1">IFERROR(__xludf.DUMMYFUNCTION("""COMPUTED_VALUE"""),4176)</f>
        <v>4176</v>
      </c>
      <c r="H1224" s="1" t="str">
        <f ca="1">IFERROR(__xludf.DUMMYFUNCTION("""COMPUTED_VALUE"""),"MTLSZ004176A21")</f>
        <v>MTLSZ004176A21</v>
      </c>
      <c r="I1224" s="2">
        <f ca="1">IFERROR(__xludf.DUMMYFUNCTION("""COMPUTED_VALUE"""),44221)</f>
        <v>44221</v>
      </c>
      <c r="J1224" s="2">
        <f ca="1">IFERROR(__xludf.DUMMYFUNCTION("""COMPUTED_VALUE"""),44585)</f>
        <v>44585</v>
      </c>
    </row>
    <row r="1225" spans="1:10" x14ac:dyDescent="0.25">
      <c r="A1225" s="1" t="str">
        <f ca="1">IFERROR(__xludf.DUMMYFUNCTION("""COMPUTED_VALUE"""),"MEAFC")</f>
        <v>MEAFC</v>
      </c>
      <c r="B1225" s="1" t="str">
        <f ca="1">IFERROR(__xludf.DUMMYFUNCTION("""COMPUTED_VALUE"""),"Kasza Blanka Katalin")</f>
        <v>Kasza Blanka Katalin</v>
      </c>
      <c r="C1225" s="1"/>
      <c r="D1225" s="1" t="str">
        <f ca="1">IFERROR(__xludf.DUMMYFUNCTION("""COMPUTED_VALUE"""),"Nő")</f>
        <v>Nő</v>
      </c>
      <c r="E1225" s="1"/>
      <c r="F1225" s="1">
        <f ca="1">IFERROR(__xludf.DUMMYFUNCTION("""COMPUTED_VALUE"""),1978)</f>
        <v>1978</v>
      </c>
      <c r="G1225" s="1">
        <f ca="1">IFERROR(__xludf.DUMMYFUNCTION("""COMPUTED_VALUE"""),4174)</f>
        <v>4174</v>
      </c>
      <c r="H1225" s="1" t="str">
        <f ca="1">IFERROR(__xludf.DUMMYFUNCTION("""COMPUTED_VALUE"""),"MTLSZ004174A21")</f>
        <v>MTLSZ004174A21</v>
      </c>
      <c r="I1225" s="2">
        <f ca="1">IFERROR(__xludf.DUMMYFUNCTION("""COMPUTED_VALUE"""),44221)</f>
        <v>44221</v>
      </c>
      <c r="J1225" s="2">
        <f ca="1">IFERROR(__xludf.DUMMYFUNCTION("""COMPUTED_VALUE"""),44585)</f>
        <v>44585</v>
      </c>
    </row>
    <row r="1226" spans="1:10" x14ac:dyDescent="0.25">
      <c r="A1226" s="1" t="str">
        <f ca="1">IFERROR(__xludf.DUMMYFUNCTION("""COMPUTED_VALUE"""),"MEAFC")</f>
        <v>MEAFC</v>
      </c>
      <c r="B1226" s="1" t="str">
        <f ca="1">IFERROR(__xludf.DUMMYFUNCTION("""COMPUTED_VALUE"""),"Kis István")</f>
        <v>Kis István</v>
      </c>
      <c r="C1226" s="1"/>
      <c r="D1226" s="1" t="str">
        <f ca="1">IFERROR(__xludf.DUMMYFUNCTION("""COMPUTED_VALUE"""),"Férfi")</f>
        <v>Férfi</v>
      </c>
      <c r="E1226" s="1"/>
      <c r="F1226" s="1">
        <f ca="1">IFERROR(__xludf.DUMMYFUNCTION("""COMPUTED_VALUE"""),1968)</f>
        <v>1968</v>
      </c>
      <c r="G1226" s="1">
        <f ca="1">IFERROR(__xludf.DUMMYFUNCTION("""COMPUTED_VALUE"""),4180)</f>
        <v>4180</v>
      </c>
      <c r="H1226" s="1" t="str">
        <f ca="1">IFERROR(__xludf.DUMMYFUNCTION("""COMPUTED_VALUE"""),"MTLSZ004180A21")</f>
        <v>MTLSZ004180A21</v>
      </c>
      <c r="I1226" s="2">
        <f ca="1">IFERROR(__xludf.DUMMYFUNCTION("""COMPUTED_VALUE"""),44221)</f>
        <v>44221</v>
      </c>
      <c r="J1226" s="2">
        <f ca="1">IFERROR(__xludf.DUMMYFUNCTION("""COMPUTED_VALUE"""),44585)</f>
        <v>44585</v>
      </c>
    </row>
    <row r="1227" spans="1:10" x14ac:dyDescent="0.25">
      <c r="A1227" s="1" t="str">
        <f ca="1">IFERROR(__xludf.DUMMYFUNCTION("""COMPUTED_VALUE"""),"MEAFC")</f>
        <v>MEAFC</v>
      </c>
      <c r="B1227" s="1" t="str">
        <f ca="1">IFERROR(__xludf.DUMMYFUNCTION("""COMPUTED_VALUE"""),"Kiss Péter")</f>
        <v>Kiss Péter</v>
      </c>
      <c r="C1227" s="1"/>
      <c r="D1227" s="1" t="str">
        <f ca="1">IFERROR(__xludf.DUMMYFUNCTION("""COMPUTED_VALUE"""),"Férfi")</f>
        <v>Férfi</v>
      </c>
      <c r="E1227" s="1"/>
      <c r="F1227" s="1">
        <f ca="1">IFERROR(__xludf.DUMMYFUNCTION("""COMPUTED_VALUE"""),1969)</f>
        <v>1969</v>
      </c>
      <c r="G1227" s="1">
        <f ca="1">IFERROR(__xludf.DUMMYFUNCTION("""COMPUTED_VALUE"""),4185)</f>
        <v>4185</v>
      </c>
      <c r="H1227" s="1" t="str">
        <f ca="1">IFERROR(__xludf.DUMMYFUNCTION("""COMPUTED_VALUE"""),"MTLSZ004185A21")</f>
        <v>MTLSZ004185A21</v>
      </c>
      <c r="I1227" s="2">
        <f ca="1">IFERROR(__xludf.DUMMYFUNCTION("""COMPUTED_VALUE"""),44221)</f>
        <v>44221</v>
      </c>
      <c r="J1227" s="2">
        <f ca="1">IFERROR(__xludf.DUMMYFUNCTION("""COMPUTED_VALUE"""),44585)</f>
        <v>44585</v>
      </c>
    </row>
    <row r="1228" spans="1:10" x14ac:dyDescent="0.25">
      <c r="A1228" s="1" t="str">
        <f ca="1">IFERROR(__xludf.DUMMYFUNCTION("""COMPUTED_VALUE"""),"MEAFC")</f>
        <v>MEAFC</v>
      </c>
      <c r="B1228" s="1" t="str">
        <f ca="1">IFERROR(__xludf.DUMMYFUNCTION("""COMPUTED_VALUE"""),"Korniczki Ferenc")</f>
        <v>Korniczki Ferenc</v>
      </c>
      <c r="C1228" s="1"/>
      <c r="D1228" s="1" t="str">
        <f ca="1">IFERROR(__xludf.DUMMYFUNCTION("""COMPUTED_VALUE"""),"Férfi")</f>
        <v>Férfi</v>
      </c>
      <c r="E1228" s="1"/>
      <c r="F1228" s="1">
        <f ca="1">IFERROR(__xludf.DUMMYFUNCTION("""COMPUTED_VALUE"""),1984)</f>
        <v>1984</v>
      </c>
      <c r="G1228" s="1">
        <f ca="1">IFERROR(__xludf.DUMMYFUNCTION("""COMPUTED_VALUE"""),4189)</f>
        <v>4189</v>
      </c>
      <c r="H1228" s="1" t="str">
        <f ca="1">IFERROR(__xludf.DUMMYFUNCTION("""COMPUTED_VALUE"""),"MTLSZ004189A21")</f>
        <v>MTLSZ004189A21</v>
      </c>
      <c r="I1228" s="2">
        <f ca="1">IFERROR(__xludf.DUMMYFUNCTION("""COMPUTED_VALUE"""),44221)</f>
        <v>44221</v>
      </c>
      <c r="J1228" s="2">
        <f ca="1">IFERROR(__xludf.DUMMYFUNCTION("""COMPUTED_VALUE"""),44585)</f>
        <v>44585</v>
      </c>
    </row>
    <row r="1229" spans="1:10" x14ac:dyDescent="0.25">
      <c r="A1229" s="1" t="str">
        <f ca="1">IFERROR(__xludf.DUMMYFUNCTION("""COMPUTED_VALUE"""),"MEAFC")</f>
        <v>MEAFC</v>
      </c>
      <c r="B1229" s="1" t="str">
        <f ca="1">IFERROR(__xludf.DUMMYFUNCTION("""COMPUTED_VALUE"""),"Kovács Áron")</f>
        <v>Kovács Áron</v>
      </c>
      <c r="C1229" s="1"/>
      <c r="D1229" s="1" t="str">
        <f ca="1">IFERROR(__xludf.DUMMYFUNCTION("""COMPUTED_VALUE"""),"Férfi")</f>
        <v>Férfi</v>
      </c>
      <c r="E1229" s="1"/>
      <c r="F1229" s="1">
        <f ca="1">IFERROR(__xludf.DUMMYFUNCTION("""COMPUTED_VALUE"""),2004)</f>
        <v>2004</v>
      </c>
      <c r="G1229" s="1">
        <f ca="1">IFERROR(__xludf.DUMMYFUNCTION("""COMPUTED_VALUE"""),4190)</f>
        <v>4190</v>
      </c>
      <c r="H1229" s="1" t="str">
        <f ca="1">IFERROR(__xludf.DUMMYFUNCTION("""COMPUTED_VALUE"""),"MTLSZ004190A21")</f>
        <v>MTLSZ004190A21</v>
      </c>
      <c r="I1229" s="2">
        <f ca="1">IFERROR(__xludf.DUMMYFUNCTION("""COMPUTED_VALUE"""),44221)</f>
        <v>44221</v>
      </c>
      <c r="J1229" s="2">
        <f ca="1">IFERROR(__xludf.DUMMYFUNCTION("""COMPUTED_VALUE"""),44585)</f>
        <v>44585</v>
      </c>
    </row>
    <row r="1230" spans="1:10" x14ac:dyDescent="0.25">
      <c r="A1230" s="1" t="str">
        <f ca="1">IFERROR(__xludf.DUMMYFUNCTION("""COMPUTED_VALUE"""),"MEAFC")</f>
        <v>MEAFC</v>
      </c>
      <c r="B1230" s="1" t="str">
        <f ca="1">IFERROR(__xludf.DUMMYFUNCTION("""COMPUTED_VALUE"""),"Kovács Csaba")</f>
        <v>Kovács Csaba</v>
      </c>
      <c r="C1230" s="1"/>
      <c r="D1230" s="1" t="str">
        <f ca="1">IFERROR(__xludf.DUMMYFUNCTION("""COMPUTED_VALUE"""),"Férfi")</f>
        <v>Férfi</v>
      </c>
      <c r="E1230" s="1"/>
      <c r="F1230" s="1">
        <f ca="1">IFERROR(__xludf.DUMMYFUNCTION("""COMPUTED_VALUE"""),1966)</f>
        <v>1966</v>
      </c>
      <c r="G1230" s="1">
        <f ca="1">IFERROR(__xludf.DUMMYFUNCTION("""COMPUTED_VALUE"""),4187)</f>
        <v>4187</v>
      </c>
      <c r="H1230" s="1" t="str">
        <f ca="1">IFERROR(__xludf.DUMMYFUNCTION("""COMPUTED_VALUE"""),"MTLSZ004187A21")</f>
        <v>MTLSZ004187A21</v>
      </c>
      <c r="I1230" s="2">
        <f ca="1">IFERROR(__xludf.DUMMYFUNCTION("""COMPUTED_VALUE"""),44221)</f>
        <v>44221</v>
      </c>
      <c r="J1230" s="2">
        <f ca="1">IFERROR(__xludf.DUMMYFUNCTION("""COMPUTED_VALUE"""),44585)</f>
        <v>44585</v>
      </c>
    </row>
    <row r="1231" spans="1:10" x14ac:dyDescent="0.25">
      <c r="A1231" s="1" t="str">
        <f ca="1">IFERROR(__xludf.DUMMYFUNCTION("""COMPUTED_VALUE"""),"MEAFC")</f>
        <v>MEAFC</v>
      </c>
      <c r="B1231" s="1" t="str">
        <f ca="1">IFERROR(__xludf.DUMMYFUNCTION("""COMPUTED_VALUE"""),"Kovács Flóra Sára")</f>
        <v>Kovács Flóra Sára</v>
      </c>
      <c r="C1231" s="1"/>
      <c r="D1231" s="1" t="str">
        <f ca="1">IFERROR(__xludf.DUMMYFUNCTION("""COMPUTED_VALUE"""),"Nő")</f>
        <v>Nő</v>
      </c>
      <c r="E1231" s="1"/>
      <c r="F1231" s="1">
        <f ca="1">IFERROR(__xludf.DUMMYFUNCTION("""COMPUTED_VALUE"""),2010)</f>
        <v>2010</v>
      </c>
      <c r="G1231" s="1">
        <f ca="1">IFERROR(__xludf.DUMMYFUNCTION("""COMPUTED_VALUE"""),4192)</f>
        <v>4192</v>
      </c>
      <c r="H1231" s="1" t="str">
        <f ca="1">IFERROR(__xludf.DUMMYFUNCTION("""COMPUTED_VALUE"""),"MTLSZ004192A21")</f>
        <v>MTLSZ004192A21</v>
      </c>
      <c r="I1231" s="2">
        <f ca="1">IFERROR(__xludf.DUMMYFUNCTION("""COMPUTED_VALUE"""),44221)</f>
        <v>44221</v>
      </c>
      <c r="J1231" s="2">
        <f ca="1">IFERROR(__xludf.DUMMYFUNCTION("""COMPUTED_VALUE"""),44585)</f>
        <v>44585</v>
      </c>
    </row>
    <row r="1232" spans="1:10" x14ac:dyDescent="0.25">
      <c r="A1232" s="1" t="str">
        <f ca="1">IFERROR(__xludf.DUMMYFUNCTION("""COMPUTED_VALUE"""),"MEAFC")</f>
        <v>MEAFC</v>
      </c>
      <c r="B1232" s="1" t="str">
        <f ca="1">IFERROR(__xludf.DUMMYFUNCTION("""COMPUTED_VALUE"""),"Kovács-Izrael Nóra")</f>
        <v>Kovács-Izrael Nóra</v>
      </c>
      <c r="C1232" s="1"/>
      <c r="D1232" s="1" t="str">
        <f ca="1">IFERROR(__xludf.DUMMYFUNCTION("""COMPUTED_VALUE"""),"Nő")</f>
        <v>Nő</v>
      </c>
      <c r="E1232" s="1"/>
      <c r="F1232" s="1">
        <f ca="1">IFERROR(__xludf.DUMMYFUNCTION("""COMPUTED_VALUE"""),1974)</f>
        <v>1974</v>
      </c>
      <c r="G1232" s="1">
        <f ca="1">IFERROR(__xludf.DUMMYFUNCTION("""COMPUTED_VALUE"""),4184)</f>
        <v>4184</v>
      </c>
      <c r="H1232" s="1" t="str">
        <f ca="1">IFERROR(__xludf.DUMMYFUNCTION("""COMPUTED_VALUE"""),"MTLSZ004184A21")</f>
        <v>MTLSZ004184A21</v>
      </c>
      <c r="I1232" s="2">
        <f ca="1">IFERROR(__xludf.DUMMYFUNCTION("""COMPUTED_VALUE"""),44221)</f>
        <v>44221</v>
      </c>
      <c r="J1232" s="2">
        <f ca="1">IFERROR(__xludf.DUMMYFUNCTION("""COMPUTED_VALUE"""),44585)</f>
        <v>44585</v>
      </c>
    </row>
    <row r="1233" spans="1:10" x14ac:dyDescent="0.25">
      <c r="A1233" s="1" t="str">
        <f ca="1">IFERROR(__xludf.DUMMYFUNCTION("""COMPUTED_VALUE"""),"MEAFC")</f>
        <v>MEAFC</v>
      </c>
      <c r="B1233" s="1" t="str">
        <f ca="1">IFERROR(__xludf.DUMMYFUNCTION("""COMPUTED_VALUE"""),"Mende Mátyás")</f>
        <v>Mende Mátyás</v>
      </c>
      <c r="C1233" s="1"/>
      <c r="D1233" s="1" t="str">
        <f ca="1">IFERROR(__xludf.DUMMYFUNCTION("""COMPUTED_VALUE"""),"Férfi")</f>
        <v>Férfi</v>
      </c>
      <c r="E1233" s="1"/>
      <c r="F1233" s="1">
        <f ca="1">IFERROR(__xludf.DUMMYFUNCTION("""COMPUTED_VALUE"""),1966)</f>
        <v>1966</v>
      </c>
      <c r="G1233" s="1">
        <f ca="1">IFERROR(__xludf.DUMMYFUNCTION("""COMPUTED_VALUE"""),4179)</f>
        <v>4179</v>
      </c>
      <c r="H1233" s="1" t="str">
        <f ca="1">IFERROR(__xludf.DUMMYFUNCTION("""COMPUTED_VALUE"""),"MTLSZ004179A21")</f>
        <v>MTLSZ004179A21</v>
      </c>
      <c r="I1233" s="2">
        <f ca="1">IFERROR(__xludf.DUMMYFUNCTION("""COMPUTED_VALUE"""),44221)</f>
        <v>44221</v>
      </c>
      <c r="J1233" s="2">
        <f ca="1">IFERROR(__xludf.DUMMYFUNCTION("""COMPUTED_VALUE"""),44585)</f>
        <v>44585</v>
      </c>
    </row>
    <row r="1234" spans="1:10" x14ac:dyDescent="0.25">
      <c r="A1234" s="1" t="str">
        <f ca="1">IFERROR(__xludf.DUMMYFUNCTION("""COMPUTED_VALUE"""),"MEAFC")</f>
        <v>MEAFC</v>
      </c>
      <c r="B1234" s="1" t="str">
        <f ca="1">IFERROR(__xludf.DUMMYFUNCTION("""COMPUTED_VALUE"""),"Mészáros Zoltán")</f>
        <v>Mészáros Zoltán</v>
      </c>
      <c r="C1234" s="1"/>
      <c r="D1234" s="1" t="str">
        <f ca="1">IFERROR(__xludf.DUMMYFUNCTION("""COMPUTED_VALUE"""),"Férfi")</f>
        <v>Férfi</v>
      </c>
      <c r="E1234" s="1"/>
      <c r="F1234" s="1">
        <f ca="1">IFERROR(__xludf.DUMMYFUNCTION("""COMPUTED_VALUE"""),1964)</f>
        <v>1964</v>
      </c>
      <c r="G1234" s="1">
        <f ca="1">IFERROR(__xludf.DUMMYFUNCTION("""COMPUTED_VALUE"""),4194)</f>
        <v>4194</v>
      </c>
      <c r="H1234" s="1" t="str">
        <f ca="1">IFERROR(__xludf.DUMMYFUNCTION("""COMPUTED_VALUE"""),"MTLSZ004194A21")</f>
        <v>MTLSZ004194A21</v>
      </c>
      <c r="I1234" s="2">
        <f ca="1">IFERROR(__xludf.DUMMYFUNCTION("""COMPUTED_VALUE"""),44221)</f>
        <v>44221</v>
      </c>
      <c r="J1234" s="2">
        <f ca="1">IFERROR(__xludf.DUMMYFUNCTION("""COMPUTED_VALUE"""),44585)</f>
        <v>44585</v>
      </c>
    </row>
    <row r="1235" spans="1:10" x14ac:dyDescent="0.25">
      <c r="A1235" s="1" t="str">
        <f ca="1">IFERROR(__xludf.DUMMYFUNCTION("""COMPUTED_VALUE"""),"MEAFC")</f>
        <v>MEAFC</v>
      </c>
      <c r="B1235" s="1" t="str">
        <f ca="1">IFERROR(__xludf.DUMMYFUNCTION("""COMPUTED_VALUE"""),"Mezei Róbert")</f>
        <v>Mezei Róbert</v>
      </c>
      <c r="C1235" s="1"/>
      <c r="D1235" s="1" t="str">
        <f ca="1">IFERROR(__xludf.DUMMYFUNCTION("""COMPUTED_VALUE"""),"Férfi")</f>
        <v>Férfi</v>
      </c>
      <c r="E1235" s="1"/>
      <c r="F1235" s="1">
        <f ca="1">IFERROR(__xludf.DUMMYFUNCTION("""COMPUTED_VALUE"""),1972)</f>
        <v>1972</v>
      </c>
      <c r="G1235" s="1">
        <f ca="1">IFERROR(__xludf.DUMMYFUNCTION("""COMPUTED_VALUE"""),4191)</f>
        <v>4191</v>
      </c>
      <c r="H1235" s="1" t="str">
        <f ca="1">IFERROR(__xludf.DUMMYFUNCTION("""COMPUTED_VALUE"""),"MTLSZ004191A21")</f>
        <v>MTLSZ004191A21</v>
      </c>
      <c r="I1235" s="2">
        <f ca="1">IFERROR(__xludf.DUMMYFUNCTION("""COMPUTED_VALUE"""),44221)</f>
        <v>44221</v>
      </c>
      <c r="J1235" s="2">
        <f ca="1">IFERROR(__xludf.DUMMYFUNCTION("""COMPUTED_VALUE"""),44585)</f>
        <v>44585</v>
      </c>
    </row>
    <row r="1236" spans="1:10" x14ac:dyDescent="0.25">
      <c r="A1236" s="1" t="str">
        <f ca="1">IFERROR(__xludf.DUMMYFUNCTION("""COMPUTED_VALUE"""),"MEAFC")</f>
        <v>MEAFC</v>
      </c>
      <c r="B1236" s="1" t="str">
        <f ca="1">IFERROR(__xludf.DUMMYFUNCTION("""COMPUTED_VALUE"""),"Nagy András")</f>
        <v>Nagy András</v>
      </c>
      <c r="C1236" s="1"/>
      <c r="D1236" s="1" t="str">
        <f ca="1">IFERROR(__xludf.DUMMYFUNCTION("""COMPUTED_VALUE"""),"Férfi")</f>
        <v>Férfi</v>
      </c>
      <c r="E1236" s="1"/>
      <c r="F1236" s="1">
        <f ca="1">IFERROR(__xludf.DUMMYFUNCTION("""COMPUTED_VALUE"""),1969)</f>
        <v>1969</v>
      </c>
      <c r="G1236" s="1">
        <f ca="1">IFERROR(__xludf.DUMMYFUNCTION("""COMPUTED_VALUE"""),4165)</f>
        <v>4165</v>
      </c>
      <c r="H1236" s="1" t="str">
        <f ca="1">IFERROR(__xludf.DUMMYFUNCTION("""COMPUTED_VALUE"""),"MTLSZ004165A21")</f>
        <v>MTLSZ004165A21</v>
      </c>
      <c r="I1236" s="2">
        <f ca="1">IFERROR(__xludf.DUMMYFUNCTION("""COMPUTED_VALUE"""),44221)</f>
        <v>44221</v>
      </c>
      <c r="J1236" s="2">
        <f ca="1">IFERROR(__xludf.DUMMYFUNCTION("""COMPUTED_VALUE"""),44585)</f>
        <v>44585</v>
      </c>
    </row>
    <row r="1237" spans="1:10" x14ac:dyDescent="0.25">
      <c r="A1237" s="1" t="str">
        <f ca="1">IFERROR(__xludf.DUMMYFUNCTION("""COMPUTED_VALUE"""),"MEAFC")</f>
        <v>MEAFC</v>
      </c>
      <c r="B1237" s="1" t="str">
        <f ca="1">IFERROR(__xludf.DUMMYFUNCTION("""COMPUTED_VALUE"""),"Pálffy Gábor")</f>
        <v>Pálffy Gábor</v>
      </c>
      <c r="C1237" s="1"/>
      <c r="D1237" s="1" t="str">
        <f ca="1">IFERROR(__xludf.DUMMYFUNCTION("""COMPUTED_VALUE"""),"Férfi")</f>
        <v>Férfi</v>
      </c>
      <c r="E1237" s="1"/>
      <c r="F1237" s="1">
        <f ca="1">IFERROR(__xludf.DUMMYFUNCTION("""COMPUTED_VALUE"""),1970)</f>
        <v>1970</v>
      </c>
      <c r="G1237" s="1">
        <f ca="1">IFERROR(__xludf.DUMMYFUNCTION("""COMPUTED_VALUE"""),4182)</f>
        <v>4182</v>
      </c>
      <c r="H1237" s="1" t="str">
        <f ca="1">IFERROR(__xludf.DUMMYFUNCTION("""COMPUTED_VALUE"""),"MTLSZ004182A21")</f>
        <v>MTLSZ004182A21</v>
      </c>
      <c r="I1237" s="2">
        <f ca="1">IFERROR(__xludf.DUMMYFUNCTION("""COMPUTED_VALUE"""),44221)</f>
        <v>44221</v>
      </c>
      <c r="J1237" s="2">
        <f ca="1">IFERROR(__xludf.DUMMYFUNCTION("""COMPUTED_VALUE"""),44585)</f>
        <v>44585</v>
      </c>
    </row>
    <row r="1238" spans="1:10" x14ac:dyDescent="0.25">
      <c r="A1238" s="1" t="str">
        <f ca="1">IFERROR(__xludf.DUMMYFUNCTION("""COMPUTED_VALUE"""),"MEAFC")</f>
        <v>MEAFC</v>
      </c>
      <c r="B1238" s="1" t="str">
        <f ca="1">IFERROR(__xludf.DUMMYFUNCTION("""COMPUTED_VALUE"""),"Rozmán Ferenc")</f>
        <v>Rozmán Ferenc</v>
      </c>
      <c r="C1238" s="1"/>
      <c r="D1238" s="1" t="str">
        <f ca="1">IFERROR(__xludf.DUMMYFUNCTION("""COMPUTED_VALUE"""),"Férfi")</f>
        <v>Férfi</v>
      </c>
      <c r="E1238" s="1"/>
      <c r="F1238" s="1">
        <f ca="1">IFERROR(__xludf.DUMMYFUNCTION("""COMPUTED_VALUE"""),1978)</f>
        <v>1978</v>
      </c>
      <c r="G1238" s="1">
        <f ca="1">IFERROR(__xludf.DUMMYFUNCTION("""COMPUTED_VALUE"""),4193)</f>
        <v>4193</v>
      </c>
      <c r="H1238" s="1" t="str">
        <f ca="1">IFERROR(__xludf.DUMMYFUNCTION("""COMPUTED_VALUE"""),"MTLSZ004193A21")</f>
        <v>MTLSZ004193A21</v>
      </c>
      <c r="I1238" s="2">
        <f ca="1">IFERROR(__xludf.DUMMYFUNCTION("""COMPUTED_VALUE"""),44221)</f>
        <v>44221</v>
      </c>
      <c r="J1238" s="2">
        <f ca="1">IFERROR(__xludf.DUMMYFUNCTION("""COMPUTED_VALUE"""),44585)</f>
        <v>44585</v>
      </c>
    </row>
    <row r="1239" spans="1:10" x14ac:dyDescent="0.25">
      <c r="A1239" s="1" t="str">
        <f ca="1">IFERROR(__xludf.DUMMYFUNCTION("""COMPUTED_VALUE"""),"MEAFC")</f>
        <v>MEAFC</v>
      </c>
      <c r="B1239" s="1" t="str">
        <f ca="1">IFERROR(__xludf.DUMMYFUNCTION("""COMPUTED_VALUE"""),"Somosvári Dóra Dr.")</f>
        <v>Somosvári Dóra Dr.</v>
      </c>
      <c r="C1239" s="1"/>
      <c r="D1239" s="1" t="str">
        <f ca="1">IFERROR(__xludf.DUMMYFUNCTION("""COMPUTED_VALUE"""),"Nő")</f>
        <v>Nő</v>
      </c>
      <c r="E1239" s="1"/>
      <c r="F1239" s="1">
        <f ca="1">IFERROR(__xludf.DUMMYFUNCTION("""COMPUTED_VALUE"""),1972)</f>
        <v>1972</v>
      </c>
      <c r="G1239" s="1">
        <f ca="1">IFERROR(__xludf.DUMMYFUNCTION("""COMPUTED_VALUE"""),4172)</f>
        <v>4172</v>
      </c>
      <c r="H1239" s="1" t="str">
        <f ca="1">IFERROR(__xludf.DUMMYFUNCTION("""COMPUTED_VALUE"""),"MTLSZ004172A21")</f>
        <v>MTLSZ004172A21</v>
      </c>
      <c r="I1239" s="2">
        <f ca="1">IFERROR(__xludf.DUMMYFUNCTION("""COMPUTED_VALUE"""),44221)</f>
        <v>44221</v>
      </c>
      <c r="J1239" s="2">
        <f ca="1">IFERROR(__xludf.DUMMYFUNCTION("""COMPUTED_VALUE"""),44585)</f>
        <v>44585</v>
      </c>
    </row>
    <row r="1240" spans="1:10" x14ac:dyDescent="0.25">
      <c r="A1240" s="1" t="str">
        <f ca="1">IFERROR(__xludf.DUMMYFUNCTION("""COMPUTED_VALUE"""),"MEAFC")</f>
        <v>MEAFC</v>
      </c>
      <c r="B1240" s="1" t="str">
        <f ca="1">IFERROR(__xludf.DUMMYFUNCTION("""COMPUTED_VALUE"""),"Szántó Ákos Dr.")</f>
        <v>Szántó Ákos Dr.</v>
      </c>
      <c r="C1240" s="1"/>
      <c r="D1240" s="1" t="str">
        <f ca="1">IFERROR(__xludf.DUMMYFUNCTION("""COMPUTED_VALUE"""),"Férfi")</f>
        <v>Férfi</v>
      </c>
      <c r="E1240" s="1"/>
      <c r="F1240" s="1">
        <f ca="1">IFERROR(__xludf.DUMMYFUNCTION("""COMPUTED_VALUE"""),1972)</f>
        <v>1972</v>
      </c>
      <c r="G1240" s="1">
        <f ca="1">IFERROR(__xludf.DUMMYFUNCTION("""COMPUTED_VALUE"""),4186)</f>
        <v>4186</v>
      </c>
      <c r="H1240" s="1" t="str">
        <f ca="1">IFERROR(__xludf.DUMMYFUNCTION("""COMPUTED_VALUE"""),"MTLSZ004186A21")</f>
        <v>MTLSZ004186A21</v>
      </c>
      <c r="I1240" s="2">
        <f ca="1">IFERROR(__xludf.DUMMYFUNCTION("""COMPUTED_VALUE"""),44221)</f>
        <v>44221</v>
      </c>
      <c r="J1240" s="2">
        <f ca="1">IFERROR(__xludf.DUMMYFUNCTION("""COMPUTED_VALUE"""),44585)</f>
        <v>44585</v>
      </c>
    </row>
    <row r="1241" spans="1:10" x14ac:dyDescent="0.25">
      <c r="A1241" s="1" t="str">
        <f ca="1">IFERROR(__xludf.DUMMYFUNCTION("""COMPUTED_VALUE"""),"MEAFC")</f>
        <v>MEAFC</v>
      </c>
      <c r="B1241" s="1" t="str">
        <f ca="1">IFERROR(__xludf.DUMMYFUNCTION("""COMPUTED_VALUE"""),"Szepessy Tibor")</f>
        <v>Szepessy Tibor</v>
      </c>
      <c r="C1241" s="1"/>
      <c r="D1241" s="1" t="str">
        <f ca="1">IFERROR(__xludf.DUMMYFUNCTION("""COMPUTED_VALUE"""),"Férfi")</f>
        <v>Férfi</v>
      </c>
      <c r="E1241" s="1"/>
      <c r="F1241" s="1">
        <f ca="1">IFERROR(__xludf.DUMMYFUNCTION("""COMPUTED_VALUE"""),1971)</f>
        <v>1971</v>
      </c>
      <c r="G1241" s="1">
        <f ca="1">IFERROR(__xludf.DUMMYFUNCTION("""COMPUTED_VALUE"""),4183)</f>
        <v>4183</v>
      </c>
      <c r="H1241" s="1" t="str">
        <f ca="1">IFERROR(__xludf.DUMMYFUNCTION("""COMPUTED_VALUE"""),"MTLSZ004183A21")</f>
        <v>MTLSZ004183A21</v>
      </c>
      <c r="I1241" s="2">
        <f ca="1">IFERROR(__xludf.DUMMYFUNCTION("""COMPUTED_VALUE"""),44221)</f>
        <v>44221</v>
      </c>
      <c r="J1241" s="2">
        <f ca="1">IFERROR(__xludf.DUMMYFUNCTION("""COMPUTED_VALUE"""),44585)</f>
        <v>44585</v>
      </c>
    </row>
    <row r="1242" spans="1:10" x14ac:dyDescent="0.25">
      <c r="A1242" s="1" t="str">
        <f ca="1">IFERROR(__xludf.DUMMYFUNCTION("""COMPUTED_VALUE"""),"MEAFC")</f>
        <v>MEAFC</v>
      </c>
      <c r="B1242" s="1" t="str">
        <f ca="1">IFERROR(__xludf.DUMMYFUNCTION("""COMPUTED_VALUE"""),"Tari Zoltán")</f>
        <v>Tari Zoltán</v>
      </c>
      <c r="C1242" s="1"/>
      <c r="D1242" s="1" t="str">
        <f ca="1">IFERROR(__xludf.DUMMYFUNCTION("""COMPUTED_VALUE"""),"Férfi")</f>
        <v>Férfi</v>
      </c>
      <c r="E1242" s="1"/>
      <c r="F1242" s="1">
        <f ca="1">IFERROR(__xludf.DUMMYFUNCTION("""COMPUTED_VALUE"""),1967)</f>
        <v>1967</v>
      </c>
      <c r="G1242" s="1">
        <f ca="1">IFERROR(__xludf.DUMMYFUNCTION("""COMPUTED_VALUE"""),4173)</f>
        <v>4173</v>
      </c>
      <c r="H1242" s="1" t="str">
        <f ca="1">IFERROR(__xludf.DUMMYFUNCTION("""COMPUTED_VALUE"""),"MTLSZ004173A21")</f>
        <v>MTLSZ004173A21</v>
      </c>
      <c r="I1242" s="2">
        <f ca="1">IFERROR(__xludf.DUMMYFUNCTION("""COMPUTED_VALUE"""),44221)</f>
        <v>44221</v>
      </c>
      <c r="J1242" s="2">
        <f ca="1">IFERROR(__xludf.DUMMYFUNCTION("""COMPUTED_VALUE"""),44585)</f>
        <v>44585</v>
      </c>
    </row>
    <row r="1243" spans="1:10" x14ac:dyDescent="0.25">
      <c r="A1243" s="1" t="str">
        <f ca="1">IFERROR(__xludf.DUMMYFUNCTION("""COMPUTED_VALUE"""),"MEAFC")</f>
        <v>MEAFC</v>
      </c>
      <c r="B1243" s="1" t="str">
        <f ca="1">IFERROR(__xludf.DUMMYFUNCTION("""COMPUTED_VALUE"""),"Zsarnai Melinda")</f>
        <v>Zsarnai Melinda</v>
      </c>
      <c r="C1243" s="1"/>
      <c r="D1243" s="1" t="str">
        <f ca="1">IFERROR(__xludf.DUMMYFUNCTION("""COMPUTED_VALUE"""),"Nő")</f>
        <v>Nő</v>
      </c>
      <c r="E1243" s="1"/>
      <c r="F1243" s="1">
        <f ca="1">IFERROR(__xludf.DUMMYFUNCTION("""COMPUTED_VALUE"""),1976)</f>
        <v>1976</v>
      </c>
      <c r="G1243" s="1">
        <f ca="1">IFERROR(__xludf.DUMMYFUNCTION("""COMPUTED_VALUE"""),4195)</f>
        <v>4195</v>
      </c>
      <c r="H1243" s="1" t="str">
        <f ca="1">IFERROR(__xludf.DUMMYFUNCTION("""COMPUTED_VALUE"""),"MTLSZ004195A21")</f>
        <v>MTLSZ004195A21</v>
      </c>
      <c r="I1243" s="2">
        <f ca="1">IFERROR(__xludf.DUMMYFUNCTION("""COMPUTED_VALUE"""),44221)</f>
        <v>44221</v>
      </c>
      <c r="J1243" s="2">
        <f ca="1">IFERROR(__xludf.DUMMYFUNCTION("""COMPUTED_VALUE"""),44585)</f>
        <v>44585</v>
      </c>
    </row>
    <row r="1244" spans="1:10" x14ac:dyDescent="0.25">
      <c r="A1244" s="1" t="str">
        <f ca="1">IFERROR(__xludf.DUMMYFUNCTION("""COMPUTED_VALUE"""),"T(r)ollas SE")</f>
        <v>T(r)ollas SE</v>
      </c>
      <c r="B1244" s="1" t="str">
        <f ca="1">IFERROR(__xludf.DUMMYFUNCTION("""COMPUTED_VALUE"""),"Baranwal Niteesh")</f>
        <v>Baranwal Niteesh</v>
      </c>
      <c r="C1244" s="1"/>
      <c r="D1244" s="1" t="str">
        <f ca="1">IFERROR(__xludf.DUMMYFUNCTION("""COMPUTED_VALUE"""),"Férfi")</f>
        <v>Férfi</v>
      </c>
      <c r="E1244" s="1"/>
      <c r="F1244" s="1">
        <f ca="1">IFERROR(__xludf.DUMMYFUNCTION("""COMPUTED_VALUE"""),1986)</f>
        <v>1986</v>
      </c>
      <c r="G1244" s="1">
        <f ca="1">IFERROR(__xludf.DUMMYFUNCTION("""COMPUTED_VALUE"""),4137)</f>
        <v>4137</v>
      </c>
      <c r="H1244" s="1" t="str">
        <f ca="1">IFERROR(__xludf.DUMMYFUNCTION("""COMPUTED_VALUE"""),"MTLSZ004137A21")</f>
        <v>MTLSZ004137A21</v>
      </c>
      <c r="I1244" s="2">
        <f ca="1">IFERROR(__xludf.DUMMYFUNCTION("""COMPUTED_VALUE"""),44221)</f>
        <v>44221</v>
      </c>
      <c r="J1244" s="2">
        <f ca="1">IFERROR(__xludf.DUMMYFUNCTION("""COMPUTED_VALUE"""),44585)</f>
        <v>44585</v>
      </c>
    </row>
    <row r="1245" spans="1:10" x14ac:dyDescent="0.25">
      <c r="A1245" s="1" t="str">
        <f ca="1">IFERROR(__xludf.DUMMYFUNCTION("""COMPUTED_VALUE"""),"Újpest TSE")</f>
        <v>Újpest TSE</v>
      </c>
      <c r="B1245" s="1" t="str">
        <f ca="1">IFERROR(__xludf.DUMMYFUNCTION("""COMPUTED_VALUE"""),"Fluck Balázs")</f>
        <v>Fluck Balázs</v>
      </c>
      <c r="C1245" s="1"/>
      <c r="D1245" s="1" t="str">
        <f ca="1">IFERROR(__xludf.DUMMYFUNCTION("""COMPUTED_VALUE"""),"Férfi")</f>
        <v>Férfi</v>
      </c>
      <c r="E1245" s="1"/>
      <c r="F1245" s="1">
        <f ca="1">IFERROR(__xludf.DUMMYFUNCTION("""COMPUTED_VALUE"""),1978)</f>
        <v>1978</v>
      </c>
      <c r="G1245" s="1">
        <f ca="1">IFERROR(__xludf.DUMMYFUNCTION("""COMPUTED_VALUE"""),4197)</f>
        <v>4197</v>
      </c>
      <c r="H1245" s="1" t="str">
        <f ca="1">IFERROR(__xludf.DUMMYFUNCTION("""COMPUTED_VALUE"""),"MTLSZ004197A21")</f>
        <v>MTLSZ004197A21</v>
      </c>
      <c r="I1245" s="2">
        <f ca="1">IFERROR(__xludf.DUMMYFUNCTION("""COMPUTED_VALUE"""),44221)</f>
        <v>44221</v>
      </c>
      <c r="J1245" s="2">
        <f ca="1">IFERROR(__xludf.DUMMYFUNCTION("""COMPUTED_VALUE"""),44585)</f>
        <v>44585</v>
      </c>
    </row>
    <row r="1246" spans="1:10" x14ac:dyDescent="0.25">
      <c r="A1246" s="1" t="str">
        <f ca="1">IFERROR(__xludf.DUMMYFUNCTION("""COMPUTED_VALUE"""),"Újpest TSE")</f>
        <v>Újpest TSE</v>
      </c>
      <c r="B1246" s="1" t="str">
        <f ca="1">IFERROR(__xludf.DUMMYFUNCTION("""COMPUTED_VALUE"""),"Laczkovics Zoltán")</f>
        <v>Laczkovics Zoltán</v>
      </c>
      <c r="C1246" s="1"/>
      <c r="D1246" s="1" t="str">
        <f ca="1">IFERROR(__xludf.DUMMYFUNCTION("""COMPUTED_VALUE"""),"Férfi")</f>
        <v>Férfi</v>
      </c>
      <c r="E1246" s="1"/>
      <c r="F1246" s="1">
        <f ca="1">IFERROR(__xludf.DUMMYFUNCTION("""COMPUTED_VALUE"""),1967)</f>
        <v>1967</v>
      </c>
      <c r="G1246" s="1">
        <f ca="1">IFERROR(__xludf.DUMMYFUNCTION("""COMPUTED_VALUE"""),4196)</f>
        <v>4196</v>
      </c>
      <c r="H1246" s="1" t="str">
        <f ca="1">IFERROR(__xludf.DUMMYFUNCTION("""COMPUTED_VALUE"""),"MTLSZ004196A21")</f>
        <v>MTLSZ004196A21</v>
      </c>
      <c r="I1246" s="2">
        <f ca="1">IFERROR(__xludf.DUMMYFUNCTION("""COMPUTED_VALUE"""),44221)</f>
        <v>44221</v>
      </c>
      <c r="J1246" s="2">
        <f ca="1">IFERROR(__xludf.DUMMYFUNCTION("""COMPUTED_VALUE"""),44585)</f>
        <v>44585</v>
      </c>
    </row>
    <row r="1247" spans="1:10" x14ac:dyDescent="0.25">
      <c r="A1247" s="1" t="str">
        <f ca="1">IFERROR(__xludf.DUMMYFUNCTION("""COMPUTED_VALUE"""),"Életmód SE")</f>
        <v>Életmód SE</v>
      </c>
      <c r="B1247" s="1" t="str">
        <f ca="1">IFERROR(__xludf.DUMMYFUNCTION("""COMPUTED_VALUE"""),"Deli Tamás")</f>
        <v>Deli Tamás</v>
      </c>
      <c r="C1247" s="1"/>
      <c r="D1247" s="1" t="str">
        <f ca="1">IFERROR(__xludf.DUMMYFUNCTION("""COMPUTED_VALUE"""),"Férfi")</f>
        <v>Férfi</v>
      </c>
      <c r="E1247" s="1"/>
      <c r="F1247" s="1">
        <f ca="1">IFERROR(__xludf.DUMMYFUNCTION("""COMPUTED_VALUE"""),1991)</f>
        <v>1991</v>
      </c>
      <c r="G1247" s="1">
        <f ca="1">IFERROR(__xludf.DUMMYFUNCTION("""COMPUTED_VALUE"""),4156)</f>
        <v>4156</v>
      </c>
      <c r="H1247" s="1" t="str">
        <f ca="1">IFERROR(__xludf.DUMMYFUNCTION("""COMPUTED_VALUE"""),"MTLSZ004156A21")</f>
        <v>MTLSZ004156A21</v>
      </c>
      <c r="I1247" s="2">
        <f ca="1">IFERROR(__xludf.DUMMYFUNCTION("""COMPUTED_VALUE"""),44220)</f>
        <v>44220</v>
      </c>
      <c r="J1247" s="2">
        <f ca="1">IFERROR(__xludf.DUMMYFUNCTION("""COMPUTED_VALUE"""),44584)</f>
        <v>44584</v>
      </c>
    </row>
    <row r="1248" spans="1:10" x14ac:dyDescent="0.25">
      <c r="A1248" s="1" t="str">
        <f ca="1">IFERROR(__xludf.DUMMYFUNCTION("""COMPUTED_VALUE"""),"Életmód SE")</f>
        <v>Életmód SE</v>
      </c>
      <c r="B1248" s="1" t="str">
        <f ca="1">IFERROR(__xludf.DUMMYFUNCTION("""COMPUTED_VALUE"""),"Fedák Antónia")</f>
        <v>Fedák Antónia</v>
      </c>
      <c r="C1248" s="1"/>
      <c r="D1248" s="1" t="str">
        <f ca="1">IFERROR(__xludf.DUMMYFUNCTION("""COMPUTED_VALUE"""),"Nő")</f>
        <v>Nő</v>
      </c>
      <c r="E1248" s="1"/>
      <c r="F1248" s="1">
        <f ca="1">IFERROR(__xludf.DUMMYFUNCTION("""COMPUTED_VALUE"""),2002)</f>
        <v>2002</v>
      </c>
      <c r="G1248" s="1">
        <f ca="1">IFERROR(__xludf.DUMMYFUNCTION("""COMPUTED_VALUE"""),4154)</f>
        <v>4154</v>
      </c>
      <c r="H1248" s="1" t="str">
        <f ca="1">IFERROR(__xludf.DUMMYFUNCTION("""COMPUTED_VALUE"""),"MTLSZ004154A21")</f>
        <v>MTLSZ004154A21</v>
      </c>
      <c r="I1248" s="2">
        <f ca="1">IFERROR(__xludf.DUMMYFUNCTION("""COMPUTED_VALUE"""),44220)</f>
        <v>44220</v>
      </c>
      <c r="J1248" s="2">
        <f ca="1">IFERROR(__xludf.DUMMYFUNCTION("""COMPUTED_VALUE"""),44584)</f>
        <v>44584</v>
      </c>
    </row>
    <row r="1249" spans="1:10" x14ac:dyDescent="0.25">
      <c r="A1249" s="1" t="str">
        <f ca="1">IFERROR(__xludf.DUMMYFUNCTION("""COMPUTED_VALUE"""),"Életmód SE")</f>
        <v>Életmód SE</v>
      </c>
      <c r="B1249" s="1" t="str">
        <f ca="1">IFERROR(__xludf.DUMMYFUNCTION("""COMPUTED_VALUE"""),"Kunszt Zsolt")</f>
        <v>Kunszt Zsolt</v>
      </c>
      <c r="C1249" s="1"/>
      <c r="D1249" s="1" t="str">
        <f ca="1">IFERROR(__xludf.DUMMYFUNCTION("""COMPUTED_VALUE"""),"Férfi")</f>
        <v>Férfi</v>
      </c>
      <c r="E1249" s="1"/>
      <c r="F1249" s="1">
        <f ca="1">IFERROR(__xludf.DUMMYFUNCTION("""COMPUTED_VALUE"""),1972)</f>
        <v>1972</v>
      </c>
      <c r="G1249" s="1">
        <f ca="1">IFERROR(__xludf.DUMMYFUNCTION("""COMPUTED_VALUE"""),4155)</f>
        <v>4155</v>
      </c>
      <c r="H1249" s="1" t="str">
        <f ca="1">IFERROR(__xludf.DUMMYFUNCTION("""COMPUTED_VALUE"""),"MTLSZ004155A21")</f>
        <v>MTLSZ004155A21</v>
      </c>
      <c r="I1249" s="2">
        <f ca="1">IFERROR(__xludf.DUMMYFUNCTION("""COMPUTED_VALUE"""),44220)</f>
        <v>44220</v>
      </c>
      <c r="J1249" s="2">
        <f ca="1">IFERROR(__xludf.DUMMYFUNCTION("""COMPUTED_VALUE"""),44584)</f>
        <v>44584</v>
      </c>
    </row>
    <row r="1250" spans="1:10" x14ac:dyDescent="0.25">
      <c r="A1250" s="1" t="str">
        <f ca="1">IFERROR(__xludf.DUMMYFUNCTION("""COMPUTED_VALUE"""),"MEAFC")</f>
        <v>MEAFC</v>
      </c>
      <c r="B1250" s="1" t="str">
        <f ca="1">IFERROR(__xludf.DUMMYFUNCTION("""COMPUTED_VALUE"""),"Béres Tibor")</f>
        <v>Béres Tibor</v>
      </c>
      <c r="C1250" s="1"/>
      <c r="D1250" s="1" t="str">
        <f ca="1">IFERROR(__xludf.DUMMYFUNCTION("""COMPUTED_VALUE"""),"Férfi")</f>
        <v>Férfi</v>
      </c>
      <c r="E1250" s="1"/>
      <c r="F1250" s="1">
        <f ca="1">IFERROR(__xludf.DUMMYFUNCTION("""COMPUTED_VALUE"""),1974)</f>
        <v>1974</v>
      </c>
      <c r="G1250" s="1">
        <f ca="1">IFERROR(__xludf.DUMMYFUNCTION("""COMPUTED_VALUE"""),4157)</f>
        <v>4157</v>
      </c>
      <c r="H1250" s="1" t="str">
        <f ca="1">IFERROR(__xludf.DUMMYFUNCTION("""COMPUTED_VALUE"""),"MTLSZ004157A21")</f>
        <v>MTLSZ004157A21</v>
      </c>
      <c r="I1250" s="2">
        <f ca="1">IFERROR(__xludf.DUMMYFUNCTION("""COMPUTED_VALUE"""),44220)</f>
        <v>44220</v>
      </c>
      <c r="J1250" s="2">
        <f ca="1">IFERROR(__xludf.DUMMYFUNCTION("""COMPUTED_VALUE"""),44584)</f>
        <v>44584</v>
      </c>
    </row>
    <row r="1251" spans="1:10" x14ac:dyDescent="0.25">
      <c r="A1251" s="1" t="str">
        <f ca="1">IFERROR(__xludf.DUMMYFUNCTION("""COMPUTED_VALUE"""),"MEAFC")</f>
        <v>MEAFC</v>
      </c>
      <c r="B1251" s="1" t="str">
        <f ca="1">IFERROR(__xludf.DUMMYFUNCTION("""COMPUTED_VALUE"""),"Bodnár Róbert")</f>
        <v>Bodnár Róbert</v>
      </c>
      <c r="C1251" s="1"/>
      <c r="D1251" s="1" t="str">
        <f ca="1">IFERROR(__xludf.DUMMYFUNCTION("""COMPUTED_VALUE"""),"Férfi")</f>
        <v>Férfi</v>
      </c>
      <c r="E1251" s="1"/>
      <c r="F1251" s="1">
        <f ca="1">IFERROR(__xludf.DUMMYFUNCTION("""COMPUTED_VALUE"""),1973)</f>
        <v>1973</v>
      </c>
      <c r="G1251" s="1">
        <f ca="1">IFERROR(__xludf.DUMMYFUNCTION("""COMPUTED_VALUE"""),4158)</f>
        <v>4158</v>
      </c>
      <c r="H1251" s="1" t="str">
        <f ca="1">IFERROR(__xludf.DUMMYFUNCTION("""COMPUTED_VALUE"""),"MTLSZ004158A21")</f>
        <v>MTLSZ004158A21</v>
      </c>
      <c r="I1251" s="2">
        <f ca="1">IFERROR(__xludf.DUMMYFUNCTION("""COMPUTED_VALUE"""),44220)</f>
        <v>44220</v>
      </c>
      <c r="J1251" s="2">
        <f ca="1">IFERROR(__xludf.DUMMYFUNCTION("""COMPUTED_VALUE"""),44584)</f>
        <v>44584</v>
      </c>
    </row>
    <row r="1252" spans="1:10" x14ac:dyDescent="0.25">
      <c r="A1252" s="1" t="str">
        <f ca="1">IFERROR(__xludf.DUMMYFUNCTION("""COMPUTED_VALUE"""),"MEAFC")</f>
        <v>MEAFC</v>
      </c>
      <c r="B1252" s="1" t="str">
        <f ca="1">IFERROR(__xludf.DUMMYFUNCTION("""COMPUTED_VALUE"""),"Bodnárné Sándor Renáta")</f>
        <v>Bodnárné Sándor Renáta</v>
      </c>
      <c r="C1252" s="1"/>
      <c r="D1252" s="1" t="str">
        <f ca="1">IFERROR(__xludf.DUMMYFUNCTION("""COMPUTED_VALUE"""),"Nő")</f>
        <v>Nő</v>
      </c>
      <c r="E1252" s="1"/>
      <c r="F1252" s="1">
        <f ca="1">IFERROR(__xludf.DUMMYFUNCTION("""COMPUTED_VALUE"""),1973)</f>
        <v>1973</v>
      </c>
      <c r="G1252" s="1">
        <f ca="1">IFERROR(__xludf.DUMMYFUNCTION("""COMPUTED_VALUE"""),93)</f>
        <v>93</v>
      </c>
      <c r="H1252" s="1" t="str">
        <f ca="1">IFERROR(__xludf.DUMMYFUNCTION("""COMPUTED_VALUE"""),"MTLSZ000093A21")</f>
        <v>MTLSZ000093A21</v>
      </c>
      <c r="I1252" s="2">
        <f ca="1">IFERROR(__xludf.DUMMYFUNCTION("""COMPUTED_VALUE"""),44220)</f>
        <v>44220</v>
      </c>
      <c r="J1252" s="2">
        <f ca="1">IFERROR(__xludf.DUMMYFUNCTION("""COMPUTED_VALUE"""),44584)</f>
        <v>44584</v>
      </c>
    </row>
    <row r="1253" spans="1:10" x14ac:dyDescent="0.25">
      <c r="A1253" s="1" t="str">
        <f ca="1">IFERROR(__xludf.DUMMYFUNCTION("""COMPUTED_VALUE"""),"MEAFC")</f>
        <v>MEAFC</v>
      </c>
      <c r="B1253" s="1" t="str">
        <f ca="1">IFERROR(__xludf.DUMMYFUNCTION("""COMPUTED_VALUE"""),"Boldizsár Attila")</f>
        <v>Boldizsár Attila</v>
      </c>
      <c r="C1253" s="1"/>
      <c r="D1253" s="1" t="str">
        <f ca="1">IFERROR(__xludf.DUMMYFUNCTION("""COMPUTED_VALUE"""),"Férfi")</f>
        <v>Férfi</v>
      </c>
      <c r="E1253" s="1"/>
      <c r="F1253" s="1">
        <f ca="1">IFERROR(__xludf.DUMMYFUNCTION("""COMPUTED_VALUE"""),1969)</f>
        <v>1969</v>
      </c>
      <c r="G1253" s="1">
        <f ca="1">IFERROR(__xludf.DUMMYFUNCTION("""COMPUTED_VALUE"""),4159)</f>
        <v>4159</v>
      </c>
      <c r="H1253" s="1" t="str">
        <f ca="1">IFERROR(__xludf.DUMMYFUNCTION("""COMPUTED_VALUE"""),"MTLSZ004159A21")</f>
        <v>MTLSZ004159A21</v>
      </c>
      <c r="I1253" s="2">
        <f ca="1">IFERROR(__xludf.DUMMYFUNCTION("""COMPUTED_VALUE"""),44220)</f>
        <v>44220</v>
      </c>
      <c r="J1253" s="2">
        <f ca="1">IFERROR(__xludf.DUMMYFUNCTION("""COMPUTED_VALUE"""),44584)</f>
        <v>44584</v>
      </c>
    </row>
    <row r="1254" spans="1:10" x14ac:dyDescent="0.25">
      <c r="A1254" s="1" t="str">
        <f ca="1">IFERROR(__xludf.DUMMYFUNCTION("""COMPUTED_VALUE"""),"MEAFC")</f>
        <v>MEAFC</v>
      </c>
      <c r="B1254" s="1" t="str">
        <f ca="1">IFERROR(__xludf.DUMMYFUNCTION("""COMPUTED_VALUE"""),"Cheng Kang Lee")</f>
        <v>Cheng Kang Lee</v>
      </c>
      <c r="C1254" s="1"/>
      <c r="D1254" s="1" t="str">
        <f ca="1">IFERROR(__xludf.DUMMYFUNCTION("""COMPUTED_VALUE"""),"Nő")</f>
        <v>Nő</v>
      </c>
      <c r="E1254" s="1"/>
      <c r="F1254" s="1">
        <f ca="1">IFERROR(__xludf.DUMMYFUNCTION("""COMPUTED_VALUE"""),1977)</f>
        <v>1977</v>
      </c>
      <c r="G1254" s="1">
        <f ca="1">IFERROR(__xludf.DUMMYFUNCTION("""COMPUTED_VALUE"""),4160)</f>
        <v>4160</v>
      </c>
      <c r="H1254" s="1" t="str">
        <f ca="1">IFERROR(__xludf.DUMMYFUNCTION("""COMPUTED_VALUE"""),"MTLSZ004160A21")</f>
        <v>MTLSZ004160A21</v>
      </c>
      <c r="I1254" s="2">
        <f ca="1">IFERROR(__xludf.DUMMYFUNCTION("""COMPUTED_VALUE"""),44220)</f>
        <v>44220</v>
      </c>
      <c r="J1254" s="2">
        <f ca="1">IFERROR(__xludf.DUMMYFUNCTION("""COMPUTED_VALUE"""),44584)</f>
        <v>44584</v>
      </c>
    </row>
    <row r="1255" spans="1:10" x14ac:dyDescent="0.25">
      <c r="A1255" s="1" t="str">
        <f ca="1">IFERROR(__xludf.DUMMYFUNCTION("""COMPUTED_VALUE"""),"MEAFC")</f>
        <v>MEAFC</v>
      </c>
      <c r="B1255" s="1" t="str">
        <f ca="1">IFERROR(__xludf.DUMMYFUNCTION("""COMPUTED_VALUE"""),"Guzi Dóra")</f>
        <v>Guzi Dóra</v>
      </c>
      <c r="C1255" s="1"/>
      <c r="D1255" s="1" t="str">
        <f ca="1">IFERROR(__xludf.DUMMYFUNCTION("""COMPUTED_VALUE"""),"Nő")</f>
        <v>Nő</v>
      </c>
      <c r="E1255" s="1"/>
      <c r="F1255" s="1">
        <f ca="1">IFERROR(__xludf.DUMMYFUNCTION("""COMPUTED_VALUE"""),1991)</f>
        <v>1991</v>
      </c>
      <c r="G1255" s="1">
        <f ca="1">IFERROR(__xludf.DUMMYFUNCTION("""COMPUTED_VALUE"""),4161)</f>
        <v>4161</v>
      </c>
      <c r="H1255" s="1" t="str">
        <f ca="1">IFERROR(__xludf.DUMMYFUNCTION("""COMPUTED_VALUE"""),"MTLSZ004161A21")</f>
        <v>MTLSZ004161A21</v>
      </c>
      <c r="I1255" s="2">
        <f ca="1">IFERROR(__xludf.DUMMYFUNCTION("""COMPUTED_VALUE"""),44220)</f>
        <v>44220</v>
      </c>
      <c r="J1255" s="2">
        <f ca="1">IFERROR(__xludf.DUMMYFUNCTION("""COMPUTED_VALUE"""),44584)</f>
        <v>44584</v>
      </c>
    </row>
    <row r="1256" spans="1:10" x14ac:dyDescent="0.25">
      <c r="A1256" s="1" t="str">
        <f ca="1">IFERROR(__xludf.DUMMYFUNCTION("""COMPUTED_VALUE"""),"MEAFC")</f>
        <v>MEAFC</v>
      </c>
      <c r="B1256" s="1" t="str">
        <f ca="1">IFERROR(__xludf.DUMMYFUNCTION("""COMPUTED_VALUE"""),"Kertész Márton")</f>
        <v>Kertész Márton</v>
      </c>
      <c r="C1256" s="1"/>
      <c r="D1256" s="1" t="str">
        <f ca="1">IFERROR(__xludf.DUMMYFUNCTION("""COMPUTED_VALUE"""),"Férfi")</f>
        <v>Férfi</v>
      </c>
      <c r="E1256" s="1"/>
      <c r="F1256" s="1">
        <f ca="1">IFERROR(__xludf.DUMMYFUNCTION("""COMPUTED_VALUE"""),1963)</f>
        <v>1963</v>
      </c>
      <c r="G1256" s="1">
        <f ca="1">IFERROR(__xludf.DUMMYFUNCTION("""COMPUTED_VALUE"""),459)</f>
        <v>459</v>
      </c>
      <c r="H1256" s="1" t="str">
        <f ca="1">IFERROR(__xludf.DUMMYFUNCTION("""COMPUTED_VALUE"""),"MTLSZ000459A21")</f>
        <v>MTLSZ000459A21</v>
      </c>
      <c r="I1256" s="2">
        <f ca="1">IFERROR(__xludf.DUMMYFUNCTION("""COMPUTED_VALUE"""),44220)</f>
        <v>44220</v>
      </c>
      <c r="J1256" s="2">
        <f ca="1">IFERROR(__xludf.DUMMYFUNCTION("""COMPUTED_VALUE"""),44584)</f>
        <v>44584</v>
      </c>
    </row>
    <row r="1257" spans="1:10" x14ac:dyDescent="0.25">
      <c r="A1257" s="1" t="str">
        <f ca="1">IFERROR(__xludf.DUMMYFUNCTION("""COMPUTED_VALUE"""),"MEAFC")</f>
        <v>MEAFC</v>
      </c>
      <c r="B1257" s="1" t="str">
        <f ca="1">IFERROR(__xludf.DUMMYFUNCTION("""COMPUTED_VALUE"""),"Kristóf Szabolcs")</f>
        <v>Kristóf Szabolcs</v>
      </c>
      <c r="C1257" s="1"/>
      <c r="D1257" s="1" t="str">
        <f ca="1">IFERROR(__xludf.DUMMYFUNCTION("""COMPUTED_VALUE"""),"Férfi")</f>
        <v>Férfi</v>
      </c>
      <c r="E1257" s="1"/>
      <c r="F1257" s="1">
        <f ca="1">IFERROR(__xludf.DUMMYFUNCTION("""COMPUTED_VALUE"""),1994)</f>
        <v>1994</v>
      </c>
      <c r="G1257" s="1">
        <f ca="1">IFERROR(__xludf.DUMMYFUNCTION("""COMPUTED_VALUE"""),4163)</f>
        <v>4163</v>
      </c>
      <c r="H1257" s="1" t="str">
        <f ca="1">IFERROR(__xludf.DUMMYFUNCTION("""COMPUTED_VALUE"""),"MTLSZ004163A21")</f>
        <v>MTLSZ004163A21</v>
      </c>
      <c r="I1257" s="2">
        <f ca="1">IFERROR(__xludf.DUMMYFUNCTION("""COMPUTED_VALUE"""),44220)</f>
        <v>44220</v>
      </c>
      <c r="J1257" s="2">
        <f ca="1">IFERROR(__xludf.DUMMYFUNCTION("""COMPUTED_VALUE"""),44584)</f>
        <v>44584</v>
      </c>
    </row>
    <row r="1258" spans="1:10" x14ac:dyDescent="0.25">
      <c r="A1258" s="1" t="str">
        <f ca="1">IFERROR(__xludf.DUMMYFUNCTION("""COMPUTED_VALUE"""),"MEAFC")</f>
        <v>MEAFC</v>
      </c>
      <c r="B1258" s="1" t="str">
        <f ca="1">IFERROR(__xludf.DUMMYFUNCTION("""COMPUTED_VALUE"""),"Molnár István")</f>
        <v>Molnár István</v>
      </c>
      <c r="C1258" s="1"/>
      <c r="D1258" s="1" t="str">
        <f ca="1">IFERROR(__xludf.DUMMYFUNCTION("""COMPUTED_VALUE"""),"Férfi")</f>
        <v>Férfi</v>
      </c>
      <c r="E1258" s="1"/>
      <c r="F1258" s="1">
        <f ca="1">IFERROR(__xludf.DUMMYFUNCTION("""COMPUTED_VALUE"""),1975)</f>
        <v>1975</v>
      </c>
      <c r="G1258" s="1">
        <f ca="1">IFERROR(__xludf.DUMMYFUNCTION("""COMPUTED_VALUE"""),1556)</f>
        <v>1556</v>
      </c>
      <c r="H1258" s="1" t="str">
        <f ca="1">IFERROR(__xludf.DUMMYFUNCTION("""COMPUTED_VALUE"""),"MTLSZ001556A21")</f>
        <v>MTLSZ001556A21</v>
      </c>
      <c r="I1258" s="2">
        <f ca="1">IFERROR(__xludf.DUMMYFUNCTION("""COMPUTED_VALUE"""),44220)</f>
        <v>44220</v>
      </c>
      <c r="J1258" s="2">
        <f ca="1">IFERROR(__xludf.DUMMYFUNCTION("""COMPUTED_VALUE"""),44584)</f>
        <v>44584</v>
      </c>
    </row>
    <row r="1259" spans="1:10" x14ac:dyDescent="0.25">
      <c r="A1259" s="1" t="str">
        <f ca="1">IFERROR(__xludf.DUMMYFUNCTION("""COMPUTED_VALUE"""),"MEAFC")</f>
        <v>MEAFC</v>
      </c>
      <c r="B1259" s="1" t="str">
        <f ca="1">IFERROR(__xludf.DUMMYFUNCTION("""COMPUTED_VALUE"""),"Novák Sándor")</f>
        <v>Novák Sándor</v>
      </c>
      <c r="C1259" s="1"/>
      <c r="D1259" s="1" t="str">
        <f ca="1">IFERROR(__xludf.DUMMYFUNCTION("""COMPUTED_VALUE"""),"Férfi")</f>
        <v>Férfi</v>
      </c>
      <c r="E1259" s="1"/>
      <c r="F1259" s="1">
        <f ca="1">IFERROR(__xludf.DUMMYFUNCTION("""COMPUTED_VALUE"""),1975)</f>
        <v>1975</v>
      </c>
      <c r="G1259" s="1">
        <f ca="1">IFERROR(__xludf.DUMMYFUNCTION("""COMPUTED_VALUE"""),4164)</f>
        <v>4164</v>
      </c>
      <c r="H1259" s="1" t="str">
        <f ca="1">IFERROR(__xludf.DUMMYFUNCTION("""COMPUTED_VALUE"""),"MTLSZ004164A21")</f>
        <v>MTLSZ004164A21</v>
      </c>
      <c r="I1259" s="2">
        <f ca="1">IFERROR(__xludf.DUMMYFUNCTION("""COMPUTED_VALUE"""),44220)</f>
        <v>44220</v>
      </c>
      <c r="J1259" s="2">
        <f ca="1">IFERROR(__xludf.DUMMYFUNCTION("""COMPUTED_VALUE"""),44584)</f>
        <v>44584</v>
      </c>
    </row>
    <row r="1260" spans="1:10" x14ac:dyDescent="0.25">
      <c r="A1260" s="1" t="str">
        <f ca="1">IFERROR(__xludf.DUMMYFUNCTION("""COMPUTED_VALUE"""),"MEAFC")</f>
        <v>MEAFC</v>
      </c>
      <c r="B1260" s="1" t="str">
        <f ca="1">IFERROR(__xludf.DUMMYFUNCTION("""COMPUTED_VALUE"""),"Nyíri Barnabás")</f>
        <v>Nyíri Barnabás</v>
      </c>
      <c r="C1260" s="1"/>
      <c r="D1260" s="1" t="str">
        <f ca="1">IFERROR(__xludf.DUMMYFUNCTION("""COMPUTED_VALUE"""),"Férfi")</f>
        <v>Férfi</v>
      </c>
      <c r="E1260" s="1"/>
      <c r="F1260" s="1">
        <f ca="1">IFERROR(__xludf.DUMMYFUNCTION("""COMPUTED_VALUE"""),1971)</f>
        <v>1971</v>
      </c>
      <c r="G1260" s="1">
        <f ca="1">IFERROR(__xludf.DUMMYFUNCTION("""COMPUTED_VALUE"""),2675)</f>
        <v>2675</v>
      </c>
      <c r="H1260" s="1" t="str">
        <f ca="1">IFERROR(__xludf.DUMMYFUNCTION("""COMPUTED_VALUE"""),"MTLSZ002675A21")</f>
        <v>MTLSZ002675A21</v>
      </c>
      <c r="I1260" s="2">
        <f ca="1">IFERROR(__xludf.DUMMYFUNCTION("""COMPUTED_VALUE"""),44220)</f>
        <v>44220</v>
      </c>
      <c r="J1260" s="2">
        <f ca="1">IFERROR(__xludf.DUMMYFUNCTION("""COMPUTED_VALUE"""),44584)</f>
        <v>44584</v>
      </c>
    </row>
    <row r="1261" spans="1:10" x14ac:dyDescent="0.25">
      <c r="A1261" s="1" t="str">
        <f ca="1">IFERROR(__xludf.DUMMYFUNCTION("""COMPUTED_VALUE"""),"MEAFC")</f>
        <v>MEAFC</v>
      </c>
      <c r="B1261" s="1" t="str">
        <f ca="1">IFERROR(__xludf.DUMMYFUNCTION("""COMPUTED_VALUE"""),"Peng Ang Boon")</f>
        <v>Peng Ang Boon</v>
      </c>
      <c r="C1261" s="1"/>
      <c r="D1261" s="1" t="str">
        <f ca="1">IFERROR(__xludf.DUMMYFUNCTION("""COMPUTED_VALUE"""),"Férfi")</f>
        <v>Férfi</v>
      </c>
      <c r="E1261" s="1"/>
      <c r="F1261" s="1">
        <f ca="1">IFERROR(__xludf.DUMMYFUNCTION("""COMPUTED_VALUE"""),1975)</f>
        <v>1975</v>
      </c>
      <c r="G1261" s="1">
        <f ca="1">IFERROR(__xludf.DUMMYFUNCTION("""COMPUTED_VALUE"""),4168)</f>
        <v>4168</v>
      </c>
      <c r="H1261" s="1" t="str">
        <f ca="1">IFERROR(__xludf.DUMMYFUNCTION("""COMPUTED_VALUE"""),"MTLSZ004168A21")</f>
        <v>MTLSZ004168A21</v>
      </c>
      <c r="I1261" s="2">
        <f ca="1">IFERROR(__xludf.DUMMYFUNCTION("""COMPUTED_VALUE"""),44220)</f>
        <v>44220</v>
      </c>
      <c r="J1261" s="2">
        <f ca="1">IFERROR(__xludf.DUMMYFUNCTION("""COMPUTED_VALUE"""),44584)</f>
        <v>44584</v>
      </c>
    </row>
    <row r="1262" spans="1:10" x14ac:dyDescent="0.25">
      <c r="A1262" s="1" t="str">
        <f ca="1">IFERROR(__xludf.DUMMYFUNCTION("""COMPUTED_VALUE"""),"MEAFC")</f>
        <v>MEAFC</v>
      </c>
      <c r="B1262" s="1" t="str">
        <f ca="1">IFERROR(__xludf.DUMMYFUNCTION("""COMPUTED_VALUE"""),"Szakné Kovács Krisztina")</f>
        <v>Szakné Kovács Krisztina</v>
      </c>
      <c r="C1262" s="1"/>
      <c r="D1262" s="1" t="str">
        <f ca="1">IFERROR(__xludf.DUMMYFUNCTION("""COMPUTED_VALUE"""),"Nő")</f>
        <v>Nő</v>
      </c>
      <c r="E1262" s="1"/>
      <c r="F1262" s="1">
        <f ca="1">IFERROR(__xludf.DUMMYFUNCTION("""COMPUTED_VALUE"""),1976)</f>
        <v>1976</v>
      </c>
      <c r="G1262" s="1">
        <f ca="1">IFERROR(__xludf.DUMMYFUNCTION("""COMPUTED_VALUE"""),4162)</f>
        <v>4162</v>
      </c>
      <c r="H1262" s="1" t="str">
        <f ca="1">IFERROR(__xludf.DUMMYFUNCTION("""COMPUTED_VALUE"""),"MTLSZ004162A21")</f>
        <v>MTLSZ004162A21</v>
      </c>
      <c r="I1262" s="2">
        <f ca="1">IFERROR(__xludf.DUMMYFUNCTION("""COMPUTED_VALUE"""),44220)</f>
        <v>44220</v>
      </c>
      <c r="J1262" s="2">
        <f ca="1">IFERROR(__xludf.DUMMYFUNCTION("""COMPUTED_VALUE"""),44584)</f>
        <v>44584</v>
      </c>
    </row>
    <row r="1263" spans="1:10" x14ac:dyDescent="0.25">
      <c r="A1263" s="1" t="str">
        <f ca="1">IFERROR(__xludf.DUMMYFUNCTION("""COMPUTED_VALUE"""),"MEAFC")</f>
        <v>MEAFC</v>
      </c>
      <c r="B1263" s="1" t="str">
        <f ca="1">IFERROR(__xludf.DUMMYFUNCTION("""COMPUTED_VALUE"""),"Szávuly Rozália")</f>
        <v>Szávuly Rozália</v>
      </c>
      <c r="C1263" s="1"/>
      <c r="D1263" s="1" t="str">
        <f ca="1">IFERROR(__xludf.DUMMYFUNCTION("""COMPUTED_VALUE"""),"Nő")</f>
        <v>Nő</v>
      </c>
      <c r="E1263" s="1"/>
      <c r="F1263" s="1">
        <f ca="1">IFERROR(__xludf.DUMMYFUNCTION("""COMPUTED_VALUE"""),1954)</f>
        <v>1954</v>
      </c>
      <c r="G1263" s="1">
        <f ca="1">IFERROR(__xludf.DUMMYFUNCTION("""COMPUTED_VALUE"""),4166)</f>
        <v>4166</v>
      </c>
      <c r="H1263" s="1" t="str">
        <f ca="1">IFERROR(__xludf.DUMMYFUNCTION("""COMPUTED_VALUE"""),"MTLSZ004166A21")</f>
        <v>MTLSZ004166A21</v>
      </c>
      <c r="I1263" s="2">
        <f ca="1">IFERROR(__xludf.DUMMYFUNCTION("""COMPUTED_VALUE"""),44220)</f>
        <v>44220</v>
      </c>
      <c r="J1263" s="2">
        <f ca="1">IFERROR(__xludf.DUMMYFUNCTION("""COMPUTED_VALUE"""),44584)</f>
        <v>44584</v>
      </c>
    </row>
    <row r="1264" spans="1:10" x14ac:dyDescent="0.25">
      <c r="A1264" s="1" t="str">
        <f ca="1">IFERROR(__xludf.DUMMYFUNCTION("""COMPUTED_VALUE"""),"MEAFC")</f>
        <v>MEAFC</v>
      </c>
      <c r="B1264" s="1" t="str">
        <f ca="1">IFERROR(__xludf.DUMMYFUNCTION("""COMPUTED_VALUE"""),"Szávuly Sándor")</f>
        <v>Szávuly Sándor</v>
      </c>
      <c r="C1264" s="1"/>
      <c r="D1264" s="1" t="str">
        <f ca="1">IFERROR(__xludf.DUMMYFUNCTION("""COMPUTED_VALUE"""),"Férfi")</f>
        <v>Férfi</v>
      </c>
      <c r="E1264" s="1"/>
      <c r="F1264" s="1">
        <f ca="1">IFERROR(__xludf.DUMMYFUNCTION("""COMPUTED_VALUE"""),1979)</f>
        <v>1979</v>
      </c>
      <c r="G1264" s="1">
        <f ca="1">IFERROR(__xludf.DUMMYFUNCTION("""COMPUTED_VALUE"""),2850)</f>
        <v>2850</v>
      </c>
      <c r="H1264" s="1" t="str">
        <f ca="1">IFERROR(__xludf.DUMMYFUNCTION("""COMPUTED_VALUE"""),"MTLSZ002850A21")</f>
        <v>MTLSZ002850A21</v>
      </c>
      <c r="I1264" s="2">
        <f ca="1">IFERROR(__xludf.DUMMYFUNCTION("""COMPUTED_VALUE"""),44220)</f>
        <v>44220</v>
      </c>
      <c r="J1264" s="2">
        <f ca="1">IFERROR(__xludf.DUMMYFUNCTION("""COMPUTED_VALUE"""),44584)</f>
        <v>44584</v>
      </c>
    </row>
    <row r="1265" spans="1:10" x14ac:dyDescent="0.25">
      <c r="A1265" s="1" t="str">
        <f ca="1">IFERROR(__xludf.DUMMYFUNCTION("""COMPUTED_VALUE"""),"MEAFC")</f>
        <v>MEAFC</v>
      </c>
      <c r="B1265" s="1" t="str">
        <f ca="1">IFERROR(__xludf.DUMMYFUNCTION("""COMPUTED_VALUE"""),"Szuhai Mária")</f>
        <v>Szuhai Mária</v>
      </c>
      <c r="C1265" s="1"/>
      <c r="D1265" s="1" t="str">
        <f ca="1">IFERROR(__xludf.DUMMYFUNCTION("""COMPUTED_VALUE"""),"Nő")</f>
        <v>Nő</v>
      </c>
      <c r="E1265" s="1"/>
      <c r="F1265" s="1">
        <f ca="1">IFERROR(__xludf.DUMMYFUNCTION("""COMPUTED_VALUE"""),1967)</f>
        <v>1967</v>
      </c>
      <c r="G1265" s="1">
        <f ca="1">IFERROR(__xludf.DUMMYFUNCTION("""COMPUTED_VALUE"""),4167)</f>
        <v>4167</v>
      </c>
      <c r="H1265" s="1" t="str">
        <f ca="1">IFERROR(__xludf.DUMMYFUNCTION("""COMPUTED_VALUE"""),"MTLSZ004167A21")</f>
        <v>MTLSZ004167A21</v>
      </c>
      <c r="I1265" s="2">
        <f ca="1">IFERROR(__xludf.DUMMYFUNCTION("""COMPUTED_VALUE"""),44220)</f>
        <v>44220</v>
      </c>
      <c r="J1265" s="2">
        <f ca="1">IFERROR(__xludf.DUMMYFUNCTION("""COMPUTED_VALUE"""),44584)</f>
        <v>44584</v>
      </c>
    </row>
    <row r="1266" spans="1:10" x14ac:dyDescent="0.25">
      <c r="A1266" s="1" t="str">
        <f ca="1">IFERROR(__xludf.DUMMYFUNCTION("""COMPUTED_VALUE"""),"MEAFC")</f>
        <v>MEAFC</v>
      </c>
      <c r="B1266" s="1" t="str">
        <f ca="1">IFERROR(__xludf.DUMMYFUNCTION("""COMPUTED_VALUE"""),"Üveges Zoltán")</f>
        <v>Üveges Zoltán</v>
      </c>
      <c r="C1266" s="1"/>
      <c r="D1266" s="1" t="str">
        <f ca="1">IFERROR(__xludf.DUMMYFUNCTION("""COMPUTED_VALUE"""),"Férfi")</f>
        <v>Férfi</v>
      </c>
      <c r="E1266" s="1"/>
      <c r="F1266" s="1">
        <f ca="1">IFERROR(__xludf.DUMMYFUNCTION("""COMPUTED_VALUE"""),1981)</f>
        <v>1981</v>
      </c>
      <c r="G1266" s="1">
        <f ca="1">IFERROR(__xludf.DUMMYFUNCTION("""COMPUTED_VALUE"""),4170)</f>
        <v>4170</v>
      </c>
      <c r="H1266" s="1" t="str">
        <f ca="1">IFERROR(__xludf.DUMMYFUNCTION("""COMPUTED_VALUE"""),"MTLSZ004170A21")</f>
        <v>MTLSZ004170A21</v>
      </c>
      <c r="I1266" s="2">
        <f ca="1">IFERROR(__xludf.DUMMYFUNCTION("""COMPUTED_VALUE"""),44220)</f>
        <v>44220</v>
      </c>
      <c r="J1266" s="2">
        <f ca="1">IFERROR(__xludf.DUMMYFUNCTION("""COMPUTED_VALUE"""),44584)</f>
        <v>44584</v>
      </c>
    </row>
    <row r="1267" spans="1:10" x14ac:dyDescent="0.25">
      <c r="A1267" s="1" t="str">
        <f ca="1">IFERROR(__xludf.DUMMYFUNCTION("""COMPUTED_VALUE"""),"MEAFC")</f>
        <v>MEAFC</v>
      </c>
      <c r="B1267" s="1" t="str">
        <f ca="1">IFERROR(__xludf.DUMMYFUNCTION("""COMPUTED_VALUE"""),"Üvegesné Finta Krisztina")</f>
        <v>Üvegesné Finta Krisztina</v>
      </c>
      <c r="C1267" s="1"/>
      <c r="D1267" s="1" t="str">
        <f ca="1">IFERROR(__xludf.DUMMYFUNCTION("""COMPUTED_VALUE"""),"Nő")</f>
        <v>Nő</v>
      </c>
      <c r="E1267" s="1"/>
      <c r="F1267" s="1">
        <f ca="1">IFERROR(__xludf.DUMMYFUNCTION("""COMPUTED_VALUE"""),1981)</f>
        <v>1981</v>
      </c>
      <c r="G1267" s="1">
        <f ca="1">IFERROR(__xludf.DUMMYFUNCTION("""COMPUTED_VALUE"""),4169)</f>
        <v>4169</v>
      </c>
      <c r="H1267" s="1" t="str">
        <f ca="1">IFERROR(__xludf.DUMMYFUNCTION("""COMPUTED_VALUE"""),"MTLSZ004169A21")</f>
        <v>MTLSZ004169A21</v>
      </c>
      <c r="I1267" s="2">
        <f ca="1">IFERROR(__xludf.DUMMYFUNCTION("""COMPUTED_VALUE"""),44220)</f>
        <v>44220</v>
      </c>
      <c r="J1267" s="2">
        <f ca="1">IFERROR(__xludf.DUMMYFUNCTION("""COMPUTED_VALUE"""),44584)</f>
        <v>44584</v>
      </c>
    </row>
    <row r="1268" spans="1:10" x14ac:dyDescent="0.25">
      <c r="A1268" s="1" t="str">
        <f ca="1">IFERROR(__xludf.DUMMYFUNCTION("""COMPUTED_VALUE"""),"DSK")</f>
        <v>DSK</v>
      </c>
      <c r="B1268" s="1" t="str">
        <f ca="1">IFERROR(__xludf.DUMMYFUNCTION("""COMPUTED_VALUE"""),"Hajdinák Zoltán")</f>
        <v>Hajdinák Zoltán</v>
      </c>
      <c r="C1268" s="1"/>
      <c r="D1268" s="1" t="str">
        <f ca="1">IFERROR(__xludf.DUMMYFUNCTION("""COMPUTED_VALUE"""),"Férfi")</f>
        <v>Férfi</v>
      </c>
      <c r="E1268" s="1"/>
      <c r="F1268" s="1">
        <f ca="1">IFERROR(__xludf.DUMMYFUNCTION("""COMPUTED_VALUE"""),1990)</f>
        <v>1990</v>
      </c>
      <c r="G1268" s="1">
        <f ca="1">IFERROR(__xludf.DUMMYFUNCTION("""COMPUTED_VALUE"""),331)</f>
        <v>331</v>
      </c>
      <c r="H1268" s="1" t="str">
        <f ca="1">IFERROR(__xludf.DUMMYFUNCTION("""COMPUTED_VALUE"""),"MTLSZ000331A21")</f>
        <v>MTLSZ000331A21</v>
      </c>
      <c r="I1268" s="2">
        <f ca="1">IFERROR(__xludf.DUMMYFUNCTION("""COMPUTED_VALUE"""),44219)</f>
        <v>44219</v>
      </c>
      <c r="J1268" s="2">
        <f ca="1">IFERROR(__xludf.DUMMYFUNCTION("""COMPUTED_VALUE"""),44583)</f>
        <v>44583</v>
      </c>
    </row>
    <row r="1269" spans="1:10" x14ac:dyDescent="0.25">
      <c r="A1269" s="1" t="str">
        <f ca="1">IFERROR(__xludf.DUMMYFUNCTION("""COMPUTED_VALUE"""),"HZSE")</f>
        <v>HZSE</v>
      </c>
      <c r="B1269" s="1" t="str">
        <f ca="1">IFERROR(__xludf.DUMMYFUNCTION("""COMPUTED_VALUE"""),"Csakurda Edit")</f>
        <v>Csakurda Edit</v>
      </c>
      <c r="C1269" s="1"/>
      <c r="D1269" s="1" t="str">
        <f ca="1">IFERROR(__xludf.DUMMYFUNCTION("""COMPUTED_VALUE"""),"Férfi")</f>
        <v>Férfi</v>
      </c>
      <c r="E1269" s="1"/>
      <c r="F1269" s="1">
        <f ca="1">IFERROR(__xludf.DUMMYFUNCTION("""COMPUTED_VALUE"""),1985)</f>
        <v>1985</v>
      </c>
      <c r="G1269" s="1">
        <f ca="1">IFERROR(__xludf.DUMMYFUNCTION("""COMPUTED_VALUE"""),4148)</f>
        <v>4148</v>
      </c>
      <c r="H1269" s="1" t="str">
        <f ca="1">IFERROR(__xludf.DUMMYFUNCTION("""COMPUTED_VALUE"""),"MTLSZ004148A21")</f>
        <v>MTLSZ004148A21</v>
      </c>
      <c r="I1269" s="2">
        <f ca="1">IFERROR(__xludf.DUMMYFUNCTION("""COMPUTED_VALUE"""),44218)</f>
        <v>44218</v>
      </c>
      <c r="J1269" s="2">
        <f ca="1">IFERROR(__xludf.DUMMYFUNCTION("""COMPUTED_VALUE"""),44582)</f>
        <v>44582</v>
      </c>
    </row>
    <row r="1270" spans="1:10" x14ac:dyDescent="0.25">
      <c r="A1270" s="1" t="str">
        <f ca="1">IFERROR(__xludf.DUMMYFUNCTION("""COMPUTED_VALUE"""),"HZSE")</f>
        <v>HZSE</v>
      </c>
      <c r="B1270" s="1" t="str">
        <f ca="1">IFERROR(__xludf.DUMMYFUNCTION("""COMPUTED_VALUE"""),"Csomár Vivien")</f>
        <v>Csomár Vivien</v>
      </c>
      <c r="C1270" s="1"/>
      <c r="D1270" s="1" t="str">
        <f ca="1">IFERROR(__xludf.DUMMYFUNCTION("""COMPUTED_VALUE"""),"Nő")</f>
        <v>Nő</v>
      </c>
      <c r="E1270" s="1"/>
      <c r="F1270" s="1">
        <f ca="1">IFERROR(__xludf.DUMMYFUNCTION("""COMPUTED_VALUE"""),1990)</f>
        <v>1990</v>
      </c>
      <c r="G1270" s="1">
        <f ca="1">IFERROR(__xludf.DUMMYFUNCTION("""COMPUTED_VALUE"""),4149)</f>
        <v>4149</v>
      </c>
      <c r="H1270" s="1" t="str">
        <f ca="1">IFERROR(__xludf.DUMMYFUNCTION("""COMPUTED_VALUE"""),"MTLSZ004149A21")</f>
        <v>MTLSZ004149A21</v>
      </c>
      <c r="I1270" s="2">
        <f ca="1">IFERROR(__xludf.DUMMYFUNCTION("""COMPUTED_VALUE"""),44218)</f>
        <v>44218</v>
      </c>
      <c r="J1270" s="2">
        <f ca="1">IFERROR(__xludf.DUMMYFUNCTION("""COMPUTED_VALUE"""),44582)</f>
        <v>44582</v>
      </c>
    </row>
    <row r="1271" spans="1:10" x14ac:dyDescent="0.25">
      <c r="A1271" s="1" t="str">
        <f ca="1">IFERROR(__xludf.DUMMYFUNCTION("""COMPUTED_VALUE"""),"HZSE")</f>
        <v>HZSE</v>
      </c>
      <c r="B1271" s="1" t="str">
        <f ca="1">IFERROR(__xludf.DUMMYFUNCTION("""COMPUTED_VALUE"""),"Radics Zsuzsanna")</f>
        <v>Radics Zsuzsanna</v>
      </c>
      <c r="C1271" s="1"/>
      <c r="D1271" s="1" t="str">
        <f ca="1">IFERROR(__xludf.DUMMYFUNCTION("""COMPUTED_VALUE"""),"Nő")</f>
        <v>Nő</v>
      </c>
      <c r="E1271" s="1"/>
      <c r="F1271" s="1">
        <f ca="1">IFERROR(__xludf.DUMMYFUNCTION("""COMPUTED_VALUE"""),1991)</f>
        <v>1991</v>
      </c>
      <c r="G1271" s="1">
        <f ca="1">IFERROR(__xludf.DUMMYFUNCTION("""COMPUTED_VALUE"""),4150)</f>
        <v>4150</v>
      </c>
      <c r="H1271" s="1" t="str">
        <f ca="1">IFERROR(__xludf.DUMMYFUNCTION("""COMPUTED_VALUE"""),"MTLSZ004150A21")</f>
        <v>MTLSZ004150A21</v>
      </c>
      <c r="I1271" s="2">
        <f ca="1">IFERROR(__xludf.DUMMYFUNCTION("""COMPUTED_VALUE"""),44218)</f>
        <v>44218</v>
      </c>
      <c r="J1271" s="2">
        <f ca="1">IFERROR(__xludf.DUMMYFUNCTION("""COMPUTED_VALUE"""),44582)</f>
        <v>44582</v>
      </c>
    </row>
    <row r="1272" spans="1:10" x14ac:dyDescent="0.25">
      <c r="A1272" s="1" t="str">
        <f ca="1">IFERROR(__xludf.DUMMYFUNCTION("""COMPUTED_VALUE"""),"HZSE")</f>
        <v>HZSE</v>
      </c>
      <c r="B1272" s="1" t="str">
        <f ca="1">IFERROR(__xludf.DUMMYFUNCTION("""COMPUTED_VALUE"""),"Tóth Imre")</f>
        <v>Tóth Imre</v>
      </c>
      <c r="C1272" s="1"/>
      <c r="D1272" s="1" t="str">
        <f ca="1">IFERROR(__xludf.DUMMYFUNCTION("""COMPUTED_VALUE"""),"Férfi")</f>
        <v>Férfi</v>
      </c>
      <c r="E1272" s="1"/>
      <c r="F1272" s="1">
        <f ca="1">IFERROR(__xludf.DUMMYFUNCTION("""COMPUTED_VALUE"""),1969)</f>
        <v>1969</v>
      </c>
      <c r="G1272" s="1">
        <f ca="1">IFERROR(__xludf.DUMMYFUNCTION("""COMPUTED_VALUE"""),4151)</f>
        <v>4151</v>
      </c>
      <c r="H1272" s="1" t="str">
        <f ca="1">IFERROR(__xludf.DUMMYFUNCTION("""COMPUTED_VALUE"""),"MTLSZ004151A21")</f>
        <v>MTLSZ004151A21</v>
      </c>
      <c r="I1272" s="2">
        <f ca="1">IFERROR(__xludf.DUMMYFUNCTION("""COMPUTED_VALUE"""),44218)</f>
        <v>44218</v>
      </c>
      <c r="J1272" s="2">
        <f ca="1">IFERROR(__xludf.DUMMYFUNCTION("""COMPUTED_VALUE"""),44582)</f>
        <v>44582</v>
      </c>
    </row>
    <row r="1273" spans="1:10" x14ac:dyDescent="0.25">
      <c r="A1273" s="1" t="str">
        <f ca="1">IFERROR(__xludf.DUMMYFUNCTION("""COMPUTED_VALUE"""),"HZSE")</f>
        <v>HZSE</v>
      </c>
      <c r="B1273" s="1" t="str">
        <f ca="1">IFERROR(__xludf.DUMMYFUNCTION("""COMPUTED_VALUE"""),"Zádory Zsolt")</f>
        <v>Zádory Zsolt</v>
      </c>
      <c r="C1273" s="1"/>
      <c r="D1273" s="1" t="str">
        <f ca="1">IFERROR(__xludf.DUMMYFUNCTION("""COMPUTED_VALUE"""),"Férfi")</f>
        <v>Férfi</v>
      </c>
      <c r="E1273" s="1"/>
      <c r="F1273" s="1">
        <f ca="1">IFERROR(__xludf.DUMMYFUNCTION("""COMPUTED_VALUE"""),1990)</f>
        <v>1990</v>
      </c>
      <c r="G1273" s="1">
        <f ca="1">IFERROR(__xludf.DUMMYFUNCTION("""COMPUTED_VALUE"""),4152)</f>
        <v>4152</v>
      </c>
      <c r="H1273" s="1" t="str">
        <f ca="1">IFERROR(__xludf.DUMMYFUNCTION("""COMPUTED_VALUE"""),"MTLSZ004152A21")</f>
        <v>MTLSZ004152A21</v>
      </c>
      <c r="I1273" s="2">
        <f ca="1">IFERROR(__xludf.DUMMYFUNCTION("""COMPUTED_VALUE"""),44218)</f>
        <v>44218</v>
      </c>
      <c r="J1273" s="2">
        <f ca="1">IFERROR(__xludf.DUMMYFUNCTION("""COMPUTED_VALUE"""),44582)</f>
        <v>44582</v>
      </c>
    </row>
    <row r="1274" spans="1:10" x14ac:dyDescent="0.25">
      <c r="A1274" s="1" t="str">
        <f ca="1">IFERROR(__xludf.DUMMYFUNCTION("""COMPUTED_VALUE"""),"Kilián Iskola DSE")</f>
        <v>Kilián Iskola DSE</v>
      </c>
      <c r="B1274" s="1" t="str">
        <f ca="1">IFERROR(__xludf.DUMMYFUNCTION("""COMPUTED_VALUE"""),"Takács Péter")</f>
        <v>Takács Péter</v>
      </c>
      <c r="C1274" s="1"/>
      <c r="D1274" s="1" t="str">
        <f ca="1">IFERROR(__xludf.DUMMYFUNCTION("""COMPUTED_VALUE"""),"Férfi")</f>
        <v>Férfi</v>
      </c>
      <c r="E1274" s="1"/>
      <c r="F1274" s="1">
        <f ca="1">IFERROR(__xludf.DUMMYFUNCTION("""COMPUTED_VALUE"""),1969)</f>
        <v>1969</v>
      </c>
      <c r="G1274" s="1">
        <f ca="1">IFERROR(__xludf.DUMMYFUNCTION("""COMPUTED_VALUE"""),4147)</f>
        <v>4147</v>
      </c>
      <c r="H1274" s="1" t="str">
        <f ca="1">IFERROR(__xludf.DUMMYFUNCTION("""COMPUTED_VALUE"""),"MTLSZ004147A21")</f>
        <v>MTLSZ004147A21</v>
      </c>
      <c r="I1274" s="2">
        <f ca="1">IFERROR(__xludf.DUMMYFUNCTION("""COMPUTED_VALUE"""),44218)</f>
        <v>44218</v>
      </c>
      <c r="J1274" s="2">
        <f ca="1">IFERROR(__xludf.DUMMYFUNCTION("""COMPUTED_VALUE"""),44582)</f>
        <v>44582</v>
      </c>
    </row>
    <row r="1275" spans="1:10" x14ac:dyDescent="0.25">
      <c r="A1275" s="1" t="str">
        <f ca="1">IFERROR(__xludf.DUMMYFUNCTION("""COMPUTED_VALUE"""),"T(r)ollas SE")</f>
        <v>T(r)ollas SE</v>
      </c>
      <c r="B1275" s="1" t="str">
        <f ca="1">IFERROR(__xludf.DUMMYFUNCTION("""COMPUTED_VALUE"""),"Ashnathnarayana Satyadeep")</f>
        <v>Ashnathnarayana Satyadeep</v>
      </c>
      <c r="C1275" s="1"/>
      <c r="D1275" s="1" t="str">
        <f ca="1">IFERROR(__xludf.DUMMYFUNCTION("""COMPUTED_VALUE"""),"Férfi")</f>
        <v>Férfi</v>
      </c>
      <c r="E1275" s="1"/>
      <c r="F1275" s="1">
        <f ca="1">IFERROR(__xludf.DUMMYFUNCTION("""COMPUTED_VALUE"""),1986)</f>
        <v>1986</v>
      </c>
      <c r="G1275" s="1">
        <f ca="1">IFERROR(__xludf.DUMMYFUNCTION("""COMPUTED_VALUE"""),3319)</f>
        <v>3319</v>
      </c>
      <c r="H1275" s="1" t="str">
        <f ca="1">IFERROR(__xludf.DUMMYFUNCTION("""COMPUTED_VALUE"""),"MTLSZ003319A21")</f>
        <v>MTLSZ003319A21</v>
      </c>
      <c r="I1275" s="2">
        <f ca="1">IFERROR(__xludf.DUMMYFUNCTION("""COMPUTED_VALUE"""),44218)</f>
        <v>44218</v>
      </c>
      <c r="J1275" s="2">
        <f ca="1">IFERROR(__xludf.DUMMYFUNCTION("""COMPUTED_VALUE"""),44582)</f>
        <v>44582</v>
      </c>
    </row>
    <row r="1276" spans="1:10" x14ac:dyDescent="0.25">
      <c r="A1276" s="1" t="str">
        <f ca="1">IFERROR(__xludf.DUMMYFUNCTION("""COMPUTED_VALUE"""),"Érdi VSE")</f>
        <v>Érdi VSE</v>
      </c>
      <c r="B1276" s="1" t="str">
        <f ca="1">IFERROR(__xludf.DUMMYFUNCTION("""COMPUTED_VALUE"""),"Kis-Kasza Arabella")</f>
        <v>Kis-Kasza Arabella</v>
      </c>
      <c r="C1276" s="1"/>
      <c r="D1276" s="1" t="str">
        <f ca="1">IFERROR(__xludf.DUMMYFUNCTION("""COMPUTED_VALUE"""),"Nő")</f>
        <v>Nő</v>
      </c>
      <c r="E1276" s="1"/>
      <c r="F1276" s="1">
        <f ca="1">IFERROR(__xludf.DUMMYFUNCTION("""COMPUTED_VALUE"""),2008)</f>
        <v>2008</v>
      </c>
      <c r="G1276" s="1">
        <f ca="1">IFERROR(__xludf.DUMMYFUNCTION("""COMPUTED_VALUE"""),2899)</f>
        <v>2899</v>
      </c>
      <c r="H1276" s="1" t="str">
        <f ca="1">IFERROR(__xludf.DUMMYFUNCTION("""COMPUTED_VALUE"""),"MTLSZ002899A21")</f>
        <v>MTLSZ002899A21</v>
      </c>
      <c r="I1276" s="2">
        <f ca="1">IFERROR(__xludf.DUMMYFUNCTION("""COMPUTED_VALUE"""),44217)</f>
        <v>44217</v>
      </c>
      <c r="J1276" s="2">
        <f ca="1">IFERROR(__xludf.DUMMYFUNCTION("""COMPUTED_VALUE"""),44581)</f>
        <v>44581</v>
      </c>
    </row>
    <row r="1277" spans="1:10" x14ac:dyDescent="0.25">
      <c r="A1277" s="1" t="str">
        <f ca="1">IFERROR(__xludf.DUMMYFUNCTION("""COMPUTED_VALUE"""),"Talentum TSE")</f>
        <v>Talentum TSE</v>
      </c>
      <c r="B1277" s="1" t="str">
        <f ca="1">IFERROR(__xludf.DUMMYFUNCTION("""COMPUTED_VALUE"""),"Sándor Maja")</f>
        <v>Sándor Maja</v>
      </c>
      <c r="C1277" s="1"/>
      <c r="D1277" s="1" t="str">
        <f ca="1">IFERROR(__xludf.DUMMYFUNCTION("""COMPUTED_VALUE"""),"Nő")</f>
        <v>Nő</v>
      </c>
      <c r="E1277" s="1"/>
      <c r="F1277" s="1">
        <f ca="1">IFERROR(__xludf.DUMMYFUNCTION("""COMPUTED_VALUE"""),2007)</f>
        <v>2007</v>
      </c>
      <c r="G1277" s="1">
        <f ca="1">IFERROR(__xludf.DUMMYFUNCTION("""COMPUTED_VALUE"""),4134)</f>
        <v>4134</v>
      </c>
      <c r="H1277" s="1" t="str">
        <f ca="1">IFERROR(__xludf.DUMMYFUNCTION("""COMPUTED_VALUE"""),"MTLSZ004134A21")</f>
        <v>MTLSZ004134A21</v>
      </c>
      <c r="I1277" s="2">
        <f ca="1">IFERROR(__xludf.DUMMYFUNCTION("""COMPUTED_VALUE"""),44217)</f>
        <v>44217</v>
      </c>
      <c r="J1277" s="2">
        <f ca="1">IFERROR(__xludf.DUMMYFUNCTION("""COMPUTED_VALUE"""),44581)</f>
        <v>44581</v>
      </c>
    </row>
    <row r="1278" spans="1:10" x14ac:dyDescent="0.25">
      <c r="A1278" s="1" t="str">
        <f ca="1">IFERROR(__xludf.DUMMYFUNCTION("""COMPUTED_VALUE"""),"T(r)ollas SE")</f>
        <v>T(r)ollas SE</v>
      </c>
      <c r="B1278" s="1" t="str">
        <f ca="1">IFERROR(__xludf.DUMMYFUNCTION("""COMPUTED_VALUE"""),"Ficz Ákosné Papp Erika")</f>
        <v>Ficz Ákosné Papp Erika</v>
      </c>
      <c r="C1278" s="1"/>
      <c r="D1278" s="1" t="str">
        <f ca="1">IFERROR(__xludf.DUMMYFUNCTION("""COMPUTED_VALUE"""),"Nő")</f>
        <v>Nő</v>
      </c>
      <c r="E1278" s="1"/>
      <c r="F1278" s="1">
        <f ca="1">IFERROR(__xludf.DUMMYFUNCTION("""COMPUTED_VALUE"""),1988)</f>
        <v>1988</v>
      </c>
      <c r="G1278" s="1">
        <f ca="1">IFERROR(__xludf.DUMMYFUNCTION("""COMPUTED_VALUE"""),4135)</f>
        <v>4135</v>
      </c>
      <c r="H1278" s="1" t="str">
        <f ca="1">IFERROR(__xludf.DUMMYFUNCTION("""COMPUTED_VALUE"""),"MTLSZ004135A21")</f>
        <v>MTLSZ004135A21</v>
      </c>
      <c r="I1278" s="2">
        <f ca="1">IFERROR(__xludf.DUMMYFUNCTION("""COMPUTED_VALUE"""),44217)</f>
        <v>44217</v>
      </c>
      <c r="J1278" s="2">
        <f ca="1">IFERROR(__xludf.DUMMYFUNCTION("""COMPUTED_VALUE"""),44581)</f>
        <v>44581</v>
      </c>
    </row>
    <row r="1279" spans="1:10" x14ac:dyDescent="0.25">
      <c r="A1279" s="1" t="str">
        <f ca="1">IFERROR(__xludf.DUMMYFUNCTION("""COMPUTED_VALUE"""),"T(r)ollas SE")</f>
        <v>T(r)ollas SE</v>
      </c>
      <c r="B1279" s="1" t="str">
        <f ca="1">IFERROR(__xludf.DUMMYFUNCTION("""COMPUTED_VALUE"""),"Havai Gábor")</f>
        <v>Havai Gábor</v>
      </c>
      <c r="C1279" s="1"/>
      <c r="D1279" s="1" t="str">
        <f ca="1">IFERROR(__xludf.DUMMYFUNCTION("""COMPUTED_VALUE"""),"Férfi")</f>
        <v>Férfi</v>
      </c>
      <c r="E1279" s="1"/>
      <c r="F1279" s="1">
        <f ca="1">IFERROR(__xludf.DUMMYFUNCTION("""COMPUTED_VALUE"""),1988)</f>
        <v>1988</v>
      </c>
      <c r="G1279" s="1">
        <f ca="1">IFERROR(__xludf.DUMMYFUNCTION("""COMPUTED_VALUE"""),4138)</f>
        <v>4138</v>
      </c>
      <c r="H1279" s="1" t="str">
        <f ca="1">IFERROR(__xludf.DUMMYFUNCTION("""COMPUTED_VALUE"""),"MTLSZ004138A21")</f>
        <v>MTLSZ004138A21</v>
      </c>
      <c r="I1279" s="2">
        <f ca="1">IFERROR(__xludf.DUMMYFUNCTION("""COMPUTED_VALUE"""),44217)</f>
        <v>44217</v>
      </c>
      <c r="J1279" s="2">
        <f ca="1">IFERROR(__xludf.DUMMYFUNCTION("""COMPUTED_VALUE"""),44581)</f>
        <v>44581</v>
      </c>
    </row>
    <row r="1280" spans="1:10" x14ac:dyDescent="0.25">
      <c r="A1280" s="1" t="str">
        <f ca="1">IFERROR(__xludf.DUMMYFUNCTION("""COMPUTED_VALUE"""),"T(r)ollas SE")</f>
        <v>T(r)ollas SE</v>
      </c>
      <c r="B1280" s="1" t="str">
        <f ca="1">IFERROR(__xludf.DUMMYFUNCTION("""COMPUTED_VALUE"""),"Helybély András")</f>
        <v>Helybély András</v>
      </c>
      <c r="C1280" s="1"/>
      <c r="D1280" s="1" t="str">
        <f ca="1">IFERROR(__xludf.DUMMYFUNCTION("""COMPUTED_VALUE"""),"Férfi")</f>
        <v>Férfi</v>
      </c>
      <c r="E1280" s="1"/>
      <c r="F1280" s="1">
        <f ca="1">IFERROR(__xludf.DUMMYFUNCTION("""COMPUTED_VALUE"""),1975)</f>
        <v>1975</v>
      </c>
      <c r="G1280" s="1">
        <f ca="1">IFERROR(__xludf.DUMMYFUNCTION("""COMPUTED_VALUE"""),3030)</f>
        <v>3030</v>
      </c>
      <c r="H1280" s="1" t="str">
        <f ca="1">IFERROR(__xludf.DUMMYFUNCTION("""COMPUTED_VALUE"""),"MTLSZ003030A21")</f>
        <v>MTLSZ003030A21</v>
      </c>
      <c r="I1280" s="2">
        <f ca="1">IFERROR(__xludf.DUMMYFUNCTION("""COMPUTED_VALUE"""),44217)</f>
        <v>44217</v>
      </c>
      <c r="J1280" s="2">
        <f ca="1">IFERROR(__xludf.DUMMYFUNCTION("""COMPUTED_VALUE"""),44581)</f>
        <v>44581</v>
      </c>
    </row>
    <row r="1281" spans="1:10" x14ac:dyDescent="0.25">
      <c r="A1281" s="1" t="str">
        <f ca="1">IFERROR(__xludf.DUMMYFUNCTION("""COMPUTED_VALUE"""),"T(r)ollas SE")</f>
        <v>T(r)ollas SE</v>
      </c>
      <c r="B1281" s="1" t="str">
        <f ca="1">IFERROR(__xludf.DUMMYFUNCTION("""COMPUTED_VALUE"""),"Horváth Frigyes")</f>
        <v>Horváth Frigyes</v>
      </c>
      <c r="C1281" s="1"/>
      <c r="D1281" s="1" t="str">
        <f ca="1">IFERROR(__xludf.DUMMYFUNCTION("""COMPUTED_VALUE"""),"Férfi")</f>
        <v>Férfi</v>
      </c>
      <c r="E1281" s="1"/>
      <c r="F1281" s="1">
        <f ca="1">IFERROR(__xludf.DUMMYFUNCTION("""COMPUTED_VALUE"""),1983)</f>
        <v>1983</v>
      </c>
      <c r="G1281" s="1">
        <f ca="1">IFERROR(__xludf.DUMMYFUNCTION("""COMPUTED_VALUE"""),4146)</f>
        <v>4146</v>
      </c>
      <c r="H1281" s="1" t="str">
        <f ca="1">IFERROR(__xludf.DUMMYFUNCTION("""COMPUTED_VALUE"""),"MTLSZ004146A21")</f>
        <v>MTLSZ004146A21</v>
      </c>
      <c r="I1281" s="2">
        <f ca="1">IFERROR(__xludf.DUMMYFUNCTION("""COMPUTED_VALUE"""),44217)</f>
        <v>44217</v>
      </c>
      <c r="J1281" s="2">
        <f ca="1">IFERROR(__xludf.DUMMYFUNCTION("""COMPUTED_VALUE"""),44581)</f>
        <v>44581</v>
      </c>
    </row>
    <row r="1282" spans="1:10" x14ac:dyDescent="0.25">
      <c r="A1282" s="1" t="str">
        <f ca="1">IFERROR(__xludf.DUMMYFUNCTION("""COMPUTED_VALUE"""),"T(r)ollas SE")</f>
        <v>T(r)ollas SE</v>
      </c>
      <c r="B1282" s="1" t="str">
        <f ca="1">IFERROR(__xludf.DUMMYFUNCTION("""COMPUTED_VALUE"""),"Kalyan Kumar Padharthi")</f>
        <v>Kalyan Kumar Padharthi</v>
      </c>
      <c r="C1282" s="1"/>
      <c r="D1282" s="1" t="str">
        <f ca="1">IFERROR(__xludf.DUMMYFUNCTION("""COMPUTED_VALUE"""),"Férfi")</f>
        <v>Férfi</v>
      </c>
      <c r="E1282" s="1"/>
      <c r="F1282" s="1">
        <f ca="1">IFERROR(__xludf.DUMMYFUNCTION("""COMPUTED_VALUE"""),1987)</f>
        <v>1987</v>
      </c>
      <c r="G1282" s="1">
        <f ca="1">IFERROR(__xludf.DUMMYFUNCTION("""COMPUTED_VALUE"""),4136)</f>
        <v>4136</v>
      </c>
      <c r="H1282" s="1" t="str">
        <f ca="1">IFERROR(__xludf.DUMMYFUNCTION("""COMPUTED_VALUE"""),"MTLSZ004136A21")</f>
        <v>MTLSZ004136A21</v>
      </c>
      <c r="I1282" s="2">
        <f ca="1">IFERROR(__xludf.DUMMYFUNCTION("""COMPUTED_VALUE"""),44217)</f>
        <v>44217</v>
      </c>
      <c r="J1282" s="2">
        <f ca="1">IFERROR(__xludf.DUMMYFUNCTION("""COMPUTED_VALUE"""),44581)</f>
        <v>44581</v>
      </c>
    </row>
    <row r="1283" spans="1:10" x14ac:dyDescent="0.25">
      <c r="A1283" s="1" t="str">
        <f ca="1">IFERROR(__xludf.DUMMYFUNCTION("""COMPUTED_VALUE"""),"T(r)ollas SE")</f>
        <v>T(r)ollas SE</v>
      </c>
      <c r="B1283" s="1" t="str">
        <f ca="1">IFERROR(__xludf.DUMMYFUNCTION("""COMPUTED_VALUE"""),"Kövér Ivett")</f>
        <v>Kövér Ivett</v>
      </c>
      <c r="C1283" s="1"/>
      <c r="D1283" s="1" t="str">
        <f ca="1">IFERROR(__xludf.DUMMYFUNCTION("""COMPUTED_VALUE"""),"Nő")</f>
        <v>Nő</v>
      </c>
      <c r="E1283" s="1"/>
      <c r="F1283" s="1">
        <f ca="1">IFERROR(__xludf.DUMMYFUNCTION("""COMPUTED_VALUE"""),1990)</f>
        <v>1990</v>
      </c>
      <c r="G1283" s="1">
        <f ca="1">IFERROR(__xludf.DUMMYFUNCTION("""COMPUTED_VALUE"""),4139)</f>
        <v>4139</v>
      </c>
      <c r="H1283" s="1" t="str">
        <f ca="1">IFERROR(__xludf.DUMMYFUNCTION("""COMPUTED_VALUE"""),"MTLSZ004139A21")</f>
        <v>MTLSZ004139A21</v>
      </c>
      <c r="I1283" s="2">
        <f ca="1">IFERROR(__xludf.DUMMYFUNCTION("""COMPUTED_VALUE"""),44217)</f>
        <v>44217</v>
      </c>
      <c r="J1283" s="2">
        <f ca="1">IFERROR(__xludf.DUMMYFUNCTION("""COMPUTED_VALUE"""),44581)</f>
        <v>44581</v>
      </c>
    </row>
    <row r="1284" spans="1:10" x14ac:dyDescent="0.25">
      <c r="A1284" s="1" t="str">
        <f ca="1">IFERROR(__xludf.DUMMYFUNCTION("""COMPUTED_VALUE"""),"T(r)ollas SE")</f>
        <v>T(r)ollas SE</v>
      </c>
      <c r="B1284" s="1" t="str">
        <f ca="1">IFERROR(__xludf.DUMMYFUNCTION("""COMPUTED_VALUE"""),"Márk Marcell Ádám")</f>
        <v>Márk Marcell Ádám</v>
      </c>
      <c r="C1284" s="1"/>
      <c r="D1284" s="1" t="str">
        <f ca="1">IFERROR(__xludf.DUMMYFUNCTION("""COMPUTED_VALUE"""),"Férfi")</f>
        <v>Férfi</v>
      </c>
      <c r="E1284" s="1"/>
      <c r="F1284" s="1">
        <f ca="1">IFERROR(__xludf.DUMMYFUNCTION("""COMPUTED_VALUE"""),1985)</f>
        <v>1985</v>
      </c>
      <c r="G1284" s="1">
        <f ca="1">IFERROR(__xludf.DUMMYFUNCTION("""COMPUTED_VALUE"""),4140)</f>
        <v>4140</v>
      </c>
      <c r="H1284" s="1" t="str">
        <f ca="1">IFERROR(__xludf.DUMMYFUNCTION("""COMPUTED_VALUE"""),"MTLSZ004140A21")</f>
        <v>MTLSZ004140A21</v>
      </c>
      <c r="I1284" s="2">
        <f ca="1">IFERROR(__xludf.DUMMYFUNCTION("""COMPUTED_VALUE"""),44217)</f>
        <v>44217</v>
      </c>
      <c r="J1284" s="2">
        <f ca="1">IFERROR(__xludf.DUMMYFUNCTION("""COMPUTED_VALUE"""),44581)</f>
        <v>44581</v>
      </c>
    </row>
    <row r="1285" spans="1:10" x14ac:dyDescent="0.25">
      <c r="A1285" s="1" t="str">
        <f ca="1">IFERROR(__xludf.DUMMYFUNCTION("""COMPUTED_VALUE"""),"T(r)ollas SE")</f>
        <v>T(r)ollas SE</v>
      </c>
      <c r="B1285" s="1" t="str">
        <f ca="1">IFERROR(__xludf.DUMMYFUNCTION("""COMPUTED_VALUE"""),"Mocsonoky Eszter")</f>
        <v>Mocsonoky Eszter</v>
      </c>
      <c r="C1285" s="1"/>
      <c r="D1285" s="1" t="str">
        <f ca="1">IFERROR(__xludf.DUMMYFUNCTION("""COMPUTED_VALUE"""),"Nő")</f>
        <v>Nő</v>
      </c>
      <c r="E1285" s="1"/>
      <c r="F1285" s="1">
        <f ca="1">IFERROR(__xludf.DUMMYFUNCTION("""COMPUTED_VALUE"""),1994)</f>
        <v>1994</v>
      </c>
      <c r="G1285" s="1">
        <f ca="1">IFERROR(__xludf.DUMMYFUNCTION("""COMPUTED_VALUE"""),4141)</f>
        <v>4141</v>
      </c>
      <c r="H1285" s="1" t="str">
        <f ca="1">IFERROR(__xludf.DUMMYFUNCTION("""COMPUTED_VALUE"""),"MTLSZ004141A21")</f>
        <v>MTLSZ004141A21</v>
      </c>
      <c r="I1285" s="2">
        <f ca="1">IFERROR(__xludf.DUMMYFUNCTION("""COMPUTED_VALUE"""),44217)</f>
        <v>44217</v>
      </c>
      <c r="J1285" s="2">
        <f ca="1">IFERROR(__xludf.DUMMYFUNCTION("""COMPUTED_VALUE"""),44581)</f>
        <v>44581</v>
      </c>
    </row>
    <row r="1286" spans="1:10" x14ac:dyDescent="0.25">
      <c r="A1286" s="1" t="str">
        <f ca="1">IFERROR(__xludf.DUMMYFUNCTION("""COMPUTED_VALUE"""),"T(r)ollas SE")</f>
        <v>T(r)ollas SE</v>
      </c>
      <c r="B1286" s="1" t="str">
        <f ca="1">IFERROR(__xludf.DUMMYFUNCTION("""COMPUTED_VALUE"""),"Nemesi András")</f>
        <v>Nemesi András</v>
      </c>
      <c r="C1286" s="1"/>
      <c r="D1286" s="1" t="str">
        <f ca="1">IFERROR(__xludf.DUMMYFUNCTION("""COMPUTED_VALUE"""),"Férfi")</f>
        <v>Férfi</v>
      </c>
      <c r="E1286" s="1"/>
      <c r="F1286" s="1">
        <f ca="1">IFERROR(__xludf.DUMMYFUNCTION("""COMPUTED_VALUE"""),1984)</f>
        <v>1984</v>
      </c>
      <c r="G1286" s="1">
        <f ca="1">IFERROR(__xludf.DUMMYFUNCTION("""COMPUTED_VALUE"""),4142)</f>
        <v>4142</v>
      </c>
      <c r="H1286" s="1" t="str">
        <f ca="1">IFERROR(__xludf.DUMMYFUNCTION("""COMPUTED_VALUE"""),"MTLSZ004142A21")</f>
        <v>MTLSZ004142A21</v>
      </c>
      <c r="I1286" s="2">
        <f ca="1">IFERROR(__xludf.DUMMYFUNCTION("""COMPUTED_VALUE"""),44217)</f>
        <v>44217</v>
      </c>
      <c r="J1286" s="2">
        <f ca="1">IFERROR(__xludf.DUMMYFUNCTION("""COMPUTED_VALUE"""),44581)</f>
        <v>44581</v>
      </c>
    </row>
    <row r="1287" spans="1:10" x14ac:dyDescent="0.25">
      <c r="A1287" s="1" t="str">
        <f ca="1">IFERROR(__xludf.DUMMYFUNCTION("""COMPUTED_VALUE"""),"T(r)ollas SE")</f>
        <v>T(r)ollas SE</v>
      </c>
      <c r="B1287" s="1" t="str">
        <f ca="1">IFERROR(__xludf.DUMMYFUNCTION("""COMPUTED_VALUE"""),"Szigeti Fanni")</f>
        <v>Szigeti Fanni</v>
      </c>
      <c r="C1287" s="1"/>
      <c r="D1287" s="1" t="str">
        <f ca="1">IFERROR(__xludf.DUMMYFUNCTION("""COMPUTED_VALUE"""),"Nő")</f>
        <v>Nő</v>
      </c>
      <c r="E1287" s="1"/>
      <c r="F1287" s="1">
        <f ca="1">IFERROR(__xludf.DUMMYFUNCTION("""COMPUTED_VALUE"""),1988)</f>
        <v>1988</v>
      </c>
      <c r="G1287" s="1">
        <f ca="1">IFERROR(__xludf.DUMMYFUNCTION("""COMPUTED_VALUE"""),4143)</f>
        <v>4143</v>
      </c>
      <c r="H1287" s="1" t="str">
        <f ca="1">IFERROR(__xludf.DUMMYFUNCTION("""COMPUTED_VALUE"""),"MTLSZ004143A21")</f>
        <v>MTLSZ004143A21</v>
      </c>
      <c r="I1287" s="2">
        <f ca="1">IFERROR(__xludf.DUMMYFUNCTION("""COMPUTED_VALUE"""),44217)</f>
        <v>44217</v>
      </c>
      <c r="J1287" s="2">
        <f ca="1">IFERROR(__xludf.DUMMYFUNCTION("""COMPUTED_VALUE"""),44581)</f>
        <v>44581</v>
      </c>
    </row>
    <row r="1288" spans="1:10" x14ac:dyDescent="0.25">
      <c r="A1288" s="1" t="str">
        <f ca="1">IFERROR(__xludf.DUMMYFUNCTION("""COMPUTED_VALUE"""),"T(r)ollas SE")</f>
        <v>T(r)ollas SE</v>
      </c>
      <c r="B1288" s="1" t="str">
        <f ca="1">IFERROR(__xludf.DUMMYFUNCTION("""COMPUTED_VALUE"""),"Vasudev Vishnu")</f>
        <v>Vasudev Vishnu</v>
      </c>
      <c r="C1288" s="1"/>
      <c r="D1288" s="1" t="str">
        <f ca="1">IFERROR(__xludf.DUMMYFUNCTION("""COMPUTED_VALUE"""),"Férfi")</f>
        <v>Férfi</v>
      </c>
      <c r="E1288" s="1"/>
      <c r="F1288" s="1">
        <f ca="1">IFERROR(__xludf.DUMMYFUNCTION("""COMPUTED_VALUE"""),1989)</f>
        <v>1989</v>
      </c>
      <c r="G1288" s="1">
        <f ca="1">IFERROR(__xludf.DUMMYFUNCTION("""COMPUTED_VALUE"""),3318)</f>
        <v>3318</v>
      </c>
      <c r="H1288" s="1" t="str">
        <f ca="1">IFERROR(__xludf.DUMMYFUNCTION("""COMPUTED_VALUE"""),"MTLSZ003318A21")</f>
        <v>MTLSZ003318A21</v>
      </c>
      <c r="I1288" s="2">
        <f ca="1">IFERROR(__xludf.DUMMYFUNCTION("""COMPUTED_VALUE"""),44217)</f>
        <v>44217</v>
      </c>
      <c r="J1288" s="2">
        <f ca="1">IFERROR(__xludf.DUMMYFUNCTION("""COMPUTED_VALUE"""),44581)</f>
        <v>44581</v>
      </c>
    </row>
    <row r="1289" spans="1:10" x14ac:dyDescent="0.25">
      <c r="A1289" s="1" t="str">
        <f ca="1">IFERROR(__xludf.DUMMYFUNCTION("""COMPUTED_VALUE"""),"T(r)ollas SE")</f>
        <v>T(r)ollas SE</v>
      </c>
      <c r="B1289" s="1" t="str">
        <f ca="1">IFERROR(__xludf.DUMMYFUNCTION("""COMPUTED_VALUE"""),"Zheng Xiu Liang")</f>
        <v>Zheng Xiu Liang</v>
      </c>
      <c r="C1289" s="1"/>
      <c r="D1289" s="1" t="str">
        <f ca="1">IFERROR(__xludf.DUMMYFUNCTION("""COMPUTED_VALUE"""),"Férfi")</f>
        <v>Férfi</v>
      </c>
      <c r="E1289" s="1"/>
      <c r="F1289" s="1">
        <f ca="1">IFERROR(__xludf.DUMMYFUNCTION("""COMPUTED_VALUE"""),1981)</f>
        <v>1981</v>
      </c>
      <c r="G1289" s="1">
        <f ca="1">IFERROR(__xludf.DUMMYFUNCTION("""COMPUTED_VALUE"""),4145)</f>
        <v>4145</v>
      </c>
      <c r="H1289" s="1" t="str">
        <f ca="1">IFERROR(__xludf.DUMMYFUNCTION("""COMPUTED_VALUE"""),"MTLSZ004145A21")</f>
        <v>MTLSZ004145A21</v>
      </c>
      <c r="I1289" s="2">
        <f ca="1">IFERROR(__xludf.DUMMYFUNCTION("""COMPUTED_VALUE"""),44217)</f>
        <v>44217</v>
      </c>
      <c r="J1289" s="2">
        <f ca="1">IFERROR(__xludf.DUMMYFUNCTION("""COMPUTED_VALUE"""),44581)</f>
        <v>44581</v>
      </c>
    </row>
    <row r="1290" spans="1:10" x14ac:dyDescent="0.25">
      <c r="A1290" s="1" t="str">
        <f ca="1">IFERROR(__xludf.DUMMYFUNCTION("""COMPUTED_VALUE"""),"Életmód SE")</f>
        <v>Életmód SE</v>
      </c>
      <c r="B1290" s="1" t="str">
        <f ca="1">IFERROR(__xludf.DUMMYFUNCTION("""COMPUTED_VALUE"""),"Balai Antal")</f>
        <v>Balai Antal</v>
      </c>
      <c r="C1290" s="1"/>
      <c r="D1290" s="1" t="str">
        <f ca="1">IFERROR(__xludf.DUMMYFUNCTION("""COMPUTED_VALUE"""),"Férfi")</f>
        <v>Férfi</v>
      </c>
      <c r="E1290" s="1"/>
      <c r="F1290" s="1">
        <f ca="1">IFERROR(__xludf.DUMMYFUNCTION("""COMPUTED_VALUE"""),1952)</f>
        <v>1952</v>
      </c>
      <c r="G1290" s="1">
        <f ca="1">IFERROR(__xludf.DUMMYFUNCTION("""COMPUTED_VALUE"""),4132)</f>
        <v>4132</v>
      </c>
      <c r="H1290" s="1" t="str">
        <f ca="1">IFERROR(__xludf.DUMMYFUNCTION("""COMPUTED_VALUE"""),"MTLSZ004132A21")</f>
        <v>MTLSZ004132A21</v>
      </c>
      <c r="I1290" s="2">
        <f ca="1">IFERROR(__xludf.DUMMYFUNCTION("""COMPUTED_VALUE"""),44215)</f>
        <v>44215</v>
      </c>
      <c r="J1290" s="2">
        <f ca="1">IFERROR(__xludf.DUMMYFUNCTION("""COMPUTED_VALUE"""),44579)</f>
        <v>44579</v>
      </c>
    </row>
    <row r="1291" spans="1:10" x14ac:dyDescent="0.25">
      <c r="A1291" s="1" t="str">
        <f ca="1">IFERROR(__xludf.DUMMYFUNCTION("""COMPUTED_VALUE"""),"Életmód SE")</f>
        <v>Életmód SE</v>
      </c>
      <c r="B1291" s="1" t="str">
        <f ca="1">IFERROR(__xludf.DUMMYFUNCTION("""COMPUTED_VALUE"""),"Górán Attila")</f>
        <v>Górán Attila</v>
      </c>
      <c r="C1291" s="1"/>
      <c r="D1291" s="1" t="str">
        <f ca="1">IFERROR(__xludf.DUMMYFUNCTION("""COMPUTED_VALUE"""),"Férfi")</f>
        <v>Férfi</v>
      </c>
      <c r="E1291" s="1"/>
      <c r="F1291" s="1">
        <f ca="1">IFERROR(__xludf.DUMMYFUNCTION("""COMPUTED_VALUE"""),1976)</f>
        <v>1976</v>
      </c>
      <c r="G1291" s="1">
        <f ca="1">IFERROR(__xludf.DUMMYFUNCTION("""COMPUTED_VALUE"""),4131)</f>
        <v>4131</v>
      </c>
      <c r="H1291" s="1" t="str">
        <f ca="1">IFERROR(__xludf.DUMMYFUNCTION("""COMPUTED_VALUE"""),"MTLSZ004131A21")</f>
        <v>MTLSZ004131A21</v>
      </c>
      <c r="I1291" s="2">
        <f ca="1">IFERROR(__xludf.DUMMYFUNCTION("""COMPUTED_VALUE"""),44215)</f>
        <v>44215</v>
      </c>
      <c r="J1291" s="2">
        <f ca="1">IFERROR(__xludf.DUMMYFUNCTION("""COMPUTED_VALUE"""),44579)</f>
        <v>44579</v>
      </c>
    </row>
    <row r="1292" spans="1:10" x14ac:dyDescent="0.25">
      <c r="A1292" s="1" t="str">
        <f ca="1">IFERROR(__xludf.DUMMYFUNCTION("""COMPUTED_VALUE"""),"Életmód SE")</f>
        <v>Életmód SE</v>
      </c>
      <c r="B1292" s="1" t="str">
        <f ca="1">IFERROR(__xludf.DUMMYFUNCTION("""COMPUTED_VALUE"""),"Horváth János")</f>
        <v>Horváth János</v>
      </c>
      <c r="C1292" s="1"/>
      <c r="D1292" s="1" t="str">
        <f ca="1">IFERROR(__xludf.DUMMYFUNCTION("""COMPUTED_VALUE"""),"Férfi")</f>
        <v>Férfi</v>
      </c>
      <c r="E1292" s="1"/>
      <c r="F1292" s="1">
        <f ca="1">IFERROR(__xludf.DUMMYFUNCTION("""COMPUTED_VALUE"""),1952)</f>
        <v>1952</v>
      </c>
      <c r="G1292" s="1">
        <f ca="1">IFERROR(__xludf.DUMMYFUNCTION("""COMPUTED_VALUE"""),4133)</f>
        <v>4133</v>
      </c>
      <c r="H1292" s="1" t="str">
        <f ca="1">IFERROR(__xludf.DUMMYFUNCTION("""COMPUTED_VALUE"""),"MTLSZ004133A21")</f>
        <v>MTLSZ004133A21</v>
      </c>
      <c r="I1292" s="2">
        <f ca="1">IFERROR(__xludf.DUMMYFUNCTION("""COMPUTED_VALUE"""),44215)</f>
        <v>44215</v>
      </c>
      <c r="J1292" s="2">
        <f ca="1">IFERROR(__xludf.DUMMYFUNCTION("""COMPUTED_VALUE"""),44579)</f>
        <v>44579</v>
      </c>
    </row>
    <row r="1293" spans="1:10" x14ac:dyDescent="0.25">
      <c r="A1293" s="1" t="str">
        <f ca="1">IFERROR(__xludf.DUMMYFUNCTION("""COMPUTED_VALUE"""),"VSD")</f>
        <v>VSD</v>
      </c>
      <c r="B1293" s="1" t="str">
        <f ca="1">IFERROR(__xludf.DUMMYFUNCTION("""COMPUTED_VALUE"""),"Botosné Solymos Vera")</f>
        <v>Botosné Solymos Vera</v>
      </c>
      <c r="C1293" s="1"/>
      <c r="D1293" s="1" t="str">
        <f ca="1">IFERROR(__xludf.DUMMYFUNCTION("""COMPUTED_VALUE"""),"Nő")</f>
        <v>Nő</v>
      </c>
      <c r="E1293" s="1"/>
      <c r="F1293" s="1">
        <f ca="1">IFERROR(__xludf.DUMMYFUNCTION("""COMPUTED_VALUE"""),1970)</f>
        <v>1970</v>
      </c>
      <c r="G1293" s="1">
        <f ca="1">IFERROR(__xludf.DUMMYFUNCTION("""COMPUTED_VALUE"""),864)</f>
        <v>864</v>
      </c>
      <c r="H1293" s="1" t="str">
        <f ca="1">IFERROR(__xludf.DUMMYFUNCTION("""COMPUTED_VALUE"""),"MTLSZ000864A21")</f>
        <v>MTLSZ000864A21</v>
      </c>
      <c r="I1293" s="2">
        <f ca="1">IFERROR(__xludf.DUMMYFUNCTION("""COMPUTED_VALUE"""),44214)</f>
        <v>44214</v>
      </c>
      <c r="J1293" s="2">
        <f ca="1">IFERROR(__xludf.DUMMYFUNCTION("""COMPUTED_VALUE"""),44578)</f>
        <v>44578</v>
      </c>
    </row>
    <row r="1294" spans="1:10" x14ac:dyDescent="0.25">
      <c r="A1294" s="1" t="str">
        <f ca="1">IFERROR(__xludf.DUMMYFUNCTION("""COMPUTED_VALUE"""),"Bodajki TSE")</f>
        <v>Bodajki TSE</v>
      </c>
      <c r="B1294" s="1" t="str">
        <f ca="1">IFERROR(__xludf.DUMMYFUNCTION("""COMPUTED_VALUE"""),"Havancsák József")</f>
        <v>Havancsák József</v>
      </c>
      <c r="C1294" s="1"/>
      <c r="D1294" s="1" t="str">
        <f ca="1">IFERROR(__xludf.DUMMYFUNCTION("""COMPUTED_VALUE"""),"Férfi")</f>
        <v>Férfi</v>
      </c>
      <c r="E1294" s="1"/>
      <c r="F1294" s="1">
        <f ca="1">IFERROR(__xludf.DUMMYFUNCTION("""COMPUTED_VALUE"""),1963)</f>
        <v>1963</v>
      </c>
      <c r="G1294" s="1">
        <f ca="1">IFERROR(__xludf.DUMMYFUNCTION("""COMPUTED_VALUE"""),4127)</f>
        <v>4127</v>
      </c>
      <c r="H1294" s="1" t="str">
        <f ca="1">IFERROR(__xludf.DUMMYFUNCTION("""COMPUTED_VALUE"""),"MTLSZ004127A21")</f>
        <v>MTLSZ004127A21</v>
      </c>
      <c r="I1294" s="2">
        <f ca="1">IFERROR(__xludf.DUMMYFUNCTION("""COMPUTED_VALUE"""),44213)</f>
        <v>44213</v>
      </c>
      <c r="J1294" s="2">
        <f ca="1">IFERROR(__xludf.DUMMYFUNCTION("""COMPUTED_VALUE"""),44577)</f>
        <v>44577</v>
      </c>
    </row>
    <row r="1295" spans="1:10" x14ac:dyDescent="0.25">
      <c r="A1295" s="1" t="str">
        <f ca="1">IFERROR(__xludf.DUMMYFUNCTION("""COMPUTED_VALUE"""),"Bodajki TSE")</f>
        <v>Bodajki TSE</v>
      </c>
      <c r="B1295" s="1" t="str">
        <f ca="1">IFERROR(__xludf.DUMMYFUNCTION("""COMPUTED_VALUE"""),"Illés Albert")</f>
        <v>Illés Albert</v>
      </c>
      <c r="C1295" s="1"/>
      <c r="D1295" s="1" t="str">
        <f ca="1">IFERROR(__xludf.DUMMYFUNCTION("""COMPUTED_VALUE"""),"Férfi")</f>
        <v>Férfi</v>
      </c>
      <c r="E1295" s="1"/>
      <c r="F1295" s="1">
        <f ca="1">IFERROR(__xludf.DUMMYFUNCTION("""COMPUTED_VALUE"""),2005)</f>
        <v>2005</v>
      </c>
      <c r="G1295" s="1">
        <f ca="1">IFERROR(__xludf.DUMMYFUNCTION("""COMPUTED_VALUE"""),4126)</f>
        <v>4126</v>
      </c>
      <c r="H1295" s="1" t="str">
        <f ca="1">IFERROR(__xludf.DUMMYFUNCTION("""COMPUTED_VALUE"""),"MTLSZ004126A21")</f>
        <v>MTLSZ004126A21</v>
      </c>
      <c r="I1295" s="2">
        <f ca="1">IFERROR(__xludf.DUMMYFUNCTION("""COMPUTED_VALUE"""),44213)</f>
        <v>44213</v>
      </c>
      <c r="J1295" s="2">
        <f ca="1">IFERROR(__xludf.DUMMYFUNCTION("""COMPUTED_VALUE"""),44577)</f>
        <v>44577</v>
      </c>
    </row>
    <row r="1296" spans="1:10" x14ac:dyDescent="0.25">
      <c r="A1296" s="1" t="str">
        <f ca="1">IFERROR(__xludf.DUMMYFUNCTION("""COMPUTED_VALUE"""),"Bodajki TSE")</f>
        <v>Bodajki TSE</v>
      </c>
      <c r="B1296" s="1" t="str">
        <f ca="1">IFERROR(__xludf.DUMMYFUNCTION("""COMPUTED_VALUE"""),"Németh Dénes")</f>
        <v>Németh Dénes</v>
      </c>
      <c r="C1296" s="1"/>
      <c r="D1296" s="1" t="str">
        <f ca="1">IFERROR(__xludf.DUMMYFUNCTION("""COMPUTED_VALUE"""),"Férfi")</f>
        <v>Férfi</v>
      </c>
      <c r="E1296" s="1"/>
      <c r="F1296" s="1">
        <f ca="1">IFERROR(__xludf.DUMMYFUNCTION("""COMPUTED_VALUE"""),1969)</f>
        <v>1969</v>
      </c>
      <c r="G1296" s="1">
        <f ca="1">IFERROR(__xludf.DUMMYFUNCTION("""COMPUTED_VALUE"""),4129)</f>
        <v>4129</v>
      </c>
      <c r="H1296" s="1" t="str">
        <f ca="1">IFERROR(__xludf.DUMMYFUNCTION("""COMPUTED_VALUE"""),"MTLSZ004129A21")</f>
        <v>MTLSZ004129A21</v>
      </c>
      <c r="I1296" s="2">
        <f ca="1">IFERROR(__xludf.DUMMYFUNCTION("""COMPUTED_VALUE"""),44213)</f>
        <v>44213</v>
      </c>
      <c r="J1296" s="2">
        <f ca="1">IFERROR(__xludf.DUMMYFUNCTION("""COMPUTED_VALUE"""),44577)</f>
        <v>44577</v>
      </c>
    </row>
    <row r="1297" spans="1:10" x14ac:dyDescent="0.25">
      <c r="A1297" s="1" t="str">
        <f ca="1">IFERROR(__xludf.DUMMYFUNCTION("""COMPUTED_VALUE"""),"Bodajki TSE")</f>
        <v>Bodajki TSE</v>
      </c>
      <c r="B1297" s="1" t="str">
        <f ca="1">IFERROR(__xludf.DUMMYFUNCTION("""COMPUTED_VALUE"""),"Susán István Sándor")</f>
        <v>Susán István Sándor</v>
      </c>
      <c r="C1297" s="1"/>
      <c r="D1297" s="1" t="str">
        <f ca="1">IFERROR(__xludf.DUMMYFUNCTION("""COMPUTED_VALUE"""),"Férfi")</f>
        <v>Férfi</v>
      </c>
      <c r="E1297" s="1"/>
      <c r="F1297" s="1">
        <f ca="1">IFERROR(__xludf.DUMMYFUNCTION("""COMPUTED_VALUE"""),1967)</f>
        <v>1967</v>
      </c>
      <c r="G1297" s="1">
        <f ca="1">IFERROR(__xludf.DUMMYFUNCTION("""COMPUTED_VALUE"""),4128)</f>
        <v>4128</v>
      </c>
      <c r="H1297" s="1" t="str">
        <f ca="1">IFERROR(__xludf.DUMMYFUNCTION("""COMPUTED_VALUE"""),"MTLSZ004128A21")</f>
        <v>MTLSZ004128A21</v>
      </c>
      <c r="I1297" s="2">
        <f ca="1">IFERROR(__xludf.DUMMYFUNCTION("""COMPUTED_VALUE"""),44213)</f>
        <v>44213</v>
      </c>
      <c r="J1297" s="2">
        <f ca="1">IFERROR(__xludf.DUMMYFUNCTION("""COMPUTED_VALUE"""),44577)</f>
        <v>44577</v>
      </c>
    </row>
    <row r="1298" spans="1:10" x14ac:dyDescent="0.25">
      <c r="A1298" s="1" t="str">
        <f ca="1">IFERROR(__xludf.DUMMYFUNCTION("""COMPUTED_VALUE"""),"BTBK")</f>
        <v>BTBK</v>
      </c>
      <c r="B1298" s="1" t="str">
        <f ca="1">IFERROR(__xludf.DUMMYFUNCTION("""COMPUTED_VALUE"""),"Ronkay Gábor")</f>
        <v>Ronkay Gábor</v>
      </c>
      <c r="C1298" s="1"/>
      <c r="D1298" s="1" t="str">
        <f ca="1">IFERROR(__xludf.DUMMYFUNCTION("""COMPUTED_VALUE"""),"Férfi")</f>
        <v>Férfi</v>
      </c>
      <c r="E1298" s="1"/>
      <c r="F1298" s="1">
        <f ca="1">IFERROR(__xludf.DUMMYFUNCTION("""COMPUTED_VALUE"""),1963)</f>
        <v>1963</v>
      </c>
      <c r="G1298" s="1">
        <f ca="1">IFERROR(__xludf.DUMMYFUNCTION("""COMPUTED_VALUE"""),1370)</f>
        <v>1370</v>
      </c>
      <c r="H1298" s="1" t="str">
        <f ca="1">IFERROR(__xludf.DUMMYFUNCTION("""COMPUTED_VALUE"""),"MTLSZ001370A21")</f>
        <v>MTLSZ001370A21</v>
      </c>
      <c r="I1298" s="2">
        <f ca="1">IFERROR(__xludf.DUMMYFUNCTION("""COMPUTED_VALUE"""),44213)</f>
        <v>44213</v>
      </c>
      <c r="J1298" s="2">
        <f ca="1">IFERROR(__xludf.DUMMYFUNCTION("""COMPUTED_VALUE"""),44577)</f>
        <v>44577</v>
      </c>
    </row>
    <row r="1299" spans="1:10" x14ac:dyDescent="0.25">
      <c r="A1299" s="1" t="str">
        <f ca="1">IFERROR(__xludf.DUMMYFUNCTION("""COMPUTED_VALUE"""),"Debreceni Ezüstnyél SE")</f>
        <v>Debreceni Ezüstnyél SE</v>
      </c>
      <c r="B1299" s="1" t="str">
        <f ca="1">IFERROR(__xludf.DUMMYFUNCTION("""COMPUTED_VALUE"""),"Czövek Dóra")</f>
        <v>Czövek Dóra</v>
      </c>
      <c r="C1299" s="1"/>
      <c r="D1299" s="1" t="str">
        <f ca="1">IFERROR(__xludf.DUMMYFUNCTION("""COMPUTED_VALUE"""),"Nő")</f>
        <v>Nő</v>
      </c>
      <c r="E1299" s="1"/>
      <c r="F1299" s="1">
        <f ca="1">IFERROR(__xludf.DUMMYFUNCTION("""COMPUTED_VALUE"""),1973)</f>
        <v>1973</v>
      </c>
      <c r="G1299" s="1">
        <f ca="1">IFERROR(__xludf.DUMMYFUNCTION("""COMPUTED_VALUE"""),141)</f>
        <v>141</v>
      </c>
      <c r="H1299" s="1" t="str">
        <f ca="1">IFERROR(__xludf.DUMMYFUNCTION("""COMPUTED_VALUE"""),"MTLSZ000141A21")</f>
        <v>MTLSZ000141A21</v>
      </c>
      <c r="I1299" s="2">
        <f ca="1">IFERROR(__xludf.DUMMYFUNCTION("""COMPUTED_VALUE"""),44213)</f>
        <v>44213</v>
      </c>
      <c r="J1299" s="2">
        <f ca="1">IFERROR(__xludf.DUMMYFUNCTION("""COMPUTED_VALUE"""),44577)</f>
        <v>44577</v>
      </c>
    </row>
    <row r="1300" spans="1:10" x14ac:dyDescent="0.25">
      <c r="A1300" s="1" t="str">
        <f ca="1">IFERROR(__xludf.DUMMYFUNCTION("""COMPUTED_VALUE"""),"Debreceni Ezüstnyél SE")</f>
        <v>Debreceni Ezüstnyél SE</v>
      </c>
      <c r="B1300" s="1" t="str">
        <f ca="1">IFERROR(__xludf.DUMMYFUNCTION("""COMPUTED_VALUE"""),"Gulyás Imre Tibor")</f>
        <v>Gulyás Imre Tibor</v>
      </c>
      <c r="C1300" s="1"/>
      <c r="D1300" s="1" t="str">
        <f ca="1">IFERROR(__xludf.DUMMYFUNCTION("""COMPUTED_VALUE"""),"Férfi")</f>
        <v>Férfi</v>
      </c>
      <c r="E1300" s="1"/>
      <c r="F1300" s="1">
        <f ca="1">IFERROR(__xludf.DUMMYFUNCTION("""COMPUTED_VALUE"""),1960)</f>
        <v>1960</v>
      </c>
      <c r="G1300" s="1">
        <f ca="1">IFERROR(__xludf.DUMMYFUNCTION("""COMPUTED_VALUE"""),4118)</f>
        <v>4118</v>
      </c>
      <c r="H1300" s="1" t="str">
        <f ca="1">IFERROR(__xludf.DUMMYFUNCTION("""COMPUTED_VALUE"""),"MTLSZ004118A21")</f>
        <v>MTLSZ004118A21</v>
      </c>
      <c r="I1300" s="2">
        <f ca="1">IFERROR(__xludf.DUMMYFUNCTION("""COMPUTED_VALUE"""),44213)</f>
        <v>44213</v>
      </c>
      <c r="J1300" s="2">
        <f ca="1">IFERROR(__xludf.DUMMYFUNCTION("""COMPUTED_VALUE"""),44577)</f>
        <v>44577</v>
      </c>
    </row>
    <row r="1301" spans="1:10" x14ac:dyDescent="0.25">
      <c r="A1301" s="1" t="str">
        <f ca="1">IFERROR(__xludf.DUMMYFUNCTION("""COMPUTED_VALUE"""),"Debreceni Ezüstnyél SE")</f>
        <v>Debreceni Ezüstnyél SE</v>
      </c>
      <c r="B1301" s="1" t="str">
        <f ca="1">IFERROR(__xludf.DUMMYFUNCTION("""COMPUTED_VALUE"""),"Komáromi Tamás")</f>
        <v>Komáromi Tamás</v>
      </c>
      <c r="C1301" s="1"/>
      <c r="D1301" s="1" t="str">
        <f ca="1">IFERROR(__xludf.DUMMYFUNCTION("""COMPUTED_VALUE"""),"Férfi")</f>
        <v>Férfi</v>
      </c>
      <c r="E1301" s="1"/>
      <c r="F1301" s="1">
        <f ca="1">IFERROR(__xludf.DUMMYFUNCTION("""COMPUTED_VALUE"""),1966)</f>
        <v>1966</v>
      </c>
      <c r="G1301" s="1">
        <f ca="1">IFERROR(__xludf.DUMMYFUNCTION("""COMPUTED_VALUE"""),2665)</f>
        <v>2665</v>
      </c>
      <c r="H1301" s="1" t="str">
        <f ca="1">IFERROR(__xludf.DUMMYFUNCTION("""COMPUTED_VALUE"""),"MTLSZ002665A21")</f>
        <v>MTLSZ002665A21</v>
      </c>
      <c r="I1301" s="2">
        <f ca="1">IFERROR(__xludf.DUMMYFUNCTION("""COMPUTED_VALUE"""),44213)</f>
        <v>44213</v>
      </c>
      <c r="J1301" s="2">
        <f ca="1">IFERROR(__xludf.DUMMYFUNCTION("""COMPUTED_VALUE"""),44577)</f>
        <v>44577</v>
      </c>
    </row>
    <row r="1302" spans="1:10" x14ac:dyDescent="0.25">
      <c r="A1302" s="1" t="str">
        <f ca="1">IFERROR(__xludf.DUMMYFUNCTION("""COMPUTED_VALUE"""),"Debreceni Ezüstnyél SE")</f>
        <v>Debreceni Ezüstnyél SE</v>
      </c>
      <c r="B1302" s="1" t="str">
        <f ca="1">IFERROR(__xludf.DUMMYFUNCTION("""COMPUTED_VALUE"""),"Négyessi László")</f>
        <v>Négyessi László</v>
      </c>
      <c r="C1302" s="1"/>
      <c r="D1302" s="1" t="str">
        <f ca="1">IFERROR(__xludf.DUMMYFUNCTION("""COMPUTED_VALUE"""),"Férfi")</f>
        <v>Férfi</v>
      </c>
      <c r="E1302" s="1"/>
      <c r="F1302" s="1">
        <f ca="1">IFERROR(__xludf.DUMMYFUNCTION("""COMPUTED_VALUE"""),1961)</f>
        <v>1961</v>
      </c>
      <c r="G1302" s="1">
        <f ca="1">IFERROR(__xludf.DUMMYFUNCTION("""COMPUTED_VALUE"""),4119)</f>
        <v>4119</v>
      </c>
      <c r="H1302" s="1" t="str">
        <f ca="1">IFERROR(__xludf.DUMMYFUNCTION("""COMPUTED_VALUE"""),"MTLSZ004119A21")</f>
        <v>MTLSZ004119A21</v>
      </c>
      <c r="I1302" s="2">
        <f ca="1">IFERROR(__xludf.DUMMYFUNCTION("""COMPUTED_VALUE"""),44213)</f>
        <v>44213</v>
      </c>
      <c r="J1302" s="2">
        <f ca="1">IFERROR(__xludf.DUMMYFUNCTION("""COMPUTED_VALUE"""),44577)</f>
        <v>44577</v>
      </c>
    </row>
    <row r="1303" spans="1:10" x14ac:dyDescent="0.25">
      <c r="A1303" s="1" t="str">
        <f ca="1">IFERROR(__xludf.DUMMYFUNCTION("""COMPUTED_VALUE"""),"Debreceni Ezüstnyél SE")</f>
        <v>Debreceni Ezüstnyél SE</v>
      </c>
      <c r="B1303" s="1" t="str">
        <f ca="1">IFERROR(__xludf.DUMMYFUNCTION("""COMPUTED_VALUE"""),"Négyessi Márton")</f>
        <v>Négyessi Márton</v>
      </c>
      <c r="C1303" s="1"/>
      <c r="D1303" s="1" t="str">
        <f ca="1">IFERROR(__xludf.DUMMYFUNCTION("""COMPUTED_VALUE"""),"Férfi")</f>
        <v>Férfi</v>
      </c>
      <c r="E1303" s="1"/>
      <c r="F1303" s="1">
        <f ca="1">IFERROR(__xludf.DUMMYFUNCTION("""COMPUTED_VALUE"""),1996)</f>
        <v>1996</v>
      </c>
      <c r="G1303" s="1">
        <f ca="1">IFERROR(__xludf.DUMMYFUNCTION("""COMPUTED_VALUE"""),4120)</f>
        <v>4120</v>
      </c>
      <c r="H1303" s="1" t="str">
        <f ca="1">IFERROR(__xludf.DUMMYFUNCTION("""COMPUTED_VALUE"""),"MTLSZ004120A21")</f>
        <v>MTLSZ004120A21</v>
      </c>
      <c r="I1303" s="2">
        <f ca="1">IFERROR(__xludf.DUMMYFUNCTION("""COMPUTED_VALUE"""),44213)</f>
        <v>44213</v>
      </c>
      <c r="J1303" s="2">
        <f ca="1">IFERROR(__xludf.DUMMYFUNCTION("""COMPUTED_VALUE"""),44577)</f>
        <v>44577</v>
      </c>
    </row>
    <row r="1304" spans="1:10" x14ac:dyDescent="0.25">
      <c r="A1304" s="1" t="str">
        <f ca="1">IFERROR(__xludf.DUMMYFUNCTION("""COMPUTED_VALUE"""),"Debreceni Ezüstnyél SE")</f>
        <v>Debreceni Ezüstnyél SE</v>
      </c>
      <c r="B1304" s="1" t="str">
        <f ca="1">IFERROR(__xludf.DUMMYFUNCTION("""COMPUTED_VALUE"""),"Osvay Edit")</f>
        <v>Osvay Edit</v>
      </c>
      <c r="C1304" s="1"/>
      <c r="D1304" s="1" t="str">
        <f ca="1">IFERROR(__xludf.DUMMYFUNCTION("""COMPUTED_VALUE"""),"Nő")</f>
        <v>Nő</v>
      </c>
      <c r="E1304" s="1"/>
      <c r="F1304" s="1">
        <f ca="1">IFERROR(__xludf.DUMMYFUNCTION("""COMPUTED_VALUE"""),1972)</f>
        <v>1972</v>
      </c>
      <c r="G1304" s="1">
        <f ca="1">IFERROR(__xludf.DUMMYFUNCTION("""COMPUTED_VALUE"""),2847)</f>
        <v>2847</v>
      </c>
      <c r="H1304" s="1" t="str">
        <f ca="1">IFERROR(__xludf.DUMMYFUNCTION("""COMPUTED_VALUE"""),"MTLSZ002847A21")</f>
        <v>MTLSZ002847A21</v>
      </c>
      <c r="I1304" s="2">
        <f ca="1">IFERROR(__xludf.DUMMYFUNCTION("""COMPUTED_VALUE"""),44213)</f>
        <v>44213</v>
      </c>
      <c r="J1304" s="2">
        <f ca="1">IFERROR(__xludf.DUMMYFUNCTION("""COMPUTED_VALUE"""),44577)</f>
        <v>44577</v>
      </c>
    </row>
    <row r="1305" spans="1:10" x14ac:dyDescent="0.25">
      <c r="A1305" s="1" t="str">
        <f ca="1">IFERROR(__xludf.DUMMYFUNCTION("""COMPUTED_VALUE"""),"Debreceni Ezüstnyél SE")</f>
        <v>Debreceni Ezüstnyél SE</v>
      </c>
      <c r="B1305" s="1" t="str">
        <f ca="1">IFERROR(__xludf.DUMMYFUNCTION("""COMPUTED_VALUE"""),"Puzsár Sándor")</f>
        <v>Puzsár Sándor</v>
      </c>
      <c r="C1305" s="1"/>
      <c r="D1305" s="1" t="str">
        <f ca="1">IFERROR(__xludf.DUMMYFUNCTION("""COMPUTED_VALUE"""),"Férfi")</f>
        <v>Férfi</v>
      </c>
      <c r="E1305" s="1"/>
      <c r="F1305" s="1">
        <f ca="1">IFERROR(__xludf.DUMMYFUNCTION("""COMPUTED_VALUE"""),1977)</f>
        <v>1977</v>
      </c>
      <c r="G1305" s="1">
        <f ca="1">IFERROR(__xludf.DUMMYFUNCTION("""COMPUTED_VALUE"""),4123)</f>
        <v>4123</v>
      </c>
      <c r="H1305" s="1" t="str">
        <f ca="1">IFERROR(__xludf.DUMMYFUNCTION("""COMPUTED_VALUE"""),"MTLSZ004123A21")</f>
        <v>MTLSZ004123A21</v>
      </c>
      <c r="I1305" s="2">
        <f ca="1">IFERROR(__xludf.DUMMYFUNCTION("""COMPUTED_VALUE"""),44213)</f>
        <v>44213</v>
      </c>
      <c r="J1305" s="2">
        <f ca="1">IFERROR(__xludf.DUMMYFUNCTION("""COMPUTED_VALUE"""),44577)</f>
        <v>44577</v>
      </c>
    </row>
    <row r="1306" spans="1:10" x14ac:dyDescent="0.25">
      <c r="A1306" s="1" t="str">
        <f ca="1">IFERROR(__xludf.DUMMYFUNCTION("""COMPUTED_VALUE"""),"Debreceni Ezüstnyél SE")</f>
        <v>Debreceni Ezüstnyél SE</v>
      </c>
      <c r="B1306" s="1" t="str">
        <f ca="1">IFERROR(__xludf.DUMMYFUNCTION("""COMPUTED_VALUE"""),"Szabó Attila")</f>
        <v>Szabó Attila</v>
      </c>
      <c r="C1306" s="1"/>
      <c r="D1306" s="1" t="str">
        <f ca="1">IFERROR(__xludf.DUMMYFUNCTION("""COMPUTED_VALUE"""),"Férfi")</f>
        <v>Férfi</v>
      </c>
      <c r="E1306" s="1"/>
      <c r="F1306" s="1">
        <f ca="1">IFERROR(__xludf.DUMMYFUNCTION("""COMPUTED_VALUE"""),1978)</f>
        <v>1978</v>
      </c>
      <c r="G1306" s="1">
        <f ca="1">IFERROR(__xludf.DUMMYFUNCTION("""COMPUTED_VALUE"""),4122)</f>
        <v>4122</v>
      </c>
      <c r="H1306" s="1" t="str">
        <f ca="1">IFERROR(__xludf.DUMMYFUNCTION("""COMPUTED_VALUE"""),"MTLSZ004122A21")</f>
        <v>MTLSZ004122A21</v>
      </c>
      <c r="I1306" s="2">
        <f ca="1">IFERROR(__xludf.DUMMYFUNCTION("""COMPUTED_VALUE"""),44213)</f>
        <v>44213</v>
      </c>
      <c r="J1306" s="2">
        <f ca="1">IFERROR(__xludf.DUMMYFUNCTION("""COMPUTED_VALUE"""),44577)</f>
        <v>44577</v>
      </c>
    </row>
    <row r="1307" spans="1:10" x14ac:dyDescent="0.25">
      <c r="A1307" s="1" t="str">
        <f ca="1">IFERROR(__xludf.DUMMYFUNCTION("""COMPUTED_VALUE"""),"Debreceni Ezüstnyél SE")</f>
        <v>Debreceni Ezüstnyél SE</v>
      </c>
      <c r="B1307" s="1" t="str">
        <f ca="1">IFERROR(__xludf.DUMMYFUNCTION("""COMPUTED_VALUE"""),"Szoták Beáta")</f>
        <v>Szoták Beáta</v>
      </c>
      <c r="C1307" s="1"/>
      <c r="D1307" s="1" t="str">
        <f ca="1">IFERROR(__xludf.DUMMYFUNCTION("""COMPUTED_VALUE"""),"Nő")</f>
        <v>Nő</v>
      </c>
      <c r="E1307" s="1"/>
      <c r="F1307" s="1">
        <f ca="1">IFERROR(__xludf.DUMMYFUNCTION("""COMPUTED_VALUE"""),1972)</f>
        <v>1972</v>
      </c>
      <c r="G1307" s="1">
        <f ca="1">IFERROR(__xludf.DUMMYFUNCTION("""COMPUTED_VALUE"""),4124)</f>
        <v>4124</v>
      </c>
      <c r="H1307" s="1" t="str">
        <f ca="1">IFERROR(__xludf.DUMMYFUNCTION("""COMPUTED_VALUE"""),"MTLSZ004124A21")</f>
        <v>MTLSZ004124A21</v>
      </c>
      <c r="I1307" s="2">
        <f ca="1">IFERROR(__xludf.DUMMYFUNCTION("""COMPUTED_VALUE"""),44213)</f>
        <v>44213</v>
      </c>
      <c r="J1307" s="2">
        <f ca="1">IFERROR(__xludf.DUMMYFUNCTION("""COMPUTED_VALUE"""),44577)</f>
        <v>44577</v>
      </c>
    </row>
    <row r="1308" spans="1:10" x14ac:dyDescent="0.25">
      <c r="A1308" s="1" t="str">
        <f ca="1">IFERROR(__xludf.DUMMYFUNCTION("""COMPUTED_VALUE"""),"Debreceni Ezüstnyél SE")</f>
        <v>Debreceni Ezüstnyél SE</v>
      </c>
      <c r="B1308" s="1" t="str">
        <f ca="1">IFERROR(__xludf.DUMMYFUNCTION("""COMPUTED_VALUE"""),"Tumiwa Johan Renieer")</f>
        <v>Tumiwa Johan Renieer</v>
      </c>
      <c r="C1308" s="1"/>
      <c r="D1308" s="1" t="str">
        <f ca="1">IFERROR(__xludf.DUMMYFUNCTION("""COMPUTED_VALUE"""),"Férfi")</f>
        <v>Férfi</v>
      </c>
      <c r="E1308" s="1"/>
      <c r="F1308" s="1">
        <f ca="1">IFERROR(__xludf.DUMMYFUNCTION("""COMPUTED_VALUE"""),1986)</f>
        <v>1986</v>
      </c>
      <c r="G1308" s="1">
        <f ca="1">IFERROR(__xludf.DUMMYFUNCTION("""COMPUTED_VALUE"""),4117)</f>
        <v>4117</v>
      </c>
      <c r="H1308" s="1" t="str">
        <f ca="1">IFERROR(__xludf.DUMMYFUNCTION("""COMPUTED_VALUE"""),"MTLSZ004117A21")</f>
        <v>MTLSZ004117A21</v>
      </c>
      <c r="I1308" s="2">
        <f ca="1">IFERROR(__xludf.DUMMYFUNCTION("""COMPUTED_VALUE"""),44213)</f>
        <v>44213</v>
      </c>
      <c r="J1308" s="2">
        <f ca="1">IFERROR(__xludf.DUMMYFUNCTION("""COMPUTED_VALUE"""),44577)</f>
        <v>44577</v>
      </c>
    </row>
    <row r="1309" spans="1:10" x14ac:dyDescent="0.25">
      <c r="A1309" s="1" t="str">
        <f ca="1">IFERROR(__xludf.DUMMYFUNCTION("""COMPUTED_VALUE"""),"Debreceni Ezüstnyél SE")</f>
        <v>Debreceni Ezüstnyél SE</v>
      </c>
      <c r="B1309" s="1"/>
      <c r="C1309" s="1"/>
      <c r="D1309" s="1"/>
      <c r="E1309" s="1"/>
      <c r="F1309" s="1">
        <f ca="1">IFERROR(__xludf.DUMMYFUNCTION("""COMPUTED_VALUE"""),1899)</f>
        <v>1899</v>
      </c>
      <c r="G1309" s="1">
        <f ca="1">IFERROR(__xludf.DUMMYFUNCTION("""COMPUTED_VALUE"""),4121)</f>
        <v>4121</v>
      </c>
      <c r="H1309" s="1"/>
      <c r="I1309" s="2">
        <f ca="1">IFERROR(__xludf.DUMMYFUNCTION("""COMPUTED_VALUE"""),44213)</f>
        <v>44213</v>
      </c>
      <c r="J1309" s="2">
        <f ca="1">IFERROR(__xludf.DUMMYFUNCTION("""COMPUTED_VALUE"""),44577)</f>
        <v>44577</v>
      </c>
    </row>
    <row r="1310" spans="1:10" x14ac:dyDescent="0.25">
      <c r="A1310" s="1" t="str">
        <f ca="1">IFERROR(__xludf.DUMMYFUNCTION("""COMPUTED_VALUE"""),"Életmód SE")</f>
        <v>Életmód SE</v>
      </c>
      <c r="B1310" s="1" t="str">
        <f ca="1">IFERROR(__xludf.DUMMYFUNCTION("""COMPUTED_VALUE"""),"Csáki Tibor")</f>
        <v>Csáki Tibor</v>
      </c>
      <c r="C1310" s="1"/>
      <c r="D1310" s="1" t="str">
        <f ca="1">IFERROR(__xludf.DUMMYFUNCTION("""COMPUTED_VALUE"""),"Férfi")</f>
        <v>Férfi</v>
      </c>
      <c r="E1310" s="1"/>
      <c r="F1310" s="1">
        <f ca="1">IFERROR(__xludf.DUMMYFUNCTION("""COMPUTED_VALUE"""),1964)</f>
        <v>1964</v>
      </c>
      <c r="G1310" s="1">
        <f ca="1">IFERROR(__xludf.DUMMYFUNCTION("""COMPUTED_VALUE"""),2173)</f>
        <v>2173</v>
      </c>
      <c r="H1310" s="1" t="str">
        <f ca="1">IFERROR(__xludf.DUMMYFUNCTION("""COMPUTED_VALUE"""),"MTLSZ002173A21")</f>
        <v>MTLSZ002173A21</v>
      </c>
      <c r="I1310" s="2">
        <f ca="1">IFERROR(__xludf.DUMMYFUNCTION("""COMPUTED_VALUE"""),44213)</f>
        <v>44213</v>
      </c>
      <c r="J1310" s="2">
        <f ca="1">IFERROR(__xludf.DUMMYFUNCTION("""COMPUTED_VALUE"""),44577)</f>
        <v>44577</v>
      </c>
    </row>
    <row r="1311" spans="1:10" x14ac:dyDescent="0.25">
      <c r="A1311" s="1" t="str">
        <f ca="1">IFERROR(__xludf.DUMMYFUNCTION("""COMPUTED_VALUE"""),"Életmód SE")</f>
        <v>Életmód SE</v>
      </c>
      <c r="B1311" s="1" t="str">
        <f ca="1">IFERROR(__xludf.DUMMYFUNCTION("""COMPUTED_VALUE"""),"Hajdú Richárd")</f>
        <v>Hajdú Richárd</v>
      </c>
      <c r="C1311" s="1"/>
      <c r="D1311" s="1" t="str">
        <f ca="1">IFERROR(__xludf.DUMMYFUNCTION("""COMPUTED_VALUE"""),"Férfi")</f>
        <v>Férfi</v>
      </c>
      <c r="E1311" s="1"/>
      <c r="F1311" s="1">
        <f ca="1">IFERROR(__xludf.DUMMYFUNCTION("""COMPUTED_VALUE"""),1993)</f>
        <v>1993</v>
      </c>
      <c r="G1311" s="1">
        <f ca="1">IFERROR(__xludf.DUMMYFUNCTION("""COMPUTED_VALUE"""),4125)</f>
        <v>4125</v>
      </c>
      <c r="H1311" s="1" t="str">
        <f ca="1">IFERROR(__xludf.DUMMYFUNCTION("""COMPUTED_VALUE"""),"MTLSZ004125A21")</f>
        <v>MTLSZ004125A21</v>
      </c>
      <c r="I1311" s="2">
        <f ca="1">IFERROR(__xludf.DUMMYFUNCTION("""COMPUTED_VALUE"""),44213)</f>
        <v>44213</v>
      </c>
      <c r="J1311" s="2">
        <f ca="1">IFERROR(__xludf.DUMMYFUNCTION("""COMPUTED_VALUE"""),44577)</f>
        <v>44577</v>
      </c>
    </row>
    <row r="1312" spans="1:10" x14ac:dyDescent="0.25">
      <c r="A1312" s="1" t="str">
        <f ca="1">IFERROR(__xludf.DUMMYFUNCTION("""COMPUTED_VALUE"""),"Életmód SE")</f>
        <v>Életmód SE</v>
      </c>
      <c r="B1312" s="1"/>
      <c r="C1312" s="1"/>
      <c r="D1312" s="1"/>
      <c r="E1312" s="1"/>
      <c r="F1312" s="1">
        <f ca="1">IFERROR(__xludf.DUMMYFUNCTION("""COMPUTED_VALUE"""),1899)</f>
        <v>1899</v>
      </c>
      <c r="G1312" s="1">
        <f ca="1">IFERROR(__xludf.DUMMYFUNCTION("""COMPUTED_VALUE"""),4116)</f>
        <v>4116</v>
      </c>
      <c r="H1312" s="1"/>
      <c r="I1312" s="2">
        <f ca="1">IFERROR(__xludf.DUMMYFUNCTION("""COMPUTED_VALUE"""),44213)</f>
        <v>44213</v>
      </c>
      <c r="J1312" s="2">
        <f ca="1">IFERROR(__xludf.DUMMYFUNCTION("""COMPUTED_VALUE"""),44577)</f>
        <v>44577</v>
      </c>
    </row>
    <row r="1313" spans="1:10" x14ac:dyDescent="0.25">
      <c r="A1313" s="1" t="str">
        <f ca="1">IFERROR(__xludf.DUMMYFUNCTION("""COMPUTED_VALUE"""),"Karai SE")</f>
        <v>Karai SE</v>
      </c>
      <c r="B1313" s="1" t="str">
        <f ca="1">IFERROR(__xludf.DUMMYFUNCTION("""COMPUTED_VALUE"""),"Csáki Péter")</f>
        <v>Csáki Péter</v>
      </c>
      <c r="C1313" s="1"/>
      <c r="D1313" s="1" t="str">
        <f ca="1">IFERROR(__xludf.DUMMYFUNCTION("""COMPUTED_VALUE"""),"Férfi")</f>
        <v>Férfi</v>
      </c>
      <c r="E1313" s="1"/>
      <c r="F1313" s="1">
        <f ca="1">IFERROR(__xludf.DUMMYFUNCTION("""COMPUTED_VALUE"""),1998)</f>
        <v>1998</v>
      </c>
      <c r="G1313" s="1">
        <f ca="1">IFERROR(__xludf.DUMMYFUNCTION("""COMPUTED_VALUE"""),2349)</f>
        <v>2349</v>
      </c>
      <c r="H1313" s="1" t="str">
        <f ca="1">IFERROR(__xludf.DUMMYFUNCTION("""COMPUTED_VALUE"""),"MTLSZ002349A21")</f>
        <v>MTLSZ002349A21</v>
      </c>
      <c r="I1313" s="2">
        <f ca="1">IFERROR(__xludf.DUMMYFUNCTION("""COMPUTED_VALUE"""),44213)</f>
        <v>44213</v>
      </c>
      <c r="J1313" s="2">
        <f ca="1">IFERROR(__xludf.DUMMYFUNCTION("""COMPUTED_VALUE"""),44577)</f>
        <v>44577</v>
      </c>
    </row>
    <row r="1314" spans="1:10" x14ac:dyDescent="0.25">
      <c r="A1314" s="1" t="str">
        <f ca="1">IFERROR(__xludf.DUMMYFUNCTION("""COMPUTED_VALUE"""),"Klébi DSE")</f>
        <v>Klébi DSE</v>
      </c>
      <c r="B1314" s="1" t="str">
        <f ca="1">IFERROR(__xludf.DUMMYFUNCTION("""COMPUTED_VALUE"""),"Fehér András")</f>
        <v>Fehér András</v>
      </c>
      <c r="C1314" s="1"/>
      <c r="D1314" s="1" t="str">
        <f ca="1">IFERROR(__xludf.DUMMYFUNCTION("""COMPUTED_VALUE"""),"Férfi")</f>
        <v>Férfi</v>
      </c>
      <c r="E1314" s="1"/>
      <c r="F1314" s="1">
        <f ca="1">IFERROR(__xludf.DUMMYFUNCTION("""COMPUTED_VALUE"""),1975)</f>
        <v>1975</v>
      </c>
      <c r="G1314" s="1">
        <f ca="1">IFERROR(__xludf.DUMMYFUNCTION("""COMPUTED_VALUE"""),4115)</f>
        <v>4115</v>
      </c>
      <c r="H1314" s="1" t="str">
        <f ca="1">IFERROR(__xludf.DUMMYFUNCTION("""COMPUTED_VALUE"""),"MTLSZ004115A21")</f>
        <v>MTLSZ004115A21</v>
      </c>
      <c r="I1314" s="2">
        <f ca="1">IFERROR(__xludf.DUMMYFUNCTION("""COMPUTED_VALUE"""),44213)</f>
        <v>44213</v>
      </c>
      <c r="J1314" s="2">
        <f ca="1">IFERROR(__xludf.DUMMYFUNCTION("""COMPUTED_VALUE"""),44577)</f>
        <v>44577</v>
      </c>
    </row>
    <row r="1315" spans="1:10" x14ac:dyDescent="0.25">
      <c r="A1315" s="1" t="str">
        <f ca="1">IFERROR(__xludf.DUMMYFUNCTION("""COMPUTED_VALUE"""),"Klébi DSE")</f>
        <v>Klébi DSE</v>
      </c>
      <c r="B1315" s="1" t="str">
        <f ca="1">IFERROR(__xludf.DUMMYFUNCTION("""COMPUTED_VALUE"""),"Vajda Lóránt")</f>
        <v>Vajda Lóránt</v>
      </c>
      <c r="C1315" s="1"/>
      <c r="D1315" s="1" t="str">
        <f ca="1">IFERROR(__xludf.DUMMYFUNCTION("""COMPUTED_VALUE"""),"Férfi")</f>
        <v>Férfi</v>
      </c>
      <c r="E1315" s="1"/>
      <c r="F1315" s="1">
        <f ca="1">IFERROR(__xludf.DUMMYFUNCTION("""COMPUTED_VALUE"""),1977)</f>
        <v>1977</v>
      </c>
      <c r="G1315" s="1">
        <f ca="1">IFERROR(__xludf.DUMMYFUNCTION("""COMPUTED_VALUE"""),4114)</f>
        <v>4114</v>
      </c>
      <c r="H1315" s="1" t="str">
        <f ca="1">IFERROR(__xludf.DUMMYFUNCTION("""COMPUTED_VALUE"""),"MTLSZ004114A21")</f>
        <v>MTLSZ004114A21</v>
      </c>
      <c r="I1315" s="2">
        <f ca="1">IFERROR(__xludf.DUMMYFUNCTION("""COMPUTED_VALUE"""),44213)</f>
        <v>44213</v>
      </c>
      <c r="J1315" s="2">
        <f ca="1">IFERROR(__xludf.DUMMYFUNCTION("""COMPUTED_VALUE"""),44577)</f>
        <v>44577</v>
      </c>
    </row>
    <row r="1316" spans="1:10" x14ac:dyDescent="0.25">
      <c r="A1316" s="1" t="str">
        <f ca="1">IFERROR(__xludf.DUMMYFUNCTION("""COMPUTED_VALUE"""),"Pedagógus Fáklya SE")</f>
        <v>Pedagógus Fáklya SE</v>
      </c>
      <c r="B1316" s="1" t="str">
        <f ca="1">IFERROR(__xludf.DUMMYFUNCTION("""COMPUTED_VALUE"""),"Hangyál Gábor")</f>
        <v>Hangyál Gábor</v>
      </c>
      <c r="C1316" s="1"/>
      <c r="D1316" s="1" t="str">
        <f ca="1">IFERROR(__xludf.DUMMYFUNCTION("""COMPUTED_VALUE"""),"Férfi")</f>
        <v>Férfi</v>
      </c>
      <c r="E1316" s="1"/>
      <c r="F1316" s="1">
        <f ca="1">IFERROR(__xludf.DUMMYFUNCTION("""COMPUTED_VALUE"""),1955)</f>
        <v>1955</v>
      </c>
      <c r="G1316" s="1">
        <f ca="1">IFERROR(__xludf.DUMMYFUNCTION("""COMPUTED_VALUE"""),1662)</f>
        <v>1662</v>
      </c>
      <c r="H1316" s="1" t="str">
        <f ca="1">IFERROR(__xludf.DUMMYFUNCTION("""COMPUTED_VALUE"""),"MTLSZ001662A21")</f>
        <v>MTLSZ001662A21</v>
      </c>
      <c r="I1316" s="2">
        <f ca="1">IFERROR(__xludf.DUMMYFUNCTION("""COMPUTED_VALUE"""),44213)</f>
        <v>44213</v>
      </c>
      <c r="J1316" s="2">
        <f ca="1">IFERROR(__xludf.DUMMYFUNCTION("""COMPUTED_VALUE"""),44577)</f>
        <v>44577</v>
      </c>
    </row>
    <row r="1317" spans="1:10" x14ac:dyDescent="0.25">
      <c r="A1317" s="1" t="str">
        <f ca="1">IFERROR(__xludf.DUMMYFUNCTION("""COMPUTED_VALUE"""),"Tisza TSE")</f>
        <v>Tisza TSE</v>
      </c>
      <c r="B1317" s="1" t="str">
        <f ca="1">IFERROR(__xludf.DUMMYFUNCTION("""COMPUTED_VALUE"""),"Ács József")</f>
        <v>Ács József</v>
      </c>
      <c r="C1317" s="1"/>
      <c r="D1317" s="1" t="str">
        <f ca="1">IFERROR(__xludf.DUMMYFUNCTION("""COMPUTED_VALUE"""),"Férfi")</f>
        <v>Férfi</v>
      </c>
      <c r="E1317" s="1"/>
      <c r="F1317" s="1">
        <f ca="1">IFERROR(__xludf.DUMMYFUNCTION("""COMPUTED_VALUE"""),1969)</f>
        <v>1969</v>
      </c>
      <c r="G1317" s="1">
        <f ca="1">IFERROR(__xludf.DUMMYFUNCTION("""COMPUTED_VALUE"""),4107)</f>
        <v>4107</v>
      </c>
      <c r="H1317" s="1" t="str">
        <f ca="1">IFERROR(__xludf.DUMMYFUNCTION("""COMPUTED_VALUE"""),"MTLSZ004107A21")</f>
        <v>MTLSZ004107A21</v>
      </c>
      <c r="I1317" s="2">
        <f ca="1">IFERROR(__xludf.DUMMYFUNCTION("""COMPUTED_VALUE"""),44213)</f>
        <v>44213</v>
      </c>
      <c r="J1317" s="2">
        <f ca="1">IFERROR(__xludf.DUMMYFUNCTION("""COMPUTED_VALUE"""),44577)</f>
        <v>44577</v>
      </c>
    </row>
    <row r="1318" spans="1:10" x14ac:dyDescent="0.25">
      <c r="A1318" s="1" t="str">
        <f ca="1">IFERROR(__xludf.DUMMYFUNCTION("""COMPUTED_VALUE"""),"Tisza TSE")</f>
        <v>Tisza TSE</v>
      </c>
      <c r="B1318" s="1" t="str">
        <f ca="1">IFERROR(__xludf.DUMMYFUNCTION("""COMPUTED_VALUE"""),"Balázs Tamás")</f>
        <v>Balázs Tamás</v>
      </c>
      <c r="C1318" s="1"/>
      <c r="D1318" s="1" t="str">
        <f ca="1">IFERROR(__xludf.DUMMYFUNCTION("""COMPUTED_VALUE"""),"Férfi")</f>
        <v>Férfi</v>
      </c>
      <c r="E1318" s="1"/>
      <c r="F1318" s="1">
        <f ca="1">IFERROR(__xludf.DUMMYFUNCTION("""COMPUTED_VALUE"""),1997)</f>
        <v>1997</v>
      </c>
      <c r="G1318" s="1">
        <f ca="1">IFERROR(__xludf.DUMMYFUNCTION("""COMPUTED_VALUE"""),4106)</f>
        <v>4106</v>
      </c>
      <c r="H1318" s="1" t="str">
        <f ca="1">IFERROR(__xludf.DUMMYFUNCTION("""COMPUTED_VALUE"""),"MTLSZ004106A21")</f>
        <v>MTLSZ004106A21</v>
      </c>
      <c r="I1318" s="2">
        <f ca="1">IFERROR(__xludf.DUMMYFUNCTION("""COMPUTED_VALUE"""),44213)</f>
        <v>44213</v>
      </c>
      <c r="J1318" s="2">
        <f ca="1">IFERROR(__xludf.DUMMYFUNCTION("""COMPUTED_VALUE"""),44577)</f>
        <v>44577</v>
      </c>
    </row>
    <row r="1319" spans="1:10" x14ac:dyDescent="0.25">
      <c r="A1319" s="1" t="str">
        <f ca="1">IFERROR(__xludf.DUMMYFUNCTION("""COMPUTED_VALUE"""),"Tisza TSE")</f>
        <v>Tisza TSE</v>
      </c>
      <c r="B1319" s="1" t="str">
        <f ca="1">IFERROR(__xludf.DUMMYFUNCTION("""COMPUTED_VALUE"""),"Fehér Judit Dr.")</f>
        <v>Fehér Judit Dr.</v>
      </c>
      <c r="C1319" s="1"/>
      <c r="D1319" s="1" t="str">
        <f ca="1">IFERROR(__xludf.DUMMYFUNCTION("""COMPUTED_VALUE"""),"Nő")</f>
        <v>Nő</v>
      </c>
      <c r="E1319" s="1"/>
      <c r="F1319" s="1">
        <f ca="1">IFERROR(__xludf.DUMMYFUNCTION("""COMPUTED_VALUE"""),1963)</f>
        <v>1963</v>
      </c>
      <c r="G1319" s="1">
        <f ca="1">IFERROR(__xludf.DUMMYFUNCTION("""COMPUTED_VALUE"""),4108)</f>
        <v>4108</v>
      </c>
      <c r="H1319" s="1" t="str">
        <f ca="1">IFERROR(__xludf.DUMMYFUNCTION("""COMPUTED_VALUE"""),"MTLSZ004108A21")</f>
        <v>MTLSZ004108A21</v>
      </c>
      <c r="I1319" s="2">
        <f ca="1">IFERROR(__xludf.DUMMYFUNCTION("""COMPUTED_VALUE"""),44213)</f>
        <v>44213</v>
      </c>
      <c r="J1319" s="2">
        <f ca="1">IFERROR(__xludf.DUMMYFUNCTION("""COMPUTED_VALUE"""),44577)</f>
        <v>44577</v>
      </c>
    </row>
    <row r="1320" spans="1:10" x14ac:dyDescent="0.25">
      <c r="A1320" s="1" t="str">
        <f ca="1">IFERROR(__xludf.DUMMYFUNCTION("""COMPUTED_VALUE"""),"Tisza TSE")</f>
        <v>Tisza TSE</v>
      </c>
      <c r="B1320" s="1" t="str">
        <f ca="1">IFERROR(__xludf.DUMMYFUNCTION("""COMPUTED_VALUE"""),"Forró Krisztina")</f>
        <v>Forró Krisztina</v>
      </c>
      <c r="C1320" s="1"/>
      <c r="D1320" s="1" t="str">
        <f ca="1">IFERROR(__xludf.DUMMYFUNCTION("""COMPUTED_VALUE"""),"Nő")</f>
        <v>Nő</v>
      </c>
      <c r="E1320" s="1"/>
      <c r="F1320" s="1">
        <f ca="1">IFERROR(__xludf.DUMMYFUNCTION("""COMPUTED_VALUE"""),1974)</f>
        <v>1974</v>
      </c>
      <c r="G1320" s="1">
        <f ca="1">IFERROR(__xludf.DUMMYFUNCTION("""COMPUTED_VALUE"""),4110)</f>
        <v>4110</v>
      </c>
      <c r="H1320" s="1" t="str">
        <f ca="1">IFERROR(__xludf.DUMMYFUNCTION("""COMPUTED_VALUE"""),"MTLSZ004110A21")</f>
        <v>MTLSZ004110A21</v>
      </c>
      <c r="I1320" s="2">
        <f ca="1">IFERROR(__xludf.DUMMYFUNCTION("""COMPUTED_VALUE"""),44213)</f>
        <v>44213</v>
      </c>
      <c r="J1320" s="2">
        <f ca="1">IFERROR(__xludf.DUMMYFUNCTION("""COMPUTED_VALUE"""),44577)</f>
        <v>44577</v>
      </c>
    </row>
    <row r="1321" spans="1:10" x14ac:dyDescent="0.25">
      <c r="A1321" s="1" t="str">
        <f ca="1">IFERROR(__xludf.DUMMYFUNCTION("""COMPUTED_VALUE"""),"Tisza TSE")</f>
        <v>Tisza TSE</v>
      </c>
      <c r="B1321" s="1" t="str">
        <f ca="1">IFERROR(__xludf.DUMMYFUNCTION("""COMPUTED_VALUE"""),"Horváth Bence")</f>
        <v>Horváth Bence</v>
      </c>
      <c r="C1321" s="1"/>
      <c r="D1321" s="1" t="str">
        <f ca="1">IFERROR(__xludf.DUMMYFUNCTION("""COMPUTED_VALUE"""),"Férfi")</f>
        <v>Férfi</v>
      </c>
      <c r="E1321" s="1"/>
      <c r="F1321" s="1">
        <f ca="1">IFERROR(__xludf.DUMMYFUNCTION("""COMPUTED_VALUE"""),1996)</f>
        <v>1996</v>
      </c>
      <c r="G1321" s="1">
        <f ca="1">IFERROR(__xludf.DUMMYFUNCTION("""COMPUTED_VALUE"""),4109)</f>
        <v>4109</v>
      </c>
      <c r="H1321" s="1" t="str">
        <f ca="1">IFERROR(__xludf.DUMMYFUNCTION("""COMPUTED_VALUE"""),"MTLSZ004109A21")</f>
        <v>MTLSZ004109A21</v>
      </c>
      <c r="I1321" s="2">
        <f ca="1">IFERROR(__xludf.DUMMYFUNCTION("""COMPUTED_VALUE"""),44213)</f>
        <v>44213</v>
      </c>
      <c r="J1321" s="2">
        <f ca="1">IFERROR(__xludf.DUMMYFUNCTION("""COMPUTED_VALUE"""),44577)</f>
        <v>44577</v>
      </c>
    </row>
    <row r="1322" spans="1:10" x14ac:dyDescent="0.25">
      <c r="A1322" s="1" t="str">
        <f ca="1">IFERROR(__xludf.DUMMYFUNCTION("""COMPUTED_VALUE"""),"Tisza TSE")</f>
        <v>Tisza TSE</v>
      </c>
      <c r="B1322" s="1" t="str">
        <f ca="1">IFERROR(__xludf.DUMMYFUNCTION("""COMPUTED_VALUE"""),"Jójárt Rebeka Lilla")</f>
        <v>Jójárt Rebeka Lilla</v>
      </c>
      <c r="C1322" s="1"/>
      <c r="D1322" s="1" t="str">
        <f ca="1">IFERROR(__xludf.DUMMYFUNCTION("""COMPUTED_VALUE"""),"Nő")</f>
        <v>Nő</v>
      </c>
      <c r="E1322" s="1"/>
      <c r="F1322" s="1">
        <f ca="1">IFERROR(__xludf.DUMMYFUNCTION("""COMPUTED_VALUE"""),1995)</f>
        <v>1995</v>
      </c>
      <c r="G1322" s="1">
        <f ca="1">IFERROR(__xludf.DUMMYFUNCTION("""COMPUTED_VALUE"""),4105)</f>
        <v>4105</v>
      </c>
      <c r="H1322" s="1" t="str">
        <f ca="1">IFERROR(__xludf.DUMMYFUNCTION("""COMPUTED_VALUE"""),"MTLSZ004105A21")</f>
        <v>MTLSZ004105A21</v>
      </c>
      <c r="I1322" s="2">
        <f ca="1">IFERROR(__xludf.DUMMYFUNCTION("""COMPUTED_VALUE"""),44213)</f>
        <v>44213</v>
      </c>
      <c r="J1322" s="2">
        <f ca="1">IFERROR(__xludf.DUMMYFUNCTION("""COMPUTED_VALUE"""),44577)</f>
        <v>44577</v>
      </c>
    </row>
    <row r="1323" spans="1:10" x14ac:dyDescent="0.25">
      <c r="A1323" s="1" t="str">
        <f ca="1">IFERROR(__xludf.DUMMYFUNCTION("""COMPUTED_VALUE"""),"Tisza TSE")</f>
        <v>Tisza TSE</v>
      </c>
      <c r="B1323" s="1" t="str">
        <f ca="1">IFERROR(__xludf.DUMMYFUNCTION("""COMPUTED_VALUE"""),"Palotás Tünde")</f>
        <v>Palotás Tünde</v>
      </c>
      <c r="C1323" s="1"/>
      <c r="D1323" s="1" t="str">
        <f ca="1">IFERROR(__xludf.DUMMYFUNCTION("""COMPUTED_VALUE"""),"Nő")</f>
        <v>Nő</v>
      </c>
      <c r="E1323" s="1"/>
      <c r="F1323" s="1">
        <f ca="1">IFERROR(__xludf.DUMMYFUNCTION("""COMPUTED_VALUE"""),1975)</f>
        <v>1975</v>
      </c>
      <c r="G1323" s="1">
        <f ca="1">IFERROR(__xludf.DUMMYFUNCTION("""COMPUTED_VALUE"""),4113)</f>
        <v>4113</v>
      </c>
      <c r="H1323" s="1" t="str">
        <f ca="1">IFERROR(__xludf.DUMMYFUNCTION("""COMPUTED_VALUE"""),"MTLSZ004113A21")</f>
        <v>MTLSZ004113A21</v>
      </c>
      <c r="I1323" s="2">
        <f ca="1">IFERROR(__xludf.DUMMYFUNCTION("""COMPUTED_VALUE"""),44213)</f>
        <v>44213</v>
      </c>
      <c r="J1323" s="2">
        <f ca="1">IFERROR(__xludf.DUMMYFUNCTION("""COMPUTED_VALUE"""),44577)</f>
        <v>44577</v>
      </c>
    </row>
    <row r="1324" spans="1:10" x14ac:dyDescent="0.25">
      <c r="A1324" s="1" t="str">
        <f ca="1">IFERROR(__xludf.DUMMYFUNCTION("""COMPUTED_VALUE"""),"Tisza TSE")</f>
        <v>Tisza TSE</v>
      </c>
      <c r="B1324" s="1" t="str">
        <f ca="1">IFERROR(__xludf.DUMMYFUNCTION("""COMPUTED_VALUE"""),"Pintérné Bálint Beáta")</f>
        <v>Pintérné Bálint Beáta</v>
      </c>
      <c r="C1324" s="1"/>
      <c r="D1324" s="1" t="str">
        <f ca="1">IFERROR(__xludf.DUMMYFUNCTION("""COMPUTED_VALUE"""),"Nő")</f>
        <v>Nő</v>
      </c>
      <c r="E1324" s="1"/>
      <c r="F1324" s="1">
        <f ca="1">IFERROR(__xludf.DUMMYFUNCTION("""COMPUTED_VALUE"""),1974)</f>
        <v>1974</v>
      </c>
      <c r="G1324" s="1">
        <f ca="1">IFERROR(__xludf.DUMMYFUNCTION("""COMPUTED_VALUE"""),4111)</f>
        <v>4111</v>
      </c>
      <c r="H1324" s="1" t="str">
        <f ca="1">IFERROR(__xludf.DUMMYFUNCTION("""COMPUTED_VALUE"""),"MTLSZ004111A21")</f>
        <v>MTLSZ004111A21</v>
      </c>
      <c r="I1324" s="2">
        <f ca="1">IFERROR(__xludf.DUMMYFUNCTION("""COMPUTED_VALUE"""),44213)</f>
        <v>44213</v>
      </c>
      <c r="J1324" s="2">
        <f ca="1">IFERROR(__xludf.DUMMYFUNCTION("""COMPUTED_VALUE"""),44577)</f>
        <v>44577</v>
      </c>
    </row>
    <row r="1325" spans="1:10" x14ac:dyDescent="0.25">
      <c r="A1325" s="1" t="str">
        <f ca="1">IFERROR(__xludf.DUMMYFUNCTION("""COMPUTED_VALUE"""),"Tisza TSE")</f>
        <v>Tisza TSE</v>
      </c>
      <c r="B1325" s="1" t="str">
        <f ca="1">IFERROR(__xludf.DUMMYFUNCTION("""COMPUTED_VALUE"""),"Varró Ágnes Gyöngyi")</f>
        <v>Varró Ágnes Gyöngyi</v>
      </c>
      <c r="C1325" s="1"/>
      <c r="D1325" s="1" t="str">
        <f ca="1">IFERROR(__xludf.DUMMYFUNCTION("""COMPUTED_VALUE"""),"Nő")</f>
        <v>Nő</v>
      </c>
      <c r="E1325" s="1"/>
      <c r="F1325" s="1">
        <f ca="1">IFERROR(__xludf.DUMMYFUNCTION("""COMPUTED_VALUE"""),1972)</f>
        <v>1972</v>
      </c>
      <c r="G1325" s="1">
        <f ca="1">IFERROR(__xludf.DUMMYFUNCTION("""COMPUTED_VALUE"""),4112)</f>
        <v>4112</v>
      </c>
      <c r="H1325" s="1" t="str">
        <f ca="1">IFERROR(__xludf.DUMMYFUNCTION("""COMPUTED_VALUE"""),"MTLSZ004112A21")</f>
        <v>MTLSZ004112A21</v>
      </c>
      <c r="I1325" s="2">
        <f ca="1">IFERROR(__xludf.DUMMYFUNCTION("""COMPUTED_VALUE"""),44213)</f>
        <v>44213</v>
      </c>
      <c r="J1325" s="2">
        <f ca="1">IFERROR(__xludf.DUMMYFUNCTION("""COMPUTED_VALUE"""),44577)</f>
        <v>44577</v>
      </c>
    </row>
    <row r="1326" spans="1:10" x14ac:dyDescent="0.25">
      <c r="A1326" s="1" t="str">
        <f ca="1">IFERROR(__xludf.DUMMYFUNCTION("""COMPUTED_VALUE"""),"Gődi SE")</f>
        <v>Gődi SE</v>
      </c>
      <c r="B1326" s="1" t="str">
        <f ca="1">IFERROR(__xludf.DUMMYFUNCTION("""COMPUTED_VALUE"""),"Szabolcs Gergely")</f>
        <v>Szabolcs Gergely</v>
      </c>
      <c r="C1326" s="1"/>
      <c r="D1326" s="1" t="str">
        <f ca="1">IFERROR(__xludf.DUMMYFUNCTION("""COMPUTED_VALUE"""),"Férfi")</f>
        <v>Férfi</v>
      </c>
      <c r="E1326" s="1"/>
      <c r="F1326" s="1">
        <f ca="1">IFERROR(__xludf.DUMMYFUNCTION("""COMPUTED_VALUE"""),1983)</f>
        <v>1983</v>
      </c>
      <c r="G1326" s="1">
        <f ca="1">IFERROR(__xludf.DUMMYFUNCTION("""COMPUTED_VALUE"""),3401)</f>
        <v>3401</v>
      </c>
      <c r="H1326" s="1" t="str">
        <f ca="1">IFERROR(__xludf.DUMMYFUNCTION("""COMPUTED_VALUE"""),"MTLSZ003401A21")</f>
        <v>MTLSZ003401A21</v>
      </c>
      <c r="I1326" s="2">
        <f ca="1">IFERROR(__xludf.DUMMYFUNCTION("""COMPUTED_VALUE"""),44211)</f>
        <v>44211</v>
      </c>
      <c r="J1326" s="2">
        <f ca="1">IFERROR(__xludf.DUMMYFUNCTION("""COMPUTED_VALUE"""),44575)</f>
        <v>44575</v>
      </c>
    </row>
    <row r="1327" spans="1:10" x14ac:dyDescent="0.25">
      <c r="A1327" s="1" t="str">
        <f ca="1">IFERROR(__xludf.DUMMYFUNCTION("""COMPUTED_VALUE"""),"Főtaxi SC")</f>
        <v>Főtaxi SC</v>
      </c>
      <c r="B1327" s="1" t="str">
        <f ca="1">IFERROR(__xludf.DUMMYFUNCTION("""COMPUTED_VALUE"""),"Csősz András")</f>
        <v>Csősz András</v>
      </c>
      <c r="C1327" s="1"/>
      <c r="D1327" s="1" t="str">
        <f ca="1">IFERROR(__xludf.DUMMYFUNCTION("""COMPUTED_VALUE"""),"Férfi")</f>
        <v>Férfi</v>
      </c>
      <c r="E1327" s="1"/>
      <c r="F1327" s="1">
        <f ca="1">IFERROR(__xludf.DUMMYFUNCTION("""COMPUTED_VALUE"""),1979)</f>
        <v>1979</v>
      </c>
      <c r="G1327" s="1">
        <f ca="1">IFERROR(__xludf.DUMMYFUNCTION("""COMPUTED_VALUE"""),4099)</f>
        <v>4099</v>
      </c>
      <c r="H1327" s="1" t="str">
        <f ca="1">IFERROR(__xludf.DUMMYFUNCTION("""COMPUTED_VALUE"""),"MTLSZ004099A21")</f>
        <v>MTLSZ004099A21</v>
      </c>
      <c r="I1327" s="2">
        <f ca="1">IFERROR(__xludf.DUMMYFUNCTION("""COMPUTED_VALUE"""),44210)</f>
        <v>44210</v>
      </c>
      <c r="J1327" s="2">
        <f ca="1">IFERROR(__xludf.DUMMYFUNCTION("""COMPUTED_VALUE"""),44574)</f>
        <v>44574</v>
      </c>
    </row>
    <row r="1328" spans="1:10" x14ac:dyDescent="0.25">
      <c r="A1328" s="1" t="str">
        <f ca="1">IFERROR(__xludf.DUMMYFUNCTION("""COMPUTED_VALUE"""),"Főtaxi SC")</f>
        <v>Főtaxi SC</v>
      </c>
      <c r="B1328" s="1" t="str">
        <f ca="1">IFERROR(__xludf.DUMMYFUNCTION("""COMPUTED_VALUE"""),"Illés Zoltán")</f>
        <v>Illés Zoltán</v>
      </c>
      <c r="C1328" s="1"/>
      <c r="D1328" s="1" t="str">
        <f ca="1">IFERROR(__xludf.DUMMYFUNCTION("""COMPUTED_VALUE"""),"Férfi")</f>
        <v>Férfi</v>
      </c>
      <c r="E1328" s="1"/>
      <c r="F1328" s="1">
        <f ca="1">IFERROR(__xludf.DUMMYFUNCTION("""COMPUTED_VALUE"""),1963)</f>
        <v>1963</v>
      </c>
      <c r="G1328" s="1">
        <f ca="1">IFERROR(__xludf.DUMMYFUNCTION("""COMPUTED_VALUE"""),4101)</f>
        <v>4101</v>
      </c>
      <c r="H1328" s="1" t="str">
        <f ca="1">IFERROR(__xludf.DUMMYFUNCTION("""COMPUTED_VALUE"""),"MTLSZ004101A21")</f>
        <v>MTLSZ004101A21</v>
      </c>
      <c r="I1328" s="2">
        <f ca="1">IFERROR(__xludf.DUMMYFUNCTION("""COMPUTED_VALUE"""),44210)</f>
        <v>44210</v>
      </c>
      <c r="J1328" s="2">
        <f ca="1">IFERROR(__xludf.DUMMYFUNCTION("""COMPUTED_VALUE"""),44574)</f>
        <v>44574</v>
      </c>
    </row>
    <row r="1329" spans="1:10" x14ac:dyDescent="0.25">
      <c r="A1329" s="1" t="str">
        <f ca="1">IFERROR(__xludf.DUMMYFUNCTION("""COMPUTED_VALUE"""),"Főtaxi SC")</f>
        <v>Főtaxi SC</v>
      </c>
      <c r="B1329" s="1" t="str">
        <f ca="1">IFERROR(__xludf.DUMMYFUNCTION("""COMPUTED_VALUE"""),"Juhász Gergely Áron")</f>
        <v>Juhász Gergely Áron</v>
      </c>
      <c r="C1329" s="1"/>
      <c r="D1329" s="1" t="str">
        <f ca="1">IFERROR(__xludf.DUMMYFUNCTION("""COMPUTED_VALUE"""),"Férfi")</f>
        <v>Férfi</v>
      </c>
      <c r="E1329" s="1"/>
      <c r="F1329" s="1">
        <f ca="1">IFERROR(__xludf.DUMMYFUNCTION("""COMPUTED_VALUE"""),2002)</f>
        <v>2002</v>
      </c>
      <c r="G1329" s="1">
        <f ca="1">IFERROR(__xludf.DUMMYFUNCTION("""COMPUTED_VALUE"""),4103)</f>
        <v>4103</v>
      </c>
      <c r="H1329" s="1" t="str">
        <f ca="1">IFERROR(__xludf.DUMMYFUNCTION("""COMPUTED_VALUE"""),"MTLSZ004103A21")</f>
        <v>MTLSZ004103A21</v>
      </c>
      <c r="I1329" s="2">
        <f ca="1">IFERROR(__xludf.DUMMYFUNCTION("""COMPUTED_VALUE"""),44210)</f>
        <v>44210</v>
      </c>
      <c r="J1329" s="2">
        <f ca="1">IFERROR(__xludf.DUMMYFUNCTION("""COMPUTED_VALUE"""),44574)</f>
        <v>44574</v>
      </c>
    </row>
    <row r="1330" spans="1:10" x14ac:dyDescent="0.25">
      <c r="A1330" s="1" t="str">
        <f ca="1">IFERROR(__xludf.DUMMYFUNCTION("""COMPUTED_VALUE"""),"Főtaxi SC")</f>
        <v>Főtaxi SC</v>
      </c>
      <c r="B1330" s="1" t="str">
        <f ca="1">IFERROR(__xludf.DUMMYFUNCTION("""COMPUTED_VALUE"""),"Kerecsényi Gábor")</f>
        <v>Kerecsényi Gábor</v>
      </c>
      <c r="C1330" s="1"/>
      <c r="D1330" s="1" t="str">
        <f ca="1">IFERROR(__xludf.DUMMYFUNCTION("""COMPUTED_VALUE"""),"Férfi")</f>
        <v>Férfi</v>
      </c>
      <c r="E1330" s="1"/>
      <c r="F1330" s="1">
        <f ca="1">IFERROR(__xludf.DUMMYFUNCTION("""COMPUTED_VALUE"""),1992)</f>
        <v>1992</v>
      </c>
      <c r="G1330" s="1">
        <f ca="1">IFERROR(__xludf.DUMMYFUNCTION("""COMPUTED_VALUE"""),4100)</f>
        <v>4100</v>
      </c>
      <c r="H1330" s="1" t="str">
        <f ca="1">IFERROR(__xludf.DUMMYFUNCTION("""COMPUTED_VALUE"""),"MTLSZ004100A21")</f>
        <v>MTLSZ004100A21</v>
      </c>
      <c r="I1330" s="2">
        <f ca="1">IFERROR(__xludf.DUMMYFUNCTION("""COMPUTED_VALUE"""),44210)</f>
        <v>44210</v>
      </c>
      <c r="J1330" s="2">
        <f ca="1">IFERROR(__xludf.DUMMYFUNCTION("""COMPUTED_VALUE"""),44574)</f>
        <v>44574</v>
      </c>
    </row>
    <row r="1331" spans="1:10" x14ac:dyDescent="0.25">
      <c r="A1331" s="1" t="str">
        <f ca="1">IFERROR(__xludf.DUMMYFUNCTION("""COMPUTED_VALUE"""),"Főtaxi SC")</f>
        <v>Főtaxi SC</v>
      </c>
      <c r="B1331" s="1" t="str">
        <f ca="1">IFERROR(__xludf.DUMMYFUNCTION("""COMPUTED_VALUE"""),"Németh Ádám")</f>
        <v>Németh Ádám</v>
      </c>
      <c r="C1331" s="1"/>
      <c r="D1331" s="1" t="str">
        <f ca="1">IFERROR(__xludf.DUMMYFUNCTION("""COMPUTED_VALUE"""),"Férfi")</f>
        <v>Férfi</v>
      </c>
      <c r="E1331" s="1"/>
      <c r="F1331" s="1">
        <f ca="1">IFERROR(__xludf.DUMMYFUNCTION("""COMPUTED_VALUE"""),2003)</f>
        <v>2003</v>
      </c>
      <c r="G1331" s="1">
        <f ca="1">IFERROR(__xludf.DUMMYFUNCTION("""COMPUTED_VALUE"""),4104)</f>
        <v>4104</v>
      </c>
      <c r="H1331" s="1" t="str">
        <f ca="1">IFERROR(__xludf.DUMMYFUNCTION("""COMPUTED_VALUE"""),"MTLSZ004104A21")</f>
        <v>MTLSZ004104A21</v>
      </c>
      <c r="I1331" s="2">
        <f ca="1">IFERROR(__xludf.DUMMYFUNCTION("""COMPUTED_VALUE"""),44210)</f>
        <v>44210</v>
      </c>
      <c r="J1331" s="2">
        <f ca="1">IFERROR(__xludf.DUMMYFUNCTION("""COMPUTED_VALUE"""),44574)</f>
        <v>44574</v>
      </c>
    </row>
    <row r="1332" spans="1:10" x14ac:dyDescent="0.25">
      <c r="A1332" s="1" t="str">
        <f ca="1">IFERROR(__xludf.DUMMYFUNCTION("""COMPUTED_VALUE"""),"Főtaxi SC")</f>
        <v>Főtaxi SC</v>
      </c>
      <c r="B1332" s="1" t="str">
        <f ca="1">IFERROR(__xludf.DUMMYFUNCTION("""COMPUTED_VALUE"""),"Remsei Leila Katalin")</f>
        <v>Remsei Leila Katalin</v>
      </c>
      <c r="C1332" s="1"/>
      <c r="D1332" s="1" t="str">
        <f ca="1">IFERROR(__xludf.DUMMYFUNCTION("""COMPUTED_VALUE"""),"Nő")</f>
        <v>Nő</v>
      </c>
      <c r="E1332" s="1"/>
      <c r="F1332" s="1">
        <f ca="1">IFERROR(__xludf.DUMMYFUNCTION("""COMPUTED_VALUE"""),2010)</f>
        <v>2010</v>
      </c>
      <c r="G1332" s="1">
        <f ca="1">IFERROR(__xludf.DUMMYFUNCTION("""COMPUTED_VALUE"""),4098)</f>
        <v>4098</v>
      </c>
      <c r="H1332" s="1" t="str">
        <f ca="1">IFERROR(__xludf.DUMMYFUNCTION("""COMPUTED_VALUE"""),"MTLSZ004098A21")</f>
        <v>MTLSZ004098A21</v>
      </c>
      <c r="I1332" s="2">
        <f ca="1">IFERROR(__xludf.DUMMYFUNCTION("""COMPUTED_VALUE"""),44210)</f>
        <v>44210</v>
      </c>
      <c r="J1332" s="2">
        <f ca="1">IFERROR(__xludf.DUMMYFUNCTION("""COMPUTED_VALUE"""),44574)</f>
        <v>44574</v>
      </c>
    </row>
    <row r="1333" spans="1:10" x14ac:dyDescent="0.25">
      <c r="A1333" s="1" t="str">
        <f ca="1">IFERROR(__xludf.DUMMYFUNCTION("""COMPUTED_VALUE"""),"Főtaxi SC")</f>
        <v>Főtaxi SC</v>
      </c>
      <c r="B1333" s="1" t="str">
        <f ca="1">IFERROR(__xludf.DUMMYFUNCTION("""COMPUTED_VALUE"""),"Tóth Balázs")</f>
        <v>Tóth Balázs</v>
      </c>
      <c r="C1333" s="1"/>
      <c r="D1333" s="1" t="str">
        <f ca="1">IFERROR(__xludf.DUMMYFUNCTION("""COMPUTED_VALUE"""),"Férfi")</f>
        <v>Férfi</v>
      </c>
      <c r="E1333" s="1"/>
      <c r="F1333" s="1">
        <f ca="1">IFERROR(__xludf.DUMMYFUNCTION("""COMPUTED_VALUE"""),1973)</f>
        <v>1973</v>
      </c>
      <c r="G1333" s="1">
        <f ca="1">IFERROR(__xludf.DUMMYFUNCTION("""COMPUTED_VALUE"""),4102)</f>
        <v>4102</v>
      </c>
      <c r="H1333" s="1" t="str">
        <f ca="1">IFERROR(__xludf.DUMMYFUNCTION("""COMPUTED_VALUE"""),"MTLSZ004102A21")</f>
        <v>MTLSZ004102A21</v>
      </c>
      <c r="I1333" s="2">
        <f ca="1">IFERROR(__xludf.DUMMYFUNCTION("""COMPUTED_VALUE"""),44210)</f>
        <v>44210</v>
      </c>
      <c r="J1333" s="2">
        <f ca="1">IFERROR(__xludf.DUMMYFUNCTION("""COMPUTED_VALUE"""),44574)</f>
        <v>44574</v>
      </c>
    </row>
    <row r="1334" spans="1:10" x14ac:dyDescent="0.25">
      <c r="A1334" s="1" t="str">
        <f ca="1">IFERROR(__xludf.DUMMYFUNCTION("""COMPUTED_VALUE"""),"Klébi DSE")</f>
        <v>Klébi DSE</v>
      </c>
      <c r="B1334" s="1" t="str">
        <f ca="1">IFERROR(__xludf.DUMMYFUNCTION("""COMPUTED_VALUE"""),"Erdős Zoltán Tibor")</f>
        <v>Erdős Zoltán Tibor</v>
      </c>
      <c r="C1334" s="1"/>
      <c r="D1334" s="1" t="str">
        <f ca="1">IFERROR(__xludf.DUMMYFUNCTION("""COMPUTED_VALUE"""),"Férfi")</f>
        <v>Férfi</v>
      </c>
      <c r="E1334" s="1"/>
      <c r="F1334" s="1">
        <f ca="1">IFERROR(__xludf.DUMMYFUNCTION("""COMPUTED_VALUE"""),1966)</f>
        <v>1966</v>
      </c>
      <c r="G1334" s="1">
        <f ca="1">IFERROR(__xludf.DUMMYFUNCTION("""COMPUTED_VALUE"""),4094)</f>
        <v>4094</v>
      </c>
      <c r="H1334" s="1" t="str">
        <f ca="1">IFERROR(__xludf.DUMMYFUNCTION("""COMPUTED_VALUE"""),"MTLSZ004094A21")</f>
        <v>MTLSZ004094A21</v>
      </c>
      <c r="I1334" s="2">
        <f ca="1">IFERROR(__xludf.DUMMYFUNCTION("""COMPUTED_VALUE"""),44210)</f>
        <v>44210</v>
      </c>
      <c r="J1334" s="2">
        <f ca="1">IFERROR(__xludf.DUMMYFUNCTION("""COMPUTED_VALUE"""),44574)</f>
        <v>44574</v>
      </c>
    </row>
    <row r="1335" spans="1:10" x14ac:dyDescent="0.25">
      <c r="A1335" s="1" t="str">
        <f ca="1">IFERROR(__xludf.DUMMYFUNCTION("""COMPUTED_VALUE"""),"Klébi DSE")</f>
        <v>Klébi DSE</v>
      </c>
      <c r="B1335" s="1" t="str">
        <f ca="1">IFERROR(__xludf.DUMMYFUNCTION("""COMPUTED_VALUE"""),"Sinkó Annamária")</f>
        <v>Sinkó Annamária</v>
      </c>
      <c r="C1335" s="1"/>
      <c r="D1335" s="1" t="str">
        <f ca="1">IFERROR(__xludf.DUMMYFUNCTION("""COMPUTED_VALUE"""),"Nő")</f>
        <v>Nő</v>
      </c>
      <c r="E1335" s="1"/>
      <c r="F1335" s="1">
        <f ca="1">IFERROR(__xludf.DUMMYFUNCTION("""COMPUTED_VALUE"""),1980)</f>
        <v>1980</v>
      </c>
      <c r="G1335" s="1">
        <f ca="1">IFERROR(__xludf.DUMMYFUNCTION("""COMPUTED_VALUE"""),4095)</f>
        <v>4095</v>
      </c>
      <c r="H1335" s="1" t="str">
        <f ca="1">IFERROR(__xludf.DUMMYFUNCTION("""COMPUTED_VALUE"""),"MTLSZ004095A21")</f>
        <v>MTLSZ004095A21</v>
      </c>
      <c r="I1335" s="2">
        <f ca="1">IFERROR(__xludf.DUMMYFUNCTION("""COMPUTED_VALUE"""),44210)</f>
        <v>44210</v>
      </c>
      <c r="J1335" s="2">
        <f ca="1">IFERROR(__xludf.DUMMYFUNCTION("""COMPUTED_VALUE"""),44574)</f>
        <v>44574</v>
      </c>
    </row>
    <row r="1336" spans="1:10" x14ac:dyDescent="0.25">
      <c r="A1336" s="1" t="str">
        <f ca="1">IFERROR(__xludf.DUMMYFUNCTION("""COMPUTED_VALUE"""),"Klébi DSE")</f>
        <v>Klébi DSE</v>
      </c>
      <c r="B1336" s="1" t="str">
        <f ca="1">IFERROR(__xludf.DUMMYFUNCTION("""COMPUTED_VALUE"""),"Szabó Bálint Bendegúz")</f>
        <v>Szabó Bálint Bendegúz</v>
      </c>
      <c r="C1336" s="1"/>
      <c r="D1336" s="1" t="str">
        <f ca="1">IFERROR(__xludf.DUMMYFUNCTION("""COMPUTED_VALUE"""),"Férfi")</f>
        <v>Férfi</v>
      </c>
      <c r="E1336" s="1"/>
      <c r="F1336" s="1">
        <f ca="1">IFERROR(__xludf.DUMMYFUNCTION("""COMPUTED_VALUE"""),2010)</f>
        <v>2010</v>
      </c>
      <c r="G1336" s="1">
        <f ca="1">IFERROR(__xludf.DUMMYFUNCTION("""COMPUTED_VALUE"""),4096)</f>
        <v>4096</v>
      </c>
      <c r="H1336" s="1" t="str">
        <f ca="1">IFERROR(__xludf.DUMMYFUNCTION("""COMPUTED_VALUE"""),"MTLSZ004096A21")</f>
        <v>MTLSZ004096A21</v>
      </c>
      <c r="I1336" s="2">
        <f ca="1">IFERROR(__xludf.DUMMYFUNCTION("""COMPUTED_VALUE"""),44210)</f>
        <v>44210</v>
      </c>
      <c r="J1336" s="2">
        <f ca="1">IFERROR(__xludf.DUMMYFUNCTION("""COMPUTED_VALUE"""),44574)</f>
        <v>44574</v>
      </c>
    </row>
    <row r="1337" spans="1:10" x14ac:dyDescent="0.25">
      <c r="A1337" s="1" t="str">
        <f ca="1">IFERROR(__xludf.DUMMYFUNCTION("""COMPUTED_VALUE"""),"Klébi DSE")</f>
        <v>Klébi DSE</v>
      </c>
      <c r="B1337" s="1" t="str">
        <f ca="1">IFERROR(__xludf.DUMMYFUNCTION("""COMPUTED_VALUE"""),"Szentirmai-Zöld Csongor")</f>
        <v>Szentirmai-Zöld Csongor</v>
      </c>
      <c r="C1337" s="1"/>
      <c r="D1337" s="1" t="str">
        <f ca="1">IFERROR(__xludf.DUMMYFUNCTION("""COMPUTED_VALUE"""),"Férfi")</f>
        <v>Férfi</v>
      </c>
      <c r="E1337" s="1"/>
      <c r="F1337" s="1">
        <f ca="1">IFERROR(__xludf.DUMMYFUNCTION("""COMPUTED_VALUE"""),2004)</f>
        <v>2004</v>
      </c>
      <c r="G1337" s="1">
        <f ca="1">IFERROR(__xludf.DUMMYFUNCTION("""COMPUTED_VALUE"""),2885)</f>
        <v>2885</v>
      </c>
      <c r="H1337" s="1" t="str">
        <f ca="1">IFERROR(__xludf.DUMMYFUNCTION("""COMPUTED_VALUE"""),"MTLSZ002885A21")</f>
        <v>MTLSZ002885A21</v>
      </c>
      <c r="I1337" s="2">
        <f ca="1">IFERROR(__xludf.DUMMYFUNCTION("""COMPUTED_VALUE"""),44210)</f>
        <v>44210</v>
      </c>
      <c r="J1337" s="2">
        <f ca="1">IFERROR(__xludf.DUMMYFUNCTION("""COMPUTED_VALUE"""),44574)</f>
        <v>44574</v>
      </c>
    </row>
    <row r="1338" spans="1:10" x14ac:dyDescent="0.25">
      <c r="A1338" s="1" t="str">
        <f ca="1">IFERROR(__xludf.DUMMYFUNCTION("""COMPUTED_VALUE"""),"Ludovika SE")</f>
        <v>Ludovika SE</v>
      </c>
      <c r="B1338" s="1" t="str">
        <f ca="1">IFERROR(__xludf.DUMMYFUNCTION("""COMPUTED_VALUE"""),"Fejes Szabolcs")</f>
        <v>Fejes Szabolcs</v>
      </c>
      <c r="C1338" s="1"/>
      <c r="D1338" s="1" t="str">
        <f ca="1">IFERROR(__xludf.DUMMYFUNCTION("""COMPUTED_VALUE"""),"Férfi")</f>
        <v>Férfi</v>
      </c>
      <c r="E1338" s="1"/>
      <c r="F1338" s="1">
        <f ca="1">IFERROR(__xludf.DUMMYFUNCTION("""COMPUTED_VALUE"""),1977)</f>
        <v>1977</v>
      </c>
      <c r="G1338" s="1">
        <f ca="1">IFERROR(__xludf.DUMMYFUNCTION("""COMPUTED_VALUE"""),4097)</f>
        <v>4097</v>
      </c>
      <c r="H1338" s="1" t="str">
        <f ca="1">IFERROR(__xludf.DUMMYFUNCTION("""COMPUTED_VALUE"""),"MTLSZ004097A21")</f>
        <v>MTLSZ004097A21</v>
      </c>
      <c r="I1338" s="2">
        <f ca="1">IFERROR(__xludf.DUMMYFUNCTION("""COMPUTED_VALUE"""),44210)</f>
        <v>44210</v>
      </c>
      <c r="J1338" s="2">
        <f ca="1">IFERROR(__xludf.DUMMYFUNCTION("""COMPUTED_VALUE"""),44574)</f>
        <v>44574</v>
      </c>
    </row>
    <row r="1339" spans="1:10" x14ac:dyDescent="0.25">
      <c r="A1339" s="1" t="str">
        <f ca="1">IFERROR(__xludf.DUMMYFUNCTION("""COMPUTED_VALUE"""),"VSD")</f>
        <v>VSD</v>
      </c>
      <c r="B1339" s="1" t="str">
        <f ca="1">IFERROR(__xludf.DUMMYFUNCTION("""COMPUTED_VALUE"""),"Polereczki Norbert")</f>
        <v>Polereczki Norbert</v>
      </c>
      <c r="C1339" s="1"/>
      <c r="D1339" s="1" t="str">
        <f ca="1">IFERROR(__xludf.DUMMYFUNCTION("""COMPUTED_VALUE"""),"Férfi")</f>
        <v>Férfi</v>
      </c>
      <c r="E1339" s="1"/>
      <c r="F1339" s="1">
        <f ca="1">IFERROR(__xludf.DUMMYFUNCTION("""COMPUTED_VALUE"""),1978)</f>
        <v>1978</v>
      </c>
      <c r="G1339" s="1">
        <f ca="1">IFERROR(__xludf.DUMMYFUNCTION("""COMPUTED_VALUE"""),4089)</f>
        <v>4089</v>
      </c>
      <c r="H1339" s="1" t="str">
        <f ca="1">IFERROR(__xludf.DUMMYFUNCTION("""COMPUTED_VALUE"""),"MTLSZ004089A21")</f>
        <v>MTLSZ004089A21</v>
      </c>
      <c r="I1339" s="2">
        <f ca="1">IFERROR(__xludf.DUMMYFUNCTION("""COMPUTED_VALUE"""),44210)</f>
        <v>44210</v>
      </c>
      <c r="J1339" s="2">
        <f ca="1">IFERROR(__xludf.DUMMYFUNCTION("""COMPUTED_VALUE"""),44574)</f>
        <v>44574</v>
      </c>
    </row>
    <row r="1340" spans="1:10" x14ac:dyDescent="0.25">
      <c r="A1340" s="1" t="str">
        <f ca="1">IFERROR(__xludf.DUMMYFUNCTION("""COMPUTED_VALUE"""),"VSD")</f>
        <v>VSD</v>
      </c>
      <c r="B1340" s="1" t="str">
        <f ca="1">IFERROR(__xludf.DUMMYFUNCTION("""COMPUTED_VALUE"""),"Tamás Iván")</f>
        <v>Tamás Iván</v>
      </c>
      <c r="C1340" s="1"/>
      <c r="D1340" s="1" t="str">
        <f ca="1">IFERROR(__xludf.DUMMYFUNCTION("""COMPUTED_VALUE"""),"Férfi")</f>
        <v>Férfi</v>
      </c>
      <c r="E1340" s="1"/>
      <c r="F1340" s="1">
        <f ca="1">IFERROR(__xludf.DUMMYFUNCTION("""COMPUTED_VALUE"""),1969)</f>
        <v>1969</v>
      </c>
      <c r="G1340" s="1">
        <f ca="1">IFERROR(__xludf.DUMMYFUNCTION("""COMPUTED_VALUE"""),4092)</f>
        <v>4092</v>
      </c>
      <c r="H1340" s="1" t="str">
        <f ca="1">IFERROR(__xludf.DUMMYFUNCTION("""COMPUTED_VALUE"""),"MTLSZ004092A21")</f>
        <v>MTLSZ004092A21</v>
      </c>
      <c r="I1340" s="2">
        <f ca="1">IFERROR(__xludf.DUMMYFUNCTION("""COMPUTED_VALUE"""),44210)</f>
        <v>44210</v>
      </c>
      <c r="J1340" s="2">
        <f ca="1">IFERROR(__xludf.DUMMYFUNCTION("""COMPUTED_VALUE"""),44574)</f>
        <v>44574</v>
      </c>
    </row>
    <row r="1341" spans="1:10" x14ac:dyDescent="0.25">
      <c r="A1341" s="1" t="str">
        <f ca="1">IFERROR(__xludf.DUMMYFUNCTION("""COMPUTED_VALUE"""),"VSD")</f>
        <v>VSD</v>
      </c>
      <c r="B1341" s="1" t="str">
        <f ca="1">IFERROR(__xludf.DUMMYFUNCTION("""COMPUTED_VALUE"""),"Vajda Gábor")</f>
        <v>Vajda Gábor</v>
      </c>
      <c r="C1341" s="1"/>
      <c r="D1341" s="1" t="str">
        <f ca="1">IFERROR(__xludf.DUMMYFUNCTION("""COMPUTED_VALUE"""),"Férfi")</f>
        <v>Férfi</v>
      </c>
      <c r="E1341" s="1"/>
      <c r="F1341" s="1">
        <f ca="1">IFERROR(__xludf.DUMMYFUNCTION("""COMPUTED_VALUE"""),1970)</f>
        <v>1970</v>
      </c>
      <c r="G1341" s="1">
        <f ca="1">IFERROR(__xludf.DUMMYFUNCTION("""COMPUTED_VALUE"""),4088)</f>
        <v>4088</v>
      </c>
      <c r="H1341" s="1" t="str">
        <f ca="1">IFERROR(__xludf.DUMMYFUNCTION("""COMPUTED_VALUE"""),"MTLSZ004088A21")</f>
        <v>MTLSZ004088A21</v>
      </c>
      <c r="I1341" s="2">
        <f ca="1">IFERROR(__xludf.DUMMYFUNCTION("""COMPUTED_VALUE"""),44210)</f>
        <v>44210</v>
      </c>
      <c r="J1341" s="2">
        <f ca="1">IFERROR(__xludf.DUMMYFUNCTION("""COMPUTED_VALUE"""),44574)</f>
        <v>44574</v>
      </c>
    </row>
    <row r="1342" spans="1:10" x14ac:dyDescent="0.25">
      <c r="A1342" s="1" t="str">
        <f ca="1">IFERROR(__xludf.DUMMYFUNCTION("""COMPUTED_VALUE"""),"Multi Alarm SE")</f>
        <v>Multi Alarm SE</v>
      </c>
      <c r="B1342" s="1" t="str">
        <f ca="1">IFERROR(__xludf.DUMMYFUNCTION("""COMPUTED_VALUE"""),"Cheng Siau Cheng")</f>
        <v>Cheng Siau Cheng</v>
      </c>
      <c r="C1342" s="1"/>
      <c r="D1342" s="1" t="str">
        <f ca="1">IFERROR(__xludf.DUMMYFUNCTION("""COMPUTED_VALUE"""),"Férfi")</f>
        <v>Férfi</v>
      </c>
      <c r="E1342" s="1"/>
      <c r="F1342" s="1">
        <f ca="1">IFERROR(__xludf.DUMMYFUNCTION("""COMPUTED_VALUE"""),2000)</f>
        <v>2000</v>
      </c>
      <c r="G1342" s="1">
        <f ca="1">IFERROR(__xludf.DUMMYFUNCTION("""COMPUTED_VALUE"""),4087)</f>
        <v>4087</v>
      </c>
      <c r="H1342" s="1" t="str">
        <f ca="1">IFERROR(__xludf.DUMMYFUNCTION("""COMPUTED_VALUE"""),"MTLSZ004087A21")</f>
        <v>MTLSZ004087A21</v>
      </c>
      <c r="I1342" s="2">
        <f ca="1">IFERROR(__xludf.DUMMYFUNCTION("""COMPUTED_VALUE"""),44209)</f>
        <v>44209</v>
      </c>
      <c r="J1342" s="2">
        <f ca="1">IFERROR(__xludf.DUMMYFUNCTION("""COMPUTED_VALUE"""),44573)</f>
        <v>44573</v>
      </c>
    </row>
    <row r="1343" spans="1:10" x14ac:dyDescent="0.25">
      <c r="A1343" s="1" t="str">
        <f ca="1">IFERROR(__xludf.DUMMYFUNCTION("""COMPUTED_VALUE"""),"Újpest TSE")</f>
        <v>Újpest TSE</v>
      </c>
      <c r="B1343" s="1" t="str">
        <f ca="1">IFERROR(__xludf.DUMMYFUNCTION("""COMPUTED_VALUE"""),"Pálréti Norbert")</f>
        <v>Pálréti Norbert</v>
      </c>
      <c r="C1343" s="1"/>
      <c r="D1343" s="1" t="str">
        <f ca="1">IFERROR(__xludf.DUMMYFUNCTION("""COMPUTED_VALUE"""),"Férfi")</f>
        <v>Férfi</v>
      </c>
      <c r="E1343" s="1"/>
      <c r="F1343" s="1">
        <f ca="1">IFERROR(__xludf.DUMMYFUNCTION("""COMPUTED_VALUE"""),1970)</f>
        <v>1970</v>
      </c>
      <c r="G1343" s="1">
        <f ca="1">IFERROR(__xludf.DUMMYFUNCTION("""COMPUTED_VALUE"""),3266)</f>
        <v>3266</v>
      </c>
      <c r="H1343" s="1" t="str">
        <f ca="1">IFERROR(__xludf.DUMMYFUNCTION("""COMPUTED_VALUE"""),"MTLSZ003266A21")</f>
        <v>MTLSZ003266A21</v>
      </c>
      <c r="I1343" s="2">
        <f ca="1">IFERROR(__xludf.DUMMYFUNCTION("""COMPUTED_VALUE"""),44209)</f>
        <v>44209</v>
      </c>
      <c r="J1343" s="2">
        <f ca="1">IFERROR(__xludf.DUMMYFUNCTION("""COMPUTED_VALUE"""),44573)</f>
        <v>44573</v>
      </c>
    </row>
    <row r="1344" spans="1:10" x14ac:dyDescent="0.25">
      <c r="A1344" s="1" t="str">
        <f ca="1">IFERROR(__xludf.DUMMYFUNCTION("""COMPUTED_VALUE"""),"T(r)ollas SE")</f>
        <v>T(r)ollas SE</v>
      </c>
      <c r="B1344" s="1" t="str">
        <f ca="1">IFERROR(__xludf.DUMMYFUNCTION("""COMPUTED_VALUE"""),"Králik Adrienn")</f>
        <v>Králik Adrienn</v>
      </c>
      <c r="C1344" s="1"/>
      <c r="D1344" s="1" t="str">
        <f ca="1">IFERROR(__xludf.DUMMYFUNCTION("""COMPUTED_VALUE"""),"Nő")</f>
        <v>Nő</v>
      </c>
      <c r="E1344" s="1"/>
      <c r="F1344" s="1">
        <f ca="1">IFERROR(__xludf.DUMMYFUNCTION("""COMPUTED_VALUE"""),1988)</f>
        <v>1988</v>
      </c>
      <c r="G1344" s="1">
        <f ca="1">IFERROR(__xludf.DUMMYFUNCTION("""COMPUTED_VALUE"""),3209)</f>
        <v>3209</v>
      </c>
      <c r="H1344" s="1" t="str">
        <f ca="1">IFERROR(__xludf.DUMMYFUNCTION("""COMPUTED_VALUE"""),"MTLSZ003209A21")</f>
        <v>MTLSZ003209A21</v>
      </c>
      <c r="I1344" s="2">
        <f ca="1">IFERROR(__xludf.DUMMYFUNCTION("""COMPUTED_VALUE"""),44208)</f>
        <v>44208</v>
      </c>
      <c r="J1344" s="2">
        <f ca="1">IFERROR(__xludf.DUMMYFUNCTION("""COMPUTED_VALUE"""),44572)</f>
        <v>44572</v>
      </c>
    </row>
    <row r="1345" spans="1:10" x14ac:dyDescent="0.25">
      <c r="A1345" s="1" t="str">
        <f ca="1">IFERROR(__xludf.DUMMYFUNCTION("""COMPUTED_VALUE"""),"Bodajki TSE")</f>
        <v>Bodajki TSE</v>
      </c>
      <c r="B1345" s="1" t="str">
        <f ca="1">IFERROR(__xludf.DUMMYFUNCTION("""COMPUTED_VALUE"""),"Fülöp Attila")</f>
        <v>Fülöp Attila</v>
      </c>
      <c r="C1345" s="1"/>
      <c r="D1345" s="1" t="str">
        <f ca="1">IFERROR(__xludf.DUMMYFUNCTION("""COMPUTED_VALUE"""),"Férfi")</f>
        <v>Férfi</v>
      </c>
      <c r="E1345" s="1"/>
      <c r="F1345" s="1">
        <f ca="1">IFERROR(__xludf.DUMMYFUNCTION("""COMPUTED_VALUE"""),1967)</f>
        <v>1967</v>
      </c>
      <c r="G1345" s="1">
        <f ca="1">IFERROR(__xludf.DUMMYFUNCTION("""COMPUTED_VALUE"""),4080)</f>
        <v>4080</v>
      </c>
      <c r="H1345" s="1" t="str">
        <f ca="1">IFERROR(__xludf.DUMMYFUNCTION("""COMPUTED_VALUE"""),"MTLSZ004080A21")</f>
        <v>MTLSZ004080A21</v>
      </c>
      <c r="I1345" s="2">
        <f ca="1">IFERROR(__xludf.DUMMYFUNCTION("""COMPUTED_VALUE"""),44207)</f>
        <v>44207</v>
      </c>
      <c r="J1345" s="2">
        <f ca="1">IFERROR(__xludf.DUMMYFUNCTION("""COMPUTED_VALUE"""),44571)</f>
        <v>44571</v>
      </c>
    </row>
    <row r="1346" spans="1:10" x14ac:dyDescent="0.25">
      <c r="A1346" s="1" t="str">
        <f ca="1">IFERROR(__xludf.DUMMYFUNCTION("""COMPUTED_VALUE"""),"Bodajki TSE")</f>
        <v>Bodajki TSE</v>
      </c>
      <c r="B1346" s="1" t="str">
        <f ca="1">IFERROR(__xludf.DUMMYFUNCTION("""COMPUTED_VALUE"""),"Glázer Tamás")</f>
        <v>Glázer Tamás</v>
      </c>
      <c r="C1346" s="1"/>
      <c r="D1346" s="1" t="str">
        <f ca="1">IFERROR(__xludf.DUMMYFUNCTION("""COMPUTED_VALUE"""),"Férfi")</f>
        <v>Férfi</v>
      </c>
      <c r="E1346" s="1"/>
      <c r="F1346" s="1">
        <f ca="1">IFERROR(__xludf.DUMMYFUNCTION("""COMPUTED_VALUE"""),1977)</f>
        <v>1977</v>
      </c>
      <c r="G1346" s="1">
        <f ca="1">IFERROR(__xludf.DUMMYFUNCTION("""COMPUTED_VALUE"""),4082)</f>
        <v>4082</v>
      </c>
      <c r="H1346" s="1" t="str">
        <f ca="1">IFERROR(__xludf.DUMMYFUNCTION("""COMPUTED_VALUE"""),"MTLSZ004082A21")</f>
        <v>MTLSZ004082A21</v>
      </c>
      <c r="I1346" s="2">
        <f ca="1">IFERROR(__xludf.DUMMYFUNCTION("""COMPUTED_VALUE"""),44207)</f>
        <v>44207</v>
      </c>
      <c r="J1346" s="2">
        <f ca="1">IFERROR(__xludf.DUMMYFUNCTION("""COMPUTED_VALUE"""),44571)</f>
        <v>44571</v>
      </c>
    </row>
    <row r="1347" spans="1:10" x14ac:dyDescent="0.25">
      <c r="A1347" s="1" t="str">
        <f ca="1">IFERROR(__xludf.DUMMYFUNCTION("""COMPUTED_VALUE"""),"Bodajki TSE")</f>
        <v>Bodajki TSE</v>
      </c>
      <c r="B1347" s="1" t="str">
        <f ca="1">IFERROR(__xludf.DUMMYFUNCTION("""COMPUTED_VALUE"""),"Mészáros Pál")</f>
        <v>Mészáros Pál</v>
      </c>
      <c r="C1347" s="1"/>
      <c r="D1347" s="1" t="str">
        <f ca="1">IFERROR(__xludf.DUMMYFUNCTION("""COMPUTED_VALUE"""),"Férfi")</f>
        <v>Férfi</v>
      </c>
      <c r="E1347" s="1"/>
      <c r="F1347" s="1">
        <f ca="1">IFERROR(__xludf.DUMMYFUNCTION("""COMPUTED_VALUE"""),1957)</f>
        <v>1957</v>
      </c>
      <c r="G1347" s="1">
        <f ca="1">IFERROR(__xludf.DUMMYFUNCTION("""COMPUTED_VALUE"""),4081)</f>
        <v>4081</v>
      </c>
      <c r="H1347" s="1" t="str">
        <f ca="1">IFERROR(__xludf.DUMMYFUNCTION("""COMPUTED_VALUE"""),"MTLSZ004081A21")</f>
        <v>MTLSZ004081A21</v>
      </c>
      <c r="I1347" s="2">
        <f ca="1">IFERROR(__xludf.DUMMYFUNCTION("""COMPUTED_VALUE"""),44207)</f>
        <v>44207</v>
      </c>
      <c r="J1347" s="2">
        <f ca="1">IFERROR(__xludf.DUMMYFUNCTION("""COMPUTED_VALUE"""),44571)</f>
        <v>44571</v>
      </c>
    </row>
    <row r="1348" spans="1:10" x14ac:dyDescent="0.25">
      <c r="A1348" s="1" t="str">
        <f ca="1">IFERROR(__xludf.DUMMYFUNCTION("""COMPUTED_VALUE"""),"Bodajki TSE")</f>
        <v>Bodajki TSE</v>
      </c>
      <c r="B1348" s="1" t="str">
        <f ca="1">IFERROR(__xludf.DUMMYFUNCTION("""COMPUTED_VALUE"""),"Papp Andrea")</f>
        <v>Papp Andrea</v>
      </c>
      <c r="C1348" s="1"/>
      <c r="D1348" s="1" t="str">
        <f ca="1">IFERROR(__xludf.DUMMYFUNCTION("""COMPUTED_VALUE"""),"Nő")</f>
        <v>Nő</v>
      </c>
      <c r="E1348" s="1"/>
      <c r="F1348" s="1">
        <f ca="1">IFERROR(__xludf.DUMMYFUNCTION("""COMPUTED_VALUE"""),1966)</f>
        <v>1966</v>
      </c>
      <c r="G1348" s="1">
        <f ca="1">IFERROR(__xludf.DUMMYFUNCTION("""COMPUTED_VALUE"""),4086)</f>
        <v>4086</v>
      </c>
      <c r="H1348" s="1" t="str">
        <f ca="1">IFERROR(__xludf.DUMMYFUNCTION("""COMPUTED_VALUE"""),"MTLSZ004086A21")</f>
        <v>MTLSZ004086A21</v>
      </c>
      <c r="I1348" s="2">
        <f ca="1">IFERROR(__xludf.DUMMYFUNCTION("""COMPUTED_VALUE"""),44207)</f>
        <v>44207</v>
      </c>
      <c r="J1348" s="2">
        <f ca="1">IFERROR(__xludf.DUMMYFUNCTION("""COMPUTED_VALUE"""),44571)</f>
        <v>44571</v>
      </c>
    </row>
    <row r="1349" spans="1:10" x14ac:dyDescent="0.25">
      <c r="A1349" s="1" t="str">
        <f ca="1">IFERROR(__xludf.DUMMYFUNCTION("""COMPUTED_VALUE"""),"Bodajki TSE")</f>
        <v>Bodajki TSE</v>
      </c>
      <c r="B1349" s="1" t="str">
        <f ca="1">IFERROR(__xludf.DUMMYFUNCTION("""COMPUTED_VALUE"""),"Szemző Ildikó")</f>
        <v>Szemző Ildikó</v>
      </c>
      <c r="C1349" s="1"/>
      <c r="D1349" s="1" t="str">
        <f ca="1">IFERROR(__xludf.DUMMYFUNCTION("""COMPUTED_VALUE"""),"Nő")</f>
        <v>Nő</v>
      </c>
      <c r="E1349" s="1"/>
      <c r="F1349" s="1">
        <f ca="1">IFERROR(__xludf.DUMMYFUNCTION("""COMPUTED_VALUE"""),1974)</f>
        <v>1974</v>
      </c>
      <c r="G1349" s="1">
        <f ca="1">IFERROR(__xludf.DUMMYFUNCTION("""COMPUTED_VALUE"""),4078)</f>
        <v>4078</v>
      </c>
      <c r="H1349" s="1" t="str">
        <f ca="1">IFERROR(__xludf.DUMMYFUNCTION("""COMPUTED_VALUE"""),"MTLSZ004078A21")</f>
        <v>MTLSZ004078A21</v>
      </c>
      <c r="I1349" s="2">
        <f ca="1">IFERROR(__xludf.DUMMYFUNCTION("""COMPUTED_VALUE"""),44207)</f>
        <v>44207</v>
      </c>
      <c r="J1349" s="2">
        <f ca="1">IFERROR(__xludf.DUMMYFUNCTION("""COMPUTED_VALUE"""),44571)</f>
        <v>44571</v>
      </c>
    </row>
    <row r="1350" spans="1:10" x14ac:dyDescent="0.25">
      <c r="A1350" s="1" t="str">
        <f ca="1">IFERROR(__xludf.DUMMYFUNCTION("""COMPUTED_VALUE"""),"Bodajki TSE")</f>
        <v>Bodajki TSE</v>
      </c>
      <c r="B1350" s="1" t="str">
        <f ca="1">IFERROR(__xludf.DUMMYFUNCTION("""COMPUTED_VALUE"""),"Zagyva Lajos")</f>
        <v>Zagyva Lajos</v>
      </c>
      <c r="C1350" s="1"/>
      <c r="D1350" s="1" t="str">
        <f ca="1">IFERROR(__xludf.DUMMYFUNCTION("""COMPUTED_VALUE"""),"Férfi")</f>
        <v>Férfi</v>
      </c>
      <c r="E1350" s="1"/>
      <c r="F1350" s="1">
        <f ca="1">IFERROR(__xludf.DUMMYFUNCTION("""COMPUTED_VALUE"""),1972)</f>
        <v>1972</v>
      </c>
      <c r="G1350" s="1">
        <f ca="1">IFERROR(__xludf.DUMMYFUNCTION("""COMPUTED_VALUE"""),4083)</f>
        <v>4083</v>
      </c>
      <c r="H1350" s="1" t="str">
        <f ca="1">IFERROR(__xludf.DUMMYFUNCTION("""COMPUTED_VALUE"""),"MTLSZ004083A21")</f>
        <v>MTLSZ004083A21</v>
      </c>
      <c r="I1350" s="2">
        <f ca="1">IFERROR(__xludf.DUMMYFUNCTION("""COMPUTED_VALUE"""),44207)</f>
        <v>44207</v>
      </c>
      <c r="J1350" s="2">
        <f ca="1">IFERROR(__xludf.DUMMYFUNCTION("""COMPUTED_VALUE"""),44571)</f>
        <v>44571</v>
      </c>
    </row>
    <row r="1351" spans="1:10" x14ac:dyDescent="0.25">
      <c r="A1351" s="1" t="str">
        <f ca="1">IFERROR(__xludf.DUMMYFUNCTION("""COMPUTED_VALUE"""),"Bodajki TSE")</f>
        <v>Bodajki TSE</v>
      </c>
      <c r="B1351" s="1" t="str">
        <f ca="1">IFERROR(__xludf.DUMMYFUNCTION("""COMPUTED_VALUE"""),"Zagyváné Ruppert Renáta")</f>
        <v>Zagyváné Ruppert Renáta</v>
      </c>
      <c r="C1351" s="1"/>
      <c r="D1351" s="1" t="str">
        <f ca="1">IFERROR(__xludf.DUMMYFUNCTION("""COMPUTED_VALUE"""),"Nő")</f>
        <v>Nő</v>
      </c>
      <c r="E1351" s="1"/>
      <c r="F1351" s="1">
        <f ca="1">IFERROR(__xludf.DUMMYFUNCTION("""COMPUTED_VALUE"""),1983)</f>
        <v>1983</v>
      </c>
      <c r="G1351" s="1">
        <f ca="1">IFERROR(__xludf.DUMMYFUNCTION("""COMPUTED_VALUE"""),4084)</f>
        <v>4084</v>
      </c>
      <c r="H1351" s="1" t="str">
        <f ca="1">IFERROR(__xludf.DUMMYFUNCTION("""COMPUTED_VALUE"""),"MTLSZ004084A21")</f>
        <v>MTLSZ004084A21</v>
      </c>
      <c r="I1351" s="2">
        <f ca="1">IFERROR(__xludf.DUMMYFUNCTION("""COMPUTED_VALUE"""),44207)</f>
        <v>44207</v>
      </c>
      <c r="J1351" s="2">
        <f ca="1">IFERROR(__xludf.DUMMYFUNCTION("""COMPUTED_VALUE"""),44571)</f>
        <v>44571</v>
      </c>
    </row>
    <row r="1352" spans="1:10" x14ac:dyDescent="0.25">
      <c r="A1352" s="1" t="str">
        <f ca="1">IFERROR(__xludf.DUMMYFUNCTION("""COMPUTED_VALUE"""),"Bodajki TSE")</f>
        <v>Bodajki TSE</v>
      </c>
      <c r="B1352" s="1" t="str">
        <f ca="1">IFERROR(__xludf.DUMMYFUNCTION("""COMPUTED_VALUE"""),"Zettisch Bálint")</f>
        <v>Zettisch Bálint</v>
      </c>
      <c r="C1352" s="1"/>
      <c r="D1352" s="1" t="str">
        <f ca="1">IFERROR(__xludf.DUMMYFUNCTION("""COMPUTED_VALUE"""),"Férfi")</f>
        <v>Férfi</v>
      </c>
      <c r="E1352" s="1"/>
      <c r="F1352" s="1">
        <f ca="1">IFERROR(__xludf.DUMMYFUNCTION("""COMPUTED_VALUE"""),1990)</f>
        <v>1990</v>
      </c>
      <c r="G1352" s="1">
        <f ca="1">IFERROR(__xludf.DUMMYFUNCTION("""COMPUTED_VALUE"""),4085)</f>
        <v>4085</v>
      </c>
      <c r="H1352" s="1" t="str">
        <f ca="1">IFERROR(__xludf.DUMMYFUNCTION("""COMPUTED_VALUE"""),"MTLSZ004085A21")</f>
        <v>MTLSZ004085A21</v>
      </c>
      <c r="I1352" s="2">
        <f ca="1">IFERROR(__xludf.DUMMYFUNCTION("""COMPUTED_VALUE"""),44207)</f>
        <v>44207</v>
      </c>
      <c r="J1352" s="2">
        <f ca="1">IFERROR(__xludf.DUMMYFUNCTION("""COMPUTED_VALUE"""),44571)</f>
        <v>44571</v>
      </c>
    </row>
    <row r="1353" spans="1:10" x14ac:dyDescent="0.25">
      <c r="A1353" s="1" t="str">
        <f ca="1">IFERROR(__xludf.DUMMYFUNCTION("""COMPUTED_VALUE"""),"Újpest TSE")</f>
        <v>Újpest TSE</v>
      </c>
      <c r="B1353" s="1" t="str">
        <f ca="1">IFERROR(__xludf.DUMMYFUNCTION("""COMPUTED_VALUE"""),"Kiss Róbert")</f>
        <v>Kiss Róbert</v>
      </c>
      <c r="C1353" s="1"/>
      <c r="D1353" s="1" t="str">
        <f ca="1">IFERROR(__xludf.DUMMYFUNCTION("""COMPUTED_VALUE"""),"Férfi")</f>
        <v>Férfi</v>
      </c>
      <c r="E1353" s="1"/>
      <c r="F1353" s="1">
        <f ca="1">IFERROR(__xludf.DUMMYFUNCTION("""COMPUTED_VALUE"""),1969)</f>
        <v>1969</v>
      </c>
      <c r="G1353" s="1">
        <f ca="1">IFERROR(__xludf.DUMMYFUNCTION("""COMPUTED_VALUE"""),4076)</f>
        <v>4076</v>
      </c>
      <c r="H1353" s="1" t="str">
        <f ca="1">IFERROR(__xludf.DUMMYFUNCTION("""COMPUTED_VALUE"""),"MTLSZ004076A21")</f>
        <v>MTLSZ004076A21</v>
      </c>
      <c r="I1353" s="2">
        <f ca="1">IFERROR(__xludf.DUMMYFUNCTION("""COMPUTED_VALUE"""),44207)</f>
        <v>44207</v>
      </c>
      <c r="J1353" s="2">
        <f ca="1">IFERROR(__xludf.DUMMYFUNCTION("""COMPUTED_VALUE"""),44571)</f>
        <v>44571</v>
      </c>
    </row>
    <row r="1354" spans="1:10" x14ac:dyDescent="0.25">
      <c r="A1354" s="1" t="str">
        <f ca="1">IFERROR(__xludf.DUMMYFUNCTION("""COMPUTED_VALUE"""),"Klébi DSE")</f>
        <v>Klébi DSE</v>
      </c>
      <c r="B1354" s="1" t="str">
        <f ca="1">IFERROR(__xludf.DUMMYFUNCTION("""COMPUTED_VALUE"""),"Reményi Bence")</f>
        <v>Reményi Bence</v>
      </c>
      <c r="C1354" s="1"/>
      <c r="D1354" s="1" t="str">
        <f ca="1">IFERROR(__xludf.DUMMYFUNCTION("""COMPUTED_VALUE"""),"Férfi")</f>
        <v>Férfi</v>
      </c>
      <c r="E1354" s="1"/>
      <c r="F1354" s="1">
        <f ca="1">IFERROR(__xludf.DUMMYFUNCTION("""COMPUTED_VALUE"""),1976)</f>
        <v>1976</v>
      </c>
      <c r="G1354" s="1">
        <f ca="1">IFERROR(__xludf.DUMMYFUNCTION("""COMPUTED_VALUE"""),4075)</f>
        <v>4075</v>
      </c>
      <c r="H1354" s="1" t="str">
        <f ca="1">IFERROR(__xludf.DUMMYFUNCTION("""COMPUTED_VALUE"""),"MTLSZ004075A21")</f>
        <v>MTLSZ004075A21</v>
      </c>
      <c r="I1354" s="2">
        <f ca="1">IFERROR(__xludf.DUMMYFUNCTION("""COMPUTED_VALUE"""),44206)</f>
        <v>44206</v>
      </c>
      <c r="J1354" s="2">
        <f ca="1">IFERROR(__xludf.DUMMYFUNCTION("""COMPUTED_VALUE"""),44570)</f>
        <v>44570</v>
      </c>
    </row>
    <row r="1355" spans="1:10" x14ac:dyDescent="0.25">
      <c r="A1355" s="1" t="str">
        <f ca="1">IFERROR(__xludf.DUMMYFUNCTION("""COMPUTED_VALUE"""),"Újpest TSE")</f>
        <v>Újpest TSE</v>
      </c>
      <c r="B1355" s="1" t="str">
        <f ca="1">IFERROR(__xludf.DUMMYFUNCTION("""COMPUTED_VALUE"""),"Istvánfy Gergő Péter")</f>
        <v>Istvánfy Gergő Péter</v>
      </c>
      <c r="C1355" s="1"/>
      <c r="D1355" s="1" t="str">
        <f ca="1">IFERROR(__xludf.DUMMYFUNCTION("""COMPUTED_VALUE"""),"Férfi")</f>
        <v>Férfi</v>
      </c>
      <c r="E1355" s="1"/>
      <c r="F1355" s="1">
        <f ca="1">IFERROR(__xludf.DUMMYFUNCTION("""COMPUTED_VALUE"""),1972)</f>
        <v>1972</v>
      </c>
      <c r="G1355" s="1">
        <f ca="1">IFERROR(__xludf.DUMMYFUNCTION("""COMPUTED_VALUE"""),3265)</f>
        <v>3265</v>
      </c>
      <c r="H1355" s="1" t="str">
        <f ca="1">IFERROR(__xludf.DUMMYFUNCTION("""COMPUTED_VALUE"""),"MTLSZ003265A21")</f>
        <v>MTLSZ003265A21</v>
      </c>
      <c r="I1355" s="2">
        <f ca="1">IFERROR(__xludf.DUMMYFUNCTION("""COMPUTED_VALUE"""),44206)</f>
        <v>44206</v>
      </c>
      <c r="J1355" s="2">
        <f ca="1">IFERROR(__xludf.DUMMYFUNCTION("""COMPUTED_VALUE"""),44570)</f>
        <v>44570</v>
      </c>
    </row>
    <row r="1356" spans="1:10" x14ac:dyDescent="0.25">
      <c r="A1356" s="1" t="str">
        <f ca="1">IFERROR(__xludf.DUMMYFUNCTION("""COMPUTED_VALUE"""),"Életmód SE")</f>
        <v>Életmód SE</v>
      </c>
      <c r="B1356" s="1" t="str">
        <f ca="1">IFERROR(__xludf.DUMMYFUNCTION("""COMPUTED_VALUE"""),"Szunyog Dorka")</f>
        <v>Szunyog Dorka</v>
      </c>
      <c r="C1356" s="1"/>
      <c r="D1356" s="1" t="str">
        <f ca="1">IFERROR(__xludf.DUMMYFUNCTION("""COMPUTED_VALUE"""),"Nő")</f>
        <v>Nő</v>
      </c>
      <c r="E1356" s="1"/>
      <c r="F1356" s="1">
        <f ca="1">IFERROR(__xludf.DUMMYFUNCTION("""COMPUTED_VALUE"""),2014)</f>
        <v>2014</v>
      </c>
      <c r="G1356" s="1">
        <f ca="1">IFERROR(__xludf.DUMMYFUNCTION("""COMPUTED_VALUE"""),4073)</f>
        <v>4073</v>
      </c>
      <c r="H1356" s="1" t="str">
        <f ca="1">IFERROR(__xludf.DUMMYFUNCTION("""COMPUTED_VALUE"""),"MTLSZ004073A21")</f>
        <v>MTLSZ004073A21</v>
      </c>
      <c r="I1356" s="2">
        <f ca="1">IFERROR(__xludf.DUMMYFUNCTION("""COMPUTED_VALUE"""),44205)</f>
        <v>44205</v>
      </c>
      <c r="J1356" s="2">
        <f ca="1">IFERROR(__xludf.DUMMYFUNCTION("""COMPUTED_VALUE"""),44569)</f>
        <v>44569</v>
      </c>
    </row>
    <row r="1357" spans="1:10" x14ac:dyDescent="0.25">
      <c r="A1357" s="1" t="str">
        <f ca="1">IFERROR(__xludf.DUMMYFUNCTION("""COMPUTED_VALUE"""),"Életmód SE")</f>
        <v>Életmód SE</v>
      </c>
      <c r="B1357" s="1" t="str">
        <f ca="1">IFERROR(__xludf.DUMMYFUNCTION("""COMPUTED_VALUE"""),"Zalai Brigitta")</f>
        <v>Zalai Brigitta</v>
      </c>
      <c r="C1357" s="1"/>
      <c r="D1357" s="1" t="str">
        <f ca="1">IFERROR(__xludf.DUMMYFUNCTION("""COMPUTED_VALUE"""),"Nő")</f>
        <v>Nő</v>
      </c>
      <c r="E1357" s="1"/>
      <c r="F1357" s="1">
        <f ca="1">IFERROR(__xludf.DUMMYFUNCTION("""COMPUTED_VALUE"""),1973)</f>
        <v>1973</v>
      </c>
      <c r="G1357" s="1">
        <f ca="1">IFERROR(__xludf.DUMMYFUNCTION("""COMPUTED_VALUE"""),4072)</f>
        <v>4072</v>
      </c>
      <c r="H1357" s="1" t="str">
        <f ca="1">IFERROR(__xludf.DUMMYFUNCTION("""COMPUTED_VALUE"""),"MTLSZ004072A21")</f>
        <v>MTLSZ004072A21</v>
      </c>
      <c r="I1357" s="2">
        <f ca="1">IFERROR(__xludf.DUMMYFUNCTION("""COMPUTED_VALUE"""),44205)</f>
        <v>44205</v>
      </c>
      <c r="J1357" s="2">
        <f ca="1">IFERROR(__xludf.DUMMYFUNCTION("""COMPUTED_VALUE"""),44569)</f>
        <v>44569</v>
      </c>
    </row>
    <row r="1358" spans="1:10" x14ac:dyDescent="0.25">
      <c r="A1358" s="1" t="str">
        <f ca="1">IFERROR(__xludf.DUMMYFUNCTION("""COMPUTED_VALUE"""),"Életmód SE")</f>
        <v>Életmód SE</v>
      </c>
      <c r="B1358" s="1"/>
      <c r="C1358" s="1"/>
      <c r="D1358" s="1"/>
      <c r="E1358" s="1"/>
      <c r="F1358" s="1">
        <f ca="1">IFERROR(__xludf.DUMMYFUNCTION("""COMPUTED_VALUE"""),1899)</f>
        <v>1899</v>
      </c>
      <c r="G1358" s="1">
        <f ca="1">IFERROR(__xludf.DUMMYFUNCTION("""COMPUTED_VALUE"""),4071)</f>
        <v>4071</v>
      </c>
      <c r="H1358" s="1"/>
      <c r="I1358" s="2">
        <f ca="1">IFERROR(__xludf.DUMMYFUNCTION("""COMPUTED_VALUE"""),44205)</f>
        <v>44205</v>
      </c>
      <c r="J1358" s="2">
        <f ca="1">IFERROR(__xludf.DUMMYFUNCTION("""COMPUTED_VALUE"""),44569)</f>
        <v>44569</v>
      </c>
    </row>
    <row r="1359" spans="1:10" x14ac:dyDescent="0.25">
      <c r="A1359" s="1" t="str">
        <f ca="1">IFERROR(__xludf.DUMMYFUNCTION("""COMPUTED_VALUE"""),"Tisza TSE")</f>
        <v>Tisza TSE</v>
      </c>
      <c r="B1359" s="1" t="str">
        <f ca="1">IFERROR(__xludf.DUMMYFUNCTION("""COMPUTED_VALUE"""),"Ádám Róbert")</f>
        <v>Ádám Róbert</v>
      </c>
      <c r="C1359" s="1"/>
      <c r="D1359" s="1" t="str">
        <f ca="1">IFERROR(__xludf.DUMMYFUNCTION("""COMPUTED_VALUE"""),"Férfi")</f>
        <v>Férfi</v>
      </c>
      <c r="E1359" s="1"/>
      <c r="F1359" s="1">
        <f ca="1">IFERROR(__xludf.DUMMYFUNCTION("""COMPUTED_VALUE"""),2000)</f>
        <v>2000</v>
      </c>
      <c r="G1359" s="1">
        <f ca="1">IFERROR(__xludf.DUMMYFUNCTION("""COMPUTED_VALUE"""),2348)</f>
        <v>2348</v>
      </c>
      <c r="H1359" s="1" t="str">
        <f ca="1">IFERROR(__xludf.DUMMYFUNCTION("""COMPUTED_VALUE"""),"MTLSZ002348A21")</f>
        <v>MTLSZ002348A21</v>
      </c>
      <c r="I1359" s="2">
        <f ca="1">IFERROR(__xludf.DUMMYFUNCTION("""COMPUTED_VALUE"""),44205)</f>
        <v>44205</v>
      </c>
      <c r="J1359" s="2">
        <f ca="1">IFERROR(__xludf.DUMMYFUNCTION("""COMPUTED_VALUE"""),44569)</f>
        <v>44569</v>
      </c>
    </row>
    <row r="1360" spans="1:10" x14ac:dyDescent="0.25">
      <c r="A1360" s="1" t="str">
        <f ca="1">IFERROR(__xludf.DUMMYFUNCTION("""COMPUTED_VALUE"""),"Főtaxi SC")</f>
        <v>Főtaxi SC</v>
      </c>
      <c r="B1360" s="1" t="str">
        <f ca="1">IFERROR(__xludf.DUMMYFUNCTION("""COMPUTED_VALUE"""),"Molnár Tibor József")</f>
        <v>Molnár Tibor József</v>
      </c>
      <c r="C1360" s="1"/>
      <c r="D1360" s="1" t="str">
        <f ca="1">IFERROR(__xludf.DUMMYFUNCTION("""COMPUTED_VALUE"""),"Férfi")</f>
        <v>Férfi</v>
      </c>
      <c r="E1360" s="1"/>
      <c r="F1360" s="1">
        <f ca="1">IFERROR(__xludf.DUMMYFUNCTION("""COMPUTED_VALUE"""),1956)</f>
        <v>1956</v>
      </c>
      <c r="G1360" s="1">
        <f ca="1">IFERROR(__xludf.DUMMYFUNCTION("""COMPUTED_VALUE"""),2846)</f>
        <v>2846</v>
      </c>
      <c r="H1360" s="1" t="str">
        <f ca="1">IFERROR(__xludf.DUMMYFUNCTION("""COMPUTED_VALUE"""),"MTLSZ002846A21")</f>
        <v>MTLSZ002846A21</v>
      </c>
      <c r="I1360" s="2">
        <f ca="1">IFERROR(__xludf.DUMMYFUNCTION("""COMPUTED_VALUE"""),44204)</f>
        <v>44204</v>
      </c>
      <c r="J1360" s="2">
        <f ca="1">IFERROR(__xludf.DUMMYFUNCTION("""COMPUTED_VALUE"""),44568)</f>
        <v>44568</v>
      </c>
    </row>
    <row r="1361" spans="1:10" x14ac:dyDescent="0.25">
      <c r="A1361" s="1" t="str">
        <f ca="1">IFERROR(__xludf.DUMMYFUNCTION("""COMPUTED_VALUE"""),"T(r)ollas SE")</f>
        <v>T(r)ollas SE</v>
      </c>
      <c r="B1361" s="1" t="str">
        <f ca="1">IFERROR(__xludf.DUMMYFUNCTION("""COMPUTED_VALUE"""),"Weilandné Papp Andrea")</f>
        <v>Weilandné Papp Andrea</v>
      </c>
      <c r="C1361" s="1"/>
      <c r="D1361" s="1" t="str">
        <f ca="1">IFERROR(__xludf.DUMMYFUNCTION("""COMPUTED_VALUE"""),"Nő")</f>
        <v>Nő</v>
      </c>
      <c r="E1361" s="1"/>
      <c r="F1361" s="1">
        <f ca="1">IFERROR(__xludf.DUMMYFUNCTION("""COMPUTED_VALUE"""),1972)</f>
        <v>1972</v>
      </c>
      <c r="G1361" s="1">
        <f ca="1">IFERROR(__xludf.DUMMYFUNCTION("""COMPUTED_VALUE"""),2784)</f>
        <v>2784</v>
      </c>
      <c r="H1361" s="1" t="str">
        <f ca="1">IFERROR(__xludf.DUMMYFUNCTION("""COMPUTED_VALUE"""),"MTLSZ002784A21")</f>
        <v>MTLSZ002784A21</v>
      </c>
      <c r="I1361" s="2">
        <f ca="1">IFERROR(__xludf.DUMMYFUNCTION("""COMPUTED_VALUE"""),44204)</f>
        <v>44204</v>
      </c>
      <c r="J1361" s="2">
        <f ca="1">IFERROR(__xludf.DUMMYFUNCTION("""COMPUTED_VALUE"""),44568)</f>
        <v>44568</v>
      </c>
    </row>
    <row r="1362" spans="1:10" x14ac:dyDescent="0.25">
      <c r="A1362" s="1" t="str">
        <f ca="1">IFERROR(__xludf.DUMMYFUNCTION("""COMPUTED_VALUE"""),"DSC-SI")</f>
        <v>DSC-SI</v>
      </c>
      <c r="B1362" s="1" t="str">
        <f ca="1">IFERROR(__xludf.DUMMYFUNCTION("""COMPUTED_VALUE"""),"Kovács Zsuzsanna")</f>
        <v>Kovács Zsuzsanna</v>
      </c>
      <c r="C1362" s="1"/>
      <c r="D1362" s="1" t="str">
        <f ca="1">IFERROR(__xludf.DUMMYFUNCTION("""COMPUTED_VALUE"""),"Nő")</f>
        <v>Nő</v>
      </c>
      <c r="E1362" s="1"/>
      <c r="F1362" s="1">
        <f ca="1">IFERROR(__xludf.DUMMYFUNCTION("""COMPUTED_VALUE"""),1984)</f>
        <v>1984</v>
      </c>
      <c r="G1362" s="1">
        <f ca="1">IFERROR(__xludf.DUMMYFUNCTION("""COMPUTED_VALUE"""),540)</f>
        <v>540</v>
      </c>
      <c r="H1362" s="1" t="str">
        <f ca="1">IFERROR(__xludf.DUMMYFUNCTION("""COMPUTED_VALUE"""),"MTLSZ000540A21")</f>
        <v>MTLSZ000540A21</v>
      </c>
      <c r="I1362" s="2">
        <f ca="1">IFERROR(__xludf.DUMMYFUNCTION("""COMPUTED_VALUE"""),44203)</f>
        <v>44203</v>
      </c>
      <c r="J1362" s="2">
        <f ca="1">IFERROR(__xludf.DUMMYFUNCTION("""COMPUTED_VALUE"""),44567)</f>
        <v>44567</v>
      </c>
    </row>
    <row r="1363" spans="1:10" x14ac:dyDescent="0.25">
      <c r="A1363" s="1" t="str">
        <f ca="1">IFERROR(__xludf.DUMMYFUNCTION("""COMPUTED_VALUE"""),"Életmód SE")</f>
        <v>Életmód SE</v>
      </c>
      <c r="B1363" s="1" t="str">
        <f ca="1">IFERROR(__xludf.DUMMYFUNCTION("""COMPUTED_VALUE"""),"Mihalicza Dániel")</f>
        <v>Mihalicza Dániel</v>
      </c>
      <c r="C1363" s="1"/>
      <c r="D1363" s="1" t="str">
        <f ca="1">IFERROR(__xludf.DUMMYFUNCTION("""COMPUTED_VALUE"""),"Férfi")</f>
        <v>Férfi</v>
      </c>
      <c r="E1363" s="1"/>
      <c r="F1363" s="1">
        <f ca="1">IFERROR(__xludf.DUMMYFUNCTION("""COMPUTED_VALUE"""),1997)</f>
        <v>1997</v>
      </c>
      <c r="G1363" s="1">
        <f ca="1">IFERROR(__xludf.DUMMYFUNCTION("""COMPUTED_VALUE"""),4066)</f>
        <v>4066</v>
      </c>
      <c r="H1363" s="1" t="str">
        <f ca="1">IFERROR(__xludf.DUMMYFUNCTION("""COMPUTED_VALUE"""),"MTLSZ004066A21")</f>
        <v>MTLSZ004066A21</v>
      </c>
      <c r="I1363" s="2">
        <f ca="1">IFERROR(__xludf.DUMMYFUNCTION("""COMPUTED_VALUE"""),44203)</f>
        <v>44203</v>
      </c>
      <c r="J1363" s="2">
        <f ca="1">IFERROR(__xludf.DUMMYFUNCTION("""COMPUTED_VALUE"""),44567)</f>
        <v>44567</v>
      </c>
    </row>
    <row r="1364" spans="1:10" x14ac:dyDescent="0.25">
      <c r="A1364" s="1" t="str">
        <f ca="1">IFERROR(__xludf.DUMMYFUNCTION("""COMPUTED_VALUE"""),"T(r)ollas SE")</f>
        <v>T(r)ollas SE</v>
      </c>
      <c r="B1364" s="1" t="str">
        <f ca="1">IFERROR(__xludf.DUMMYFUNCTION("""COMPUTED_VALUE"""),"Gangadharan Ajith V.")</f>
        <v>Gangadharan Ajith V.</v>
      </c>
      <c r="C1364" s="1"/>
      <c r="D1364" s="1" t="str">
        <f ca="1">IFERROR(__xludf.DUMMYFUNCTION("""COMPUTED_VALUE"""),"Férfi")</f>
        <v>Férfi</v>
      </c>
      <c r="E1364" s="1"/>
      <c r="F1364" s="1">
        <f ca="1">IFERROR(__xludf.DUMMYFUNCTION("""COMPUTED_VALUE"""),1983)</f>
        <v>1983</v>
      </c>
      <c r="G1364" s="1">
        <f ca="1">IFERROR(__xludf.DUMMYFUNCTION("""COMPUTED_VALUE"""),4067)</f>
        <v>4067</v>
      </c>
      <c r="H1364" s="1" t="str">
        <f ca="1">IFERROR(__xludf.DUMMYFUNCTION("""COMPUTED_VALUE"""),"MTLSZ004067A21")</f>
        <v>MTLSZ004067A21</v>
      </c>
      <c r="I1364" s="2">
        <f ca="1">IFERROR(__xludf.DUMMYFUNCTION("""COMPUTED_VALUE"""),44203)</f>
        <v>44203</v>
      </c>
      <c r="J1364" s="2">
        <f ca="1">IFERROR(__xludf.DUMMYFUNCTION("""COMPUTED_VALUE"""),44567)</f>
        <v>44567</v>
      </c>
    </row>
    <row r="1365" spans="1:10" x14ac:dyDescent="0.25">
      <c r="A1365" s="1" t="str">
        <f ca="1">IFERROR(__xludf.DUMMYFUNCTION("""COMPUTED_VALUE"""),"T(r)ollas SE")</f>
        <v>T(r)ollas SE</v>
      </c>
      <c r="B1365" s="1" t="str">
        <f ca="1">IFERROR(__xludf.DUMMYFUNCTION("""COMPUTED_VALUE"""),"Manoharan Maheswaran")</f>
        <v>Manoharan Maheswaran</v>
      </c>
      <c r="C1365" s="1"/>
      <c r="D1365" s="1" t="str">
        <f ca="1">IFERROR(__xludf.DUMMYFUNCTION("""COMPUTED_VALUE"""),"Férfi")</f>
        <v>Férfi</v>
      </c>
      <c r="E1365" s="1"/>
      <c r="F1365" s="1">
        <f ca="1">IFERROR(__xludf.DUMMYFUNCTION("""COMPUTED_VALUE"""),1988)</f>
        <v>1988</v>
      </c>
      <c r="G1365" s="1">
        <f ca="1">IFERROR(__xludf.DUMMYFUNCTION("""COMPUTED_VALUE"""),4068)</f>
        <v>4068</v>
      </c>
      <c r="H1365" s="1" t="str">
        <f ca="1">IFERROR(__xludf.DUMMYFUNCTION("""COMPUTED_VALUE"""),"MTLSZ004068A21")</f>
        <v>MTLSZ004068A21</v>
      </c>
      <c r="I1365" s="2">
        <f ca="1">IFERROR(__xludf.DUMMYFUNCTION("""COMPUTED_VALUE"""),44203)</f>
        <v>44203</v>
      </c>
      <c r="J1365" s="2">
        <f ca="1">IFERROR(__xludf.DUMMYFUNCTION("""COMPUTED_VALUE"""),44567)</f>
        <v>44567</v>
      </c>
    </row>
    <row r="1366" spans="1:10" x14ac:dyDescent="0.25">
      <c r="A1366" s="1" t="str">
        <f ca="1">IFERROR(__xludf.DUMMYFUNCTION("""COMPUTED_VALUE"""),"Újpest TSE")</f>
        <v>Újpest TSE</v>
      </c>
      <c r="B1366" s="1" t="str">
        <f ca="1">IFERROR(__xludf.DUMMYFUNCTION("""COMPUTED_VALUE"""),"Gerencsér Attila")</f>
        <v>Gerencsér Attila</v>
      </c>
      <c r="C1366" s="1"/>
      <c r="D1366" s="1" t="str">
        <f ca="1">IFERROR(__xludf.DUMMYFUNCTION("""COMPUTED_VALUE"""),"Férfi")</f>
        <v>Férfi</v>
      </c>
      <c r="E1366" s="1"/>
      <c r="F1366" s="1">
        <f ca="1">IFERROR(__xludf.DUMMYFUNCTION("""COMPUTED_VALUE"""),1971)</f>
        <v>1971</v>
      </c>
      <c r="G1366" s="1">
        <f ca="1">IFERROR(__xludf.DUMMYFUNCTION("""COMPUTED_VALUE"""),4070)</f>
        <v>4070</v>
      </c>
      <c r="H1366" s="1" t="str">
        <f ca="1">IFERROR(__xludf.DUMMYFUNCTION("""COMPUTED_VALUE"""),"MTLSZ004070A21")</f>
        <v>MTLSZ004070A21</v>
      </c>
      <c r="I1366" s="2">
        <f ca="1">IFERROR(__xludf.DUMMYFUNCTION("""COMPUTED_VALUE"""),44203)</f>
        <v>44203</v>
      </c>
      <c r="J1366" s="2">
        <f ca="1">IFERROR(__xludf.DUMMYFUNCTION("""COMPUTED_VALUE"""),44567)</f>
        <v>44567</v>
      </c>
    </row>
    <row r="1367" spans="1:10" x14ac:dyDescent="0.25">
      <c r="A1367" s="1" t="str">
        <f ca="1">IFERROR(__xludf.DUMMYFUNCTION("""COMPUTED_VALUE"""),"Újpest TSE")</f>
        <v>Újpest TSE</v>
      </c>
      <c r="B1367" s="1" t="str">
        <f ca="1">IFERROR(__xludf.DUMMYFUNCTION("""COMPUTED_VALUE"""),"Kiss Diána")</f>
        <v>Kiss Diána</v>
      </c>
      <c r="C1367" s="1"/>
      <c r="D1367" s="1" t="str">
        <f ca="1">IFERROR(__xludf.DUMMYFUNCTION("""COMPUTED_VALUE"""),"Nő")</f>
        <v>Nő</v>
      </c>
      <c r="E1367" s="1"/>
      <c r="F1367" s="1">
        <f ca="1">IFERROR(__xludf.DUMMYFUNCTION("""COMPUTED_VALUE"""),2003)</f>
        <v>2003</v>
      </c>
      <c r="G1367" s="1">
        <f ca="1">IFERROR(__xludf.DUMMYFUNCTION("""COMPUTED_VALUE"""),2928)</f>
        <v>2928</v>
      </c>
      <c r="H1367" s="1" t="str">
        <f ca="1">IFERROR(__xludf.DUMMYFUNCTION("""COMPUTED_VALUE"""),"MTLSZ002928A21")</f>
        <v>MTLSZ002928A21</v>
      </c>
      <c r="I1367" s="2">
        <f ca="1">IFERROR(__xludf.DUMMYFUNCTION("""COMPUTED_VALUE"""),44203)</f>
        <v>44203</v>
      </c>
      <c r="J1367" s="2">
        <f ca="1">IFERROR(__xludf.DUMMYFUNCTION("""COMPUTED_VALUE"""),44567)</f>
        <v>44567</v>
      </c>
    </row>
    <row r="1368" spans="1:10" x14ac:dyDescent="0.25">
      <c r="A1368" s="1" t="str">
        <f ca="1">IFERROR(__xludf.DUMMYFUNCTION("""COMPUTED_VALUE"""),"Érdi VSE")</f>
        <v>Érdi VSE</v>
      </c>
      <c r="B1368" s="1" t="str">
        <f ca="1">IFERROR(__xludf.DUMMYFUNCTION("""COMPUTED_VALUE"""),"Flórián Bence")</f>
        <v>Flórián Bence</v>
      </c>
      <c r="C1368" s="1"/>
      <c r="D1368" s="1" t="str">
        <f ca="1">IFERROR(__xludf.DUMMYFUNCTION("""COMPUTED_VALUE"""),"Férfi")</f>
        <v>Férfi</v>
      </c>
      <c r="E1368" s="1"/>
      <c r="F1368" s="1">
        <f ca="1">IFERROR(__xludf.DUMMYFUNCTION("""COMPUTED_VALUE"""),2007)</f>
        <v>2007</v>
      </c>
      <c r="G1368" s="1">
        <f ca="1">IFERROR(__xludf.DUMMYFUNCTION("""COMPUTED_VALUE"""),2836)</f>
        <v>2836</v>
      </c>
      <c r="H1368" s="1" t="str">
        <f ca="1">IFERROR(__xludf.DUMMYFUNCTION("""COMPUTED_VALUE"""),"MTLSZ002836A21")</f>
        <v>MTLSZ002836A21</v>
      </c>
      <c r="I1368" s="2">
        <f ca="1">IFERROR(__xludf.DUMMYFUNCTION("""COMPUTED_VALUE"""),44202)</f>
        <v>44202</v>
      </c>
      <c r="J1368" s="2">
        <f ca="1">IFERROR(__xludf.DUMMYFUNCTION("""COMPUTED_VALUE"""),44566)</f>
        <v>44566</v>
      </c>
    </row>
    <row r="1369" spans="1:10" x14ac:dyDescent="0.25">
      <c r="A1369" s="1" t="str">
        <f ca="1">IFERROR(__xludf.DUMMYFUNCTION("""COMPUTED_VALUE"""),"Életmód SE")</f>
        <v>Életmód SE</v>
      </c>
      <c r="B1369" s="1" t="str">
        <f ca="1">IFERROR(__xludf.DUMMYFUNCTION("""COMPUTED_VALUE"""),"Mihalicza Laura")</f>
        <v>Mihalicza Laura</v>
      </c>
      <c r="C1369" s="1"/>
      <c r="D1369" s="1" t="str">
        <f ca="1">IFERROR(__xludf.DUMMYFUNCTION("""COMPUTED_VALUE"""),"Nő")</f>
        <v>Nő</v>
      </c>
      <c r="E1369" s="1"/>
      <c r="F1369" s="1">
        <f ca="1">IFERROR(__xludf.DUMMYFUNCTION("""COMPUTED_VALUE"""),2000)</f>
        <v>2000</v>
      </c>
      <c r="G1369" s="1">
        <f ca="1">IFERROR(__xludf.DUMMYFUNCTION("""COMPUTED_VALUE"""),4059)</f>
        <v>4059</v>
      </c>
      <c r="H1369" s="1" t="str">
        <f ca="1">IFERROR(__xludf.DUMMYFUNCTION("""COMPUTED_VALUE"""),"MTLSZ004059A21")</f>
        <v>MTLSZ004059A21</v>
      </c>
      <c r="I1369" s="2">
        <f ca="1">IFERROR(__xludf.DUMMYFUNCTION("""COMPUTED_VALUE"""),44201)</f>
        <v>44201</v>
      </c>
      <c r="J1369" s="2">
        <f ca="1">IFERROR(__xludf.DUMMYFUNCTION("""COMPUTED_VALUE"""),44565)</f>
        <v>44565</v>
      </c>
    </row>
    <row r="1370" spans="1:10" x14ac:dyDescent="0.25">
      <c r="A1370" s="1" t="str">
        <f ca="1">IFERROR(__xludf.DUMMYFUNCTION("""COMPUTED_VALUE"""),"FBSE")</f>
        <v>FBSE</v>
      </c>
      <c r="B1370" s="1" t="str">
        <f ca="1">IFERROR(__xludf.DUMMYFUNCTION("""COMPUTED_VALUE"""),"Mihályi Levente")</f>
        <v>Mihályi Levente</v>
      </c>
      <c r="C1370" s="1"/>
      <c r="D1370" s="1" t="str">
        <f ca="1">IFERROR(__xludf.DUMMYFUNCTION("""COMPUTED_VALUE"""),"Férfi")</f>
        <v>Férfi</v>
      </c>
      <c r="E1370" s="1"/>
      <c r="F1370" s="1">
        <f ca="1">IFERROR(__xludf.DUMMYFUNCTION("""COMPUTED_VALUE"""),1997)</f>
        <v>1997</v>
      </c>
      <c r="G1370" s="1">
        <f ca="1">IFERROR(__xludf.DUMMYFUNCTION("""COMPUTED_VALUE"""),1946)</f>
        <v>1946</v>
      </c>
      <c r="H1370" s="1" t="str">
        <f ca="1">IFERROR(__xludf.DUMMYFUNCTION("""COMPUTED_VALUE"""),"MTLSZ001946A21")</f>
        <v>MTLSZ001946A21</v>
      </c>
      <c r="I1370" s="2">
        <f ca="1">IFERROR(__xludf.DUMMYFUNCTION("""COMPUTED_VALUE"""),44201)</f>
        <v>44201</v>
      </c>
      <c r="J1370" s="2">
        <f ca="1">IFERROR(__xludf.DUMMYFUNCTION("""COMPUTED_VALUE"""),44565)</f>
        <v>44565</v>
      </c>
    </row>
    <row r="1371" spans="1:10" x14ac:dyDescent="0.25">
      <c r="A1371" s="1" t="str">
        <f ca="1">IFERROR(__xludf.DUMMYFUNCTION("""COMPUTED_VALUE"""),"FBSE")</f>
        <v>FBSE</v>
      </c>
      <c r="B1371" s="1" t="str">
        <f ca="1">IFERROR(__xludf.DUMMYFUNCTION("""COMPUTED_VALUE"""),"Perényi Donát")</f>
        <v>Perényi Donát</v>
      </c>
      <c r="C1371" s="1"/>
      <c r="D1371" s="1" t="str">
        <f ca="1">IFERROR(__xludf.DUMMYFUNCTION("""COMPUTED_VALUE"""),"Férfi")</f>
        <v>Férfi</v>
      </c>
      <c r="E1371" s="1"/>
      <c r="F1371" s="1">
        <f ca="1">IFERROR(__xludf.DUMMYFUNCTION("""COMPUTED_VALUE"""),2009)</f>
        <v>2009</v>
      </c>
      <c r="G1371" s="1">
        <f ca="1">IFERROR(__xludf.DUMMYFUNCTION("""COMPUTED_VALUE"""),3345)</f>
        <v>3345</v>
      </c>
      <c r="H1371" s="1" t="str">
        <f ca="1">IFERROR(__xludf.DUMMYFUNCTION("""COMPUTED_VALUE"""),"MTLSZ003345A21")</f>
        <v>MTLSZ003345A21</v>
      </c>
      <c r="I1371" s="2">
        <f ca="1">IFERROR(__xludf.DUMMYFUNCTION("""COMPUTED_VALUE"""),44201)</f>
        <v>44201</v>
      </c>
      <c r="J1371" s="2">
        <f ca="1">IFERROR(__xludf.DUMMYFUNCTION("""COMPUTED_VALUE"""),44565)</f>
        <v>44565</v>
      </c>
    </row>
    <row r="1372" spans="1:10" x14ac:dyDescent="0.25">
      <c r="A1372" s="1" t="str">
        <f ca="1">IFERROR(__xludf.DUMMYFUNCTION("""COMPUTED_VALUE"""),"FBSE")</f>
        <v>FBSE</v>
      </c>
      <c r="B1372" s="1" t="str">
        <f ca="1">IFERROR(__xludf.DUMMYFUNCTION("""COMPUTED_VALUE"""),"Timár László")</f>
        <v>Timár László</v>
      </c>
      <c r="C1372" s="1"/>
      <c r="D1372" s="1" t="str">
        <f ca="1">IFERROR(__xludf.DUMMYFUNCTION("""COMPUTED_VALUE"""),"Férfi")</f>
        <v>Férfi</v>
      </c>
      <c r="E1372" s="1"/>
      <c r="F1372" s="1">
        <f ca="1">IFERROR(__xludf.DUMMYFUNCTION("""COMPUTED_VALUE"""),2004)</f>
        <v>2004</v>
      </c>
      <c r="G1372" s="1">
        <f ca="1">IFERROR(__xludf.DUMMYFUNCTION("""COMPUTED_VALUE"""),2858)</f>
        <v>2858</v>
      </c>
      <c r="H1372" s="1" t="str">
        <f ca="1">IFERROR(__xludf.DUMMYFUNCTION("""COMPUTED_VALUE"""),"MTLSZ002858A21")</f>
        <v>MTLSZ002858A21</v>
      </c>
      <c r="I1372" s="2">
        <f ca="1">IFERROR(__xludf.DUMMYFUNCTION("""COMPUTED_VALUE"""),44201)</f>
        <v>44201</v>
      </c>
      <c r="J1372" s="2">
        <f ca="1">IFERROR(__xludf.DUMMYFUNCTION("""COMPUTED_VALUE"""),44565)</f>
        <v>44565</v>
      </c>
    </row>
    <row r="1373" spans="1:10" x14ac:dyDescent="0.25">
      <c r="A1373" s="1" t="str">
        <f ca="1">IFERROR(__xludf.DUMMYFUNCTION("""COMPUTED_VALUE"""),"Főtaxi SC")</f>
        <v>Főtaxi SC</v>
      </c>
      <c r="B1373" s="1" t="str">
        <f ca="1">IFERROR(__xludf.DUMMYFUNCTION("""COMPUTED_VALUE"""),"Bálint Attila")</f>
        <v>Bálint Attila</v>
      </c>
      <c r="C1373" s="1"/>
      <c r="D1373" s="1" t="str">
        <f ca="1">IFERROR(__xludf.DUMMYFUNCTION("""COMPUTED_VALUE"""),"Férfi")</f>
        <v>Férfi</v>
      </c>
      <c r="E1373" s="1"/>
      <c r="F1373" s="1">
        <f ca="1">IFERROR(__xludf.DUMMYFUNCTION("""COMPUTED_VALUE"""),1979)</f>
        <v>1979</v>
      </c>
      <c r="G1373" s="1">
        <f ca="1">IFERROR(__xludf.DUMMYFUNCTION("""COMPUTED_VALUE"""),4062)</f>
        <v>4062</v>
      </c>
      <c r="H1373" s="1" t="str">
        <f ca="1">IFERROR(__xludf.DUMMYFUNCTION("""COMPUTED_VALUE"""),"MTLSZ004062A21")</f>
        <v>MTLSZ004062A21</v>
      </c>
      <c r="I1373" s="2">
        <f ca="1">IFERROR(__xludf.DUMMYFUNCTION("""COMPUTED_VALUE"""),44201)</f>
        <v>44201</v>
      </c>
      <c r="J1373" s="2">
        <f ca="1">IFERROR(__xludf.DUMMYFUNCTION("""COMPUTED_VALUE"""),44565)</f>
        <v>44565</v>
      </c>
    </row>
    <row r="1374" spans="1:10" x14ac:dyDescent="0.25">
      <c r="A1374" s="1" t="str">
        <f ca="1">IFERROR(__xludf.DUMMYFUNCTION("""COMPUTED_VALUE"""),"Főtaxi SC")</f>
        <v>Főtaxi SC</v>
      </c>
      <c r="B1374" s="1" t="str">
        <f ca="1">IFERROR(__xludf.DUMMYFUNCTION("""COMPUTED_VALUE"""),"Farkas László")</f>
        <v>Farkas László</v>
      </c>
      <c r="C1374" s="1"/>
      <c r="D1374" s="1" t="str">
        <f ca="1">IFERROR(__xludf.DUMMYFUNCTION("""COMPUTED_VALUE"""),"Férfi")</f>
        <v>Férfi</v>
      </c>
      <c r="E1374" s="1"/>
      <c r="F1374" s="1">
        <f ca="1">IFERROR(__xludf.DUMMYFUNCTION("""COMPUTED_VALUE"""),1970)</f>
        <v>1970</v>
      </c>
      <c r="G1374" s="1">
        <f ca="1">IFERROR(__xludf.DUMMYFUNCTION("""COMPUTED_VALUE"""),4064)</f>
        <v>4064</v>
      </c>
      <c r="H1374" s="1" t="str">
        <f ca="1">IFERROR(__xludf.DUMMYFUNCTION("""COMPUTED_VALUE"""),"MTLSZ004064A21")</f>
        <v>MTLSZ004064A21</v>
      </c>
      <c r="I1374" s="2">
        <f ca="1">IFERROR(__xludf.DUMMYFUNCTION("""COMPUTED_VALUE"""),44201)</f>
        <v>44201</v>
      </c>
      <c r="J1374" s="2">
        <f ca="1">IFERROR(__xludf.DUMMYFUNCTION("""COMPUTED_VALUE"""),44565)</f>
        <v>44565</v>
      </c>
    </row>
    <row r="1375" spans="1:10" x14ac:dyDescent="0.25">
      <c r="A1375" s="1" t="str">
        <f ca="1">IFERROR(__xludf.DUMMYFUNCTION("""COMPUTED_VALUE"""),"Főtaxi SC")</f>
        <v>Főtaxi SC</v>
      </c>
      <c r="B1375" s="1" t="str">
        <f ca="1">IFERROR(__xludf.DUMMYFUNCTION("""COMPUTED_VALUE"""),"Pawan Ashi Sh")</f>
        <v>Pawan Ashi Sh</v>
      </c>
      <c r="C1375" s="1"/>
      <c r="D1375" s="1" t="str">
        <f ca="1">IFERROR(__xludf.DUMMYFUNCTION("""COMPUTED_VALUE"""),"Férfi")</f>
        <v>Férfi</v>
      </c>
      <c r="E1375" s="1"/>
      <c r="F1375" s="1">
        <f ca="1">IFERROR(__xludf.DUMMYFUNCTION("""COMPUTED_VALUE"""),1983)</f>
        <v>1983</v>
      </c>
      <c r="G1375" s="1">
        <f ca="1">IFERROR(__xludf.DUMMYFUNCTION("""COMPUTED_VALUE"""),4060)</f>
        <v>4060</v>
      </c>
      <c r="H1375" s="1" t="str">
        <f ca="1">IFERROR(__xludf.DUMMYFUNCTION("""COMPUTED_VALUE"""),"MTLSZ004060A21")</f>
        <v>MTLSZ004060A21</v>
      </c>
      <c r="I1375" s="2">
        <f ca="1">IFERROR(__xludf.DUMMYFUNCTION("""COMPUTED_VALUE"""),44201)</f>
        <v>44201</v>
      </c>
      <c r="J1375" s="2">
        <f ca="1">IFERROR(__xludf.DUMMYFUNCTION("""COMPUTED_VALUE"""),44565)</f>
        <v>44565</v>
      </c>
    </row>
    <row r="1376" spans="1:10" x14ac:dyDescent="0.25">
      <c r="A1376" s="1" t="str">
        <f ca="1">IFERROR(__xludf.DUMMYFUNCTION("""COMPUTED_VALUE"""),"Klébi DSE")</f>
        <v>Klébi DSE</v>
      </c>
      <c r="B1376" s="1" t="str">
        <f ca="1">IFERROR(__xludf.DUMMYFUNCTION("""COMPUTED_VALUE"""),"Bezensek Roland")</f>
        <v>Bezensek Roland</v>
      </c>
      <c r="C1376" s="1"/>
      <c r="D1376" s="1" t="str">
        <f ca="1">IFERROR(__xludf.DUMMYFUNCTION("""COMPUTED_VALUE"""),"Férfi")</f>
        <v>Férfi</v>
      </c>
      <c r="E1376" s="1"/>
      <c r="F1376" s="1">
        <f ca="1">IFERROR(__xludf.DUMMYFUNCTION("""COMPUTED_VALUE"""),1988)</f>
        <v>1988</v>
      </c>
      <c r="G1376" s="1">
        <f ca="1">IFERROR(__xludf.DUMMYFUNCTION("""COMPUTED_VALUE"""),4057)</f>
        <v>4057</v>
      </c>
      <c r="H1376" s="1" t="str">
        <f ca="1">IFERROR(__xludf.DUMMYFUNCTION("""COMPUTED_VALUE"""),"MTLSZ004057A21")</f>
        <v>MTLSZ004057A21</v>
      </c>
      <c r="I1376" s="2">
        <f ca="1">IFERROR(__xludf.DUMMYFUNCTION("""COMPUTED_VALUE"""),44201)</f>
        <v>44201</v>
      </c>
      <c r="J1376" s="2">
        <f ca="1">IFERROR(__xludf.DUMMYFUNCTION("""COMPUTED_VALUE"""),44565)</f>
        <v>44565</v>
      </c>
    </row>
    <row r="1377" spans="1:10" x14ac:dyDescent="0.25">
      <c r="A1377" s="1" t="str">
        <f ca="1">IFERROR(__xludf.DUMMYFUNCTION("""COMPUTED_VALUE"""),"Klébi DSE")</f>
        <v>Klébi DSE</v>
      </c>
      <c r="B1377" s="1" t="str">
        <f ca="1">IFERROR(__xludf.DUMMYFUNCTION("""COMPUTED_VALUE"""),"Kormos Sebestyén")</f>
        <v>Kormos Sebestyén</v>
      </c>
      <c r="C1377" s="1"/>
      <c r="D1377" s="1" t="str">
        <f ca="1">IFERROR(__xludf.DUMMYFUNCTION("""COMPUTED_VALUE"""),"Férfi")</f>
        <v>Férfi</v>
      </c>
      <c r="E1377" s="1"/>
      <c r="F1377" s="1">
        <f ca="1">IFERROR(__xludf.DUMMYFUNCTION("""COMPUTED_VALUE"""),2011)</f>
        <v>2011</v>
      </c>
      <c r="G1377" s="1">
        <f ca="1">IFERROR(__xludf.DUMMYFUNCTION("""COMPUTED_VALUE"""),4043)</f>
        <v>4043</v>
      </c>
      <c r="H1377" s="1" t="str">
        <f ca="1">IFERROR(__xludf.DUMMYFUNCTION("""COMPUTED_VALUE"""),"MTLSZ004043A21")</f>
        <v>MTLSZ004043A21</v>
      </c>
      <c r="I1377" s="2">
        <f ca="1">IFERROR(__xludf.DUMMYFUNCTION("""COMPUTED_VALUE"""),44201)</f>
        <v>44201</v>
      </c>
      <c r="J1377" s="2">
        <f ca="1">IFERROR(__xludf.DUMMYFUNCTION("""COMPUTED_VALUE"""),44565)</f>
        <v>44565</v>
      </c>
    </row>
    <row r="1378" spans="1:10" x14ac:dyDescent="0.25">
      <c r="A1378" s="1" t="str">
        <f ca="1">IFERROR(__xludf.DUMMYFUNCTION("""COMPUTED_VALUE"""),"Klébi DSE")</f>
        <v>Klébi DSE</v>
      </c>
      <c r="B1378" s="1" t="str">
        <f ca="1">IFERROR(__xludf.DUMMYFUNCTION("""COMPUTED_VALUE"""),"Nagy Zoltán")</f>
        <v>Nagy Zoltán</v>
      </c>
      <c r="C1378" s="1"/>
      <c r="D1378" s="1" t="str">
        <f ca="1">IFERROR(__xludf.DUMMYFUNCTION("""COMPUTED_VALUE"""),"Férfi")</f>
        <v>Férfi</v>
      </c>
      <c r="E1378" s="1"/>
      <c r="F1378" s="1">
        <f ca="1">IFERROR(__xludf.DUMMYFUNCTION("""COMPUTED_VALUE"""),1971)</f>
        <v>1971</v>
      </c>
      <c r="G1378" s="1">
        <f ca="1">IFERROR(__xludf.DUMMYFUNCTION("""COMPUTED_VALUE"""),4065)</f>
        <v>4065</v>
      </c>
      <c r="H1378" s="1" t="str">
        <f ca="1">IFERROR(__xludf.DUMMYFUNCTION("""COMPUTED_VALUE"""),"MTLSZ004065A21")</f>
        <v>MTLSZ004065A21</v>
      </c>
      <c r="I1378" s="2">
        <f ca="1">IFERROR(__xludf.DUMMYFUNCTION("""COMPUTED_VALUE"""),44201)</f>
        <v>44201</v>
      </c>
      <c r="J1378" s="2">
        <f ca="1">IFERROR(__xludf.DUMMYFUNCTION("""COMPUTED_VALUE"""),44565)</f>
        <v>44565</v>
      </c>
    </row>
    <row r="1379" spans="1:10" x14ac:dyDescent="0.25">
      <c r="A1379" s="1" t="str">
        <f ca="1">IFERROR(__xludf.DUMMYFUNCTION("""COMPUTED_VALUE"""),"Klébi DSE")</f>
        <v>Klébi DSE</v>
      </c>
      <c r="B1379" s="1" t="str">
        <f ca="1">IFERROR(__xludf.DUMMYFUNCTION("""COMPUTED_VALUE"""),"Repei Gábor")</f>
        <v>Repei Gábor</v>
      </c>
      <c r="C1379" s="1"/>
      <c r="D1379" s="1" t="str">
        <f ca="1">IFERROR(__xludf.DUMMYFUNCTION("""COMPUTED_VALUE"""),"Férfi")</f>
        <v>Férfi</v>
      </c>
      <c r="E1379" s="1"/>
      <c r="F1379" s="1">
        <f ca="1">IFERROR(__xludf.DUMMYFUNCTION("""COMPUTED_VALUE"""),1973)</f>
        <v>1973</v>
      </c>
      <c r="G1379" s="1">
        <f ca="1">IFERROR(__xludf.DUMMYFUNCTION("""COMPUTED_VALUE"""),2878)</f>
        <v>2878</v>
      </c>
      <c r="H1379" s="1" t="str">
        <f ca="1">IFERROR(__xludf.DUMMYFUNCTION("""COMPUTED_VALUE"""),"MTLSZ002878A21")</f>
        <v>MTLSZ002878A21</v>
      </c>
      <c r="I1379" s="2">
        <f ca="1">IFERROR(__xludf.DUMMYFUNCTION("""COMPUTED_VALUE"""),44201)</f>
        <v>44201</v>
      </c>
      <c r="J1379" s="2">
        <f ca="1">IFERROR(__xludf.DUMMYFUNCTION("""COMPUTED_VALUE"""),44565)</f>
        <v>44565</v>
      </c>
    </row>
    <row r="1380" spans="1:10" x14ac:dyDescent="0.25">
      <c r="A1380" s="1" t="str">
        <f ca="1">IFERROR(__xludf.DUMMYFUNCTION("""COMPUTED_VALUE"""),"Klébi DSE")</f>
        <v>Klébi DSE</v>
      </c>
      <c r="B1380" s="1" t="str">
        <f ca="1">IFERROR(__xludf.DUMMYFUNCTION("""COMPUTED_VALUE"""),"Ridetz Panna Sára")</f>
        <v>Ridetz Panna Sára</v>
      </c>
      <c r="C1380" s="1"/>
      <c r="D1380" s="1" t="str">
        <f ca="1">IFERROR(__xludf.DUMMYFUNCTION("""COMPUTED_VALUE"""),"Nő")</f>
        <v>Nő</v>
      </c>
      <c r="E1380" s="1"/>
      <c r="F1380" s="1">
        <f ca="1">IFERROR(__xludf.DUMMYFUNCTION("""COMPUTED_VALUE"""),2010)</f>
        <v>2010</v>
      </c>
      <c r="G1380" s="1">
        <f ca="1">IFERROR(__xludf.DUMMYFUNCTION("""COMPUTED_VALUE"""),4058)</f>
        <v>4058</v>
      </c>
      <c r="H1380" s="1" t="str">
        <f ca="1">IFERROR(__xludf.DUMMYFUNCTION("""COMPUTED_VALUE"""),"MTLSZ004058A21")</f>
        <v>MTLSZ004058A21</v>
      </c>
      <c r="I1380" s="2">
        <f ca="1">IFERROR(__xludf.DUMMYFUNCTION("""COMPUTED_VALUE"""),44201)</f>
        <v>44201</v>
      </c>
      <c r="J1380" s="2">
        <f ca="1">IFERROR(__xludf.DUMMYFUNCTION("""COMPUTED_VALUE"""),44565)</f>
        <v>44565</v>
      </c>
    </row>
    <row r="1381" spans="1:10" x14ac:dyDescent="0.25">
      <c r="A1381" s="1" t="str">
        <f ca="1">IFERROR(__xludf.DUMMYFUNCTION("""COMPUTED_VALUE"""),"T(r)ollas SE")</f>
        <v>T(r)ollas SE</v>
      </c>
      <c r="B1381" s="1" t="str">
        <f ca="1">IFERROR(__xludf.DUMMYFUNCTION("""COMPUTED_VALUE"""),"Csizmadia Mónika")</f>
        <v>Csizmadia Mónika</v>
      </c>
      <c r="C1381" s="1"/>
      <c r="D1381" s="1" t="str">
        <f ca="1">IFERROR(__xludf.DUMMYFUNCTION("""COMPUTED_VALUE"""),"Nő")</f>
        <v>Nő</v>
      </c>
      <c r="E1381" s="1"/>
      <c r="F1381" s="1">
        <f ca="1">IFERROR(__xludf.DUMMYFUNCTION("""COMPUTED_VALUE"""),1970)</f>
        <v>1970</v>
      </c>
      <c r="G1381" s="1">
        <f ca="1">IFERROR(__xludf.DUMMYFUNCTION("""COMPUTED_VALUE"""),4061)</f>
        <v>4061</v>
      </c>
      <c r="H1381" s="1" t="str">
        <f ca="1">IFERROR(__xludf.DUMMYFUNCTION("""COMPUTED_VALUE"""),"MTLSZ004061A21")</f>
        <v>MTLSZ004061A21</v>
      </c>
      <c r="I1381" s="2">
        <f ca="1">IFERROR(__xludf.DUMMYFUNCTION("""COMPUTED_VALUE"""),44201)</f>
        <v>44201</v>
      </c>
      <c r="J1381" s="2">
        <f ca="1">IFERROR(__xludf.DUMMYFUNCTION("""COMPUTED_VALUE"""),44565)</f>
        <v>44565</v>
      </c>
    </row>
    <row r="1382" spans="1:10" x14ac:dyDescent="0.25">
      <c r="A1382" s="1" t="str">
        <f ca="1">IFERROR(__xludf.DUMMYFUNCTION("""COMPUTED_VALUE"""),"Újpest TSE")</f>
        <v>Újpest TSE</v>
      </c>
      <c r="B1382" s="1" t="str">
        <f ca="1">IFERROR(__xludf.DUMMYFUNCTION("""COMPUTED_VALUE"""),"Koncz-Gergátz Huba")</f>
        <v>Koncz-Gergátz Huba</v>
      </c>
      <c r="C1382" s="1"/>
      <c r="D1382" s="1" t="str">
        <f ca="1">IFERROR(__xludf.DUMMYFUNCTION("""COMPUTED_VALUE"""),"Férfi")</f>
        <v>Férfi</v>
      </c>
      <c r="E1382" s="1"/>
      <c r="F1382" s="1">
        <f ca="1">IFERROR(__xludf.DUMMYFUNCTION("""COMPUTED_VALUE"""),2007)</f>
        <v>2007</v>
      </c>
      <c r="G1382" s="1">
        <f ca="1">IFERROR(__xludf.DUMMYFUNCTION("""COMPUTED_VALUE"""),2874)</f>
        <v>2874</v>
      </c>
      <c r="H1382" s="1" t="str">
        <f ca="1">IFERROR(__xludf.DUMMYFUNCTION("""COMPUTED_VALUE"""),"MTLSZ002874A21")</f>
        <v>MTLSZ002874A21</v>
      </c>
      <c r="I1382" s="2">
        <f ca="1">IFERROR(__xludf.DUMMYFUNCTION("""COMPUTED_VALUE"""),44201)</f>
        <v>44201</v>
      </c>
      <c r="J1382" s="2">
        <f ca="1">IFERROR(__xludf.DUMMYFUNCTION("""COMPUTED_VALUE"""),44565)</f>
        <v>44565</v>
      </c>
    </row>
    <row r="1383" spans="1:10" x14ac:dyDescent="0.25">
      <c r="A1383" s="1" t="str">
        <f ca="1">IFERROR(__xludf.DUMMYFUNCTION("""COMPUTED_VALUE"""),"BEAC")</f>
        <v>BEAC</v>
      </c>
      <c r="B1383" s="1" t="str">
        <f ca="1">IFERROR(__xludf.DUMMYFUNCTION("""COMPUTED_VALUE"""),"Kún Attila")</f>
        <v>Kún Attila</v>
      </c>
      <c r="C1383" s="1"/>
      <c r="D1383" s="1" t="str">
        <f ca="1">IFERROR(__xludf.DUMMYFUNCTION("""COMPUTED_VALUE"""),"Férfi")</f>
        <v>Férfi</v>
      </c>
      <c r="E1383" s="1"/>
      <c r="F1383" s="1">
        <f ca="1">IFERROR(__xludf.DUMMYFUNCTION("""COMPUTED_VALUE"""),1967)</f>
        <v>1967</v>
      </c>
      <c r="G1383" s="1">
        <f ca="1">IFERROR(__xludf.DUMMYFUNCTION("""COMPUTED_VALUE"""),1388)</f>
        <v>1388</v>
      </c>
      <c r="H1383" s="1" t="str">
        <f ca="1">IFERROR(__xludf.DUMMYFUNCTION("""COMPUTED_VALUE"""),"MTLSZ001388A21")</f>
        <v>MTLSZ001388A21</v>
      </c>
      <c r="I1383" s="2">
        <f ca="1">IFERROR(__xludf.DUMMYFUNCTION("""COMPUTED_VALUE"""),44198)</f>
        <v>44198</v>
      </c>
      <c r="J1383" s="2">
        <f ca="1">IFERROR(__xludf.DUMMYFUNCTION("""COMPUTED_VALUE"""),44562)</f>
        <v>44562</v>
      </c>
    </row>
    <row r="1384" spans="1:10" x14ac:dyDescent="0.25">
      <c r="A1384" s="1" t="str">
        <f ca="1">IFERROR(__xludf.DUMMYFUNCTION("""COMPUTED_VALUE"""),"Klébi DSE")</f>
        <v>Klébi DSE</v>
      </c>
      <c r="B1384" s="1" t="str">
        <f ca="1">IFERROR(__xludf.DUMMYFUNCTION("""COMPUTED_VALUE"""),"Altsach Levente")</f>
        <v>Altsach Levente</v>
      </c>
      <c r="C1384" s="1"/>
      <c r="D1384" s="1" t="str">
        <f ca="1">IFERROR(__xludf.DUMMYFUNCTION("""COMPUTED_VALUE"""),"Férfi")</f>
        <v>Férfi</v>
      </c>
      <c r="E1384" s="1"/>
      <c r="F1384" s="1">
        <f ca="1">IFERROR(__xludf.DUMMYFUNCTION("""COMPUTED_VALUE"""),2002)</f>
        <v>2002</v>
      </c>
      <c r="G1384" s="1">
        <f ca="1">IFERROR(__xludf.DUMMYFUNCTION("""COMPUTED_VALUE"""),2312)</f>
        <v>2312</v>
      </c>
      <c r="H1384" s="1" t="str">
        <f ca="1">IFERROR(__xludf.DUMMYFUNCTION("""COMPUTED_VALUE"""),"MTLSZ002312A21")</f>
        <v>MTLSZ002312A21</v>
      </c>
      <c r="I1384" s="2">
        <f ca="1">IFERROR(__xludf.DUMMYFUNCTION("""COMPUTED_VALUE"""),44198)</f>
        <v>44198</v>
      </c>
      <c r="J1384" s="2">
        <f ca="1">IFERROR(__xludf.DUMMYFUNCTION("""COMPUTED_VALUE"""),44562)</f>
        <v>44562</v>
      </c>
    </row>
    <row r="1385" spans="1:10" x14ac:dyDescent="0.25">
      <c r="A1385" s="1" t="str">
        <f ca="1">IFERROR(__xludf.DUMMYFUNCTION("""COMPUTED_VALUE"""),"Klébi DSE")</f>
        <v>Klébi DSE</v>
      </c>
      <c r="B1385" s="1" t="str">
        <f ca="1">IFERROR(__xludf.DUMMYFUNCTION("""COMPUTED_VALUE"""),"Bakony Krisztián")</f>
        <v>Bakony Krisztián</v>
      </c>
      <c r="C1385" s="1"/>
      <c r="D1385" s="1" t="str">
        <f ca="1">IFERROR(__xludf.DUMMYFUNCTION("""COMPUTED_VALUE"""),"Férfi")</f>
        <v>Férfi</v>
      </c>
      <c r="E1385" s="1"/>
      <c r="F1385" s="1">
        <f ca="1">IFERROR(__xludf.DUMMYFUNCTION("""COMPUTED_VALUE"""),1977)</f>
        <v>1977</v>
      </c>
      <c r="G1385" s="1">
        <f ca="1">IFERROR(__xludf.DUMMYFUNCTION("""COMPUTED_VALUE"""),4027)</f>
        <v>4027</v>
      </c>
      <c r="H1385" s="1" t="str">
        <f ca="1">IFERROR(__xludf.DUMMYFUNCTION("""COMPUTED_VALUE"""),"MTLSZ004027A21")</f>
        <v>MTLSZ004027A21</v>
      </c>
      <c r="I1385" s="2">
        <f ca="1">IFERROR(__xludf.DUMMYFUNCTION("""COMPUTED_VALUE"""),44198)</f>
        <v>44198</v>
      </c>
      <c r="J1385" s="2">
        <f ca="1">IFERROR(__xludf.DUMMYFUNCTION("""COMPUTED_VALUE"""),44562)</f>
        <v>44562</v>
      </c>
    </row>
    <row r="1386" spans="1:10" x14ac:dyDescent="0.25">
      <c r="A1386" s="1" t="str">
        <f ca="1">IFERROR(__xludf.DUMMYFUNCTION("""COMPUTED_VALUE"""),"Klébi DSE")</f>
        <v>Klébi DSE</v>
      </c>
      <c r="B1386" s="1" t="str">
        <f ca="1">IFERROR(__xludf.DUMMYFUNCTION("""COMPUTED_VALUE"""),"Blum Gábor")</f>
        <v>Blum Gábor</v>
      </c>
      <c r="C1386" s="1"/>
      <c r="D1386" s="1" t="str">
        <f ca="1">IFERROR(__xludf.DUMMYFUNCTION("""COMPUTED_VALUE"""),"Férfi")</f>
        <v>Férfi</v>
      </c>
      <c r="E1386" s="1"/>
      <c r="F1386" s="1">
        <f ca="1">IFERROR(__xludf.DUMMYFUNCTION("""COMPUTED_VALUE"""),1967)</f>
        <v>1967</v>
      </c>
      <c r="G1386" s="1">
        <f ca="1">IFERROR(__xludf.DUMMYFUNCTION("""COMPUTED_VALUE"""),4028)</f>
        <v>4028</v>
      </c>
      <c r="H1386" s="1" t="str">
        <f ca="1">IFERROR(__xludf.DUMMYFUNCTION("""COMPUTED_VALUE"""),"MTLSZ004028A21")</f>
        <v>MTLSZ004028A21</v>
      </c>
      <c r="I1386" s="2">
        <f ca="1">IFERROR(__xludf.DUMMYFUNCTION("""COMPUTED_VALUE"""),44198)</f>
        <v>44198</v>
      </c>
      <c r="J1386" s="2">
        <f ca="1">IFERROR(__xludf.DUMMYFUNCTION("""COMPUTED_VALUE"""),44562)</f>
        <v>44562</v>
      </c>
    </row>
    <row r="1387" spans="1:10" x14ac:dyDescent="0.25">
      <c r="A1387" s="1" t="str">
        <f ca="1">IFERROR(__xludf.DUMMYFUNCTION("""COMPUTED_VALUE"""),"Klébi DSE")</f>
        <v>Klébi DSE</v>
      </c>
      <c r="B1387" s="1" t="str">
        <f ca="1">IFERROR(__xludf.DUMMYFUNCTION("""COMPUTED_VALUE"""),"Charmet-Ochse Marc")</f>
        <v>Charmet-Ochse Marc</v>
      </c>
      <c r="C1387" s="1"/>
      <c r="D1387" s="1" t="str">
        <f ca="1">IFERROR(__xludf.DUMMYFUNCTION("""COMPUTED_VALUE"""),"Férfi")</f>
        <v>Férfi</v>
      </c>
      <c r="E1387" s="1"/>
      <c r="F1387" s="1">
        <f ca="1">IFERROR(__xludf.DUMMYFUNCTION("""COMPUTED_VALUE"""),1970)</f>
        <v>1970</v>
      </c>
      <c r="G1387" s="1">
        <f ca="1">IFERROR(__xludf.DUMMYFUNCTION("""COMPUTED_VALUE"""),4056)</f>
        <v>4056</v>
      </c>
      <c r="H1387" s="1" t="str">
        <f ca="1">IFERROR(__xludf.DUMMYFUNCTION("""COMPUTED_VALUE"""),"MTLSZ004056A21")</f>
        <v>MTLSZ004056A21</v>
      </c>
      <c r="I1387" s="2">
        <f ca="1">IFERROR(__xludf.DUMMYFUNCTION("""COMPUTED_VALUE"""),44198)</f>
        <v>44198</v>
      </c>
      <c r="J1387" s="2">
        <f ca="1">IFERROR(__xludf.DUMMYFUNCTION("""COMPUTED_VALUE"""),44562)</f>
        <v>44562</v>
      </c>
    </row>
    <row r="1388" spans="1:10" x14ac:dyDescent="0.25">
      <c r="A1388" s="1" t="str">
        <f ca="1">IFERROR(__xludf.DUMMYFUNCTION("""COMPUTED_VALUE"""),"Klébi DSE")</f>
        <v>Klébi DSE</v>
      </c>
      <c r="B1388" s="1" t="str">
        <f ca="1">IFERROR(__xludf.DUMMYFUNCTION("""COMPUTED_VALUE"""),"Csapai Gabriella")</f>
        <v>Csapai Gabriella</v>
      </c>
      <c r="C1388" s="1"/>
      <c r="D1388" s="1" t="str">
        <f ca="1">IFERROR(__xludf.DUMMYFUNCTION("""COMPUTED_VALUE"""),"Nő")</f>
        <v>Nő</v>
      </c>
      <c r="E1388" s="1"/>
      <c r="F1388" s="1">
        <f ca="1">IFERROR(__xludf.DUMMYFUNCTION("""COMPUTED_VALUE"""),1974)</f>
        <v>1974</v>
      </c>
      <c r="G1388" s="1">
        <f ca="1">IFERROR(__xludf.DUMMYFUNCTION("""COMPUTED_VALUE"""),4029)</f>
        <v>4029</v>
      </c>
      <c r="H1388" s="1" t="str">
        <f ca="1">IFERROR(__xludf.DUMMYFUNCTION("""COMPUTED_VALUE"""),"MTLSZ004029A21")</f>
        <v>MTLSZ004029A21</v>
      </c>
      <c r="I1388" s="2">
        <f ca="1">IFERROR(__xludf.DUMMYFUNCTION("""COMPUTED_VALUE"""),44198)</f>
        <v>44198</v>
      </c>
      <c r="J1388" s="2">
        <f ca="1">IFERROR(__xludf.DUMMYFUNCTION("""COMPUTED_VALUE"""),44562)</f>
        <v>44562</v>
      </c>
    </row>
    <row r="1389" spans="1:10" x14ac:dyDescent="0.25">
      <c r="A1389" s="1" t="str">
        <f ca="1">IFERROR(__xludf.DUMMYFUNCTION("""COMPUTED_VALUE"""),"Klébi DSE")</f>
        <v>Klébi DSE</v>
      </c>
      <c r="B1389" s="1" t="str">
        <f ca="1">IFERROR(__xludf.DUMMYFUNCTION("""COMPUTED_VALUE"""),"Eperjesi Péter")</f>
        <v>Eperjesi Péter</v>
      </c>
      <c r="C1389" s="1"/>
      <c r="D1389" s="1" t="str">
        <f ca="1">IFERROR(__xludf.DUMMYFUNCTION("""COMPUTED_VALUE"""),"Férfi")</f>
        <v>Férfi</v>
      </c>
      <c r="E1389" s="1"/>
      <c r="F1389" s="1">
        <f ca="1">IFERROR(__xludf.DUMMYFUNCTION("""COMPUTED_VALUE"""),2006)</f>
        <v>2006</v>
      </c>
      <c r="G1389" s="1">
        <f ca="1">IFERROR(__xludf.DUMMYFUNCTION("""COMPUTED_VALUE"""),4030)</f>
        <v>4030</v>
      </c>
      <c r="H1389" s="1" t="str">
        <f ca="1">IFERROR(__xludf.DUMMYFUNCTION("""COMPUTED_VALUE"""),"MTLSZ004030A21")</f>
        <v>MTLSZ004030A21</v>
      </c>
      <c r="I1389" s="2">
        <f ca="1">IFERROR(__xludf.DUMMYFUNCTION("""COMPUTED_VALUE"""),44198)</f>
        <v>44198</v>
      </c>
      <c r="J1389" s="2">
        <f ca="1">IFERROR(__xludf.DUMMYFUNCTION("""COMPUTED_VALUE"""),44562)</f>
        <v>44562</v>
      </c>
    </row>
    <row r="1390" spans="1:10" x14ac:dyDescent="0.25">
      <c r="A1390" s="1" t="str">
        <f ca="1">IFERROR(__xludf.DUMMYFUNCTION("""COMPUTED_VALUE"""),"Klébi DSE")</f>
        <v>Klébi DSE</v>
      </c>
      <c r="B1390" s="1" t="str">
        <f ca="1">IFERROR(__xludf.DUMMYFUNCTION("""COMPUTED_VALUE"""),"Fazekas Dóra")</f>
        <v>Fazekas Dóra</v>
      </c>
      <c r="C1390" s="1"/>
      <c r="D1390" s="1" t="str">
        <f ca="1">IFERROR(__xludf.DUMMYFUNCTION("""COMPUTED_VALUE"""),"Nő")</f>
        <v>Nő</v>
      </c>
      <c r="E1390" s="1"/>
      <c r="F1390" s="1">
        <f ca="1">IFERROR(__xludf.DUMMYFUNCTION("""COMPUTED_VALUE"""),1978)</f>
        <v>1978</v>
      </c>
      <c r="G1390" s="1">
        <f ca="1">IFERROR(__xludf.DUMMYFUNCTION("""COMPUTED_VALUE"""),4031)</f>
        <v>4031</v>
      </c>
      <c r="H1390" s="1" t="str">
        <f ca="1">IFERROR(__xludf.DUMMYFUNCTION("""COMPUTED_VALUE"""),"MTLSZ004031A21")</f>
        <v>MTLSZ004031A21</v>
      </c>
      <c r="I1390" s="2">
        <f ca="1">IFERROR(__xludf.DUMMYFUNCTION("""COMPUTED_VALUE"""),44198)</f>
        <v>44198</v>
      </c>
      <c r="J1390" s="2">
        <f ca="1">IFERROR(__xludf.DUMMYFUNCTION("""COMPUTED_VALUE"""),44562)</f>
        <v>44562</v>
      </c>
    </row>
    <row r="1391" spans="1:10" x14ac:dyDescent="0.25">
      <c r="A1391" s="1" t="str">
        <f ca="1">IFERROR(__xludf.DUMMYFUNCTION("""COMPUTED_VALUE"""),"Klébi DSE")</f>
        <v>Klébi DSE</v>
      </c>
      <c r="B1391" s="1" t="str">
        <f ca="1">IFERROR(__xludf.DUMMYFUNCTION("""COMPUTED_VALUE"""),"Ferenczy Emma")</f>
        <v>Ferenczy Emma</v>
      </c>
      <c r="C1391" s="1"/>
      <c r="D1391" s="1" t="str">
        <f ca="1">IFERROR(__xludf.DUMMYFUNCTION("""COMPUTED_VALUE"""),"Nő")</f>
        <v>Nő</v>
      </c>
      <c r="E1391" s="1"/>
      <c r="F1391" s="1">
        <f ca="1">IFERROR(__xludf.DUMMYFUNCTION("""COMPUTED_VALUE"""),2010)</f>
        <v>2010</v>
      </c>
      <c r="G1391" s="1">
        <f ca="1">IFERROR(__xludf.DUMMYFUNCTION("""COMPUTED_VALUE"""),4032)</f>
        <v>4032</v>
      </c>
      <c r="H1391" s="1" t="str">
        <f ca="1">IFERROR(__xludf.DUMMYFUNCTION("""COMPUTED_VALUE"""),"MTLSZ004032A21")</f>
        <v>MTLSZ004032A21</v>
      </c>
      <c r="I1391" s="2">
        <f ca="1">IFERROR(__xludf.DUMMYFUNCTION("""COMPUTED_VALUE"""),44198)</f>
        <v>44198</v>
      </c>
      <c r="J1391" s="2">
        <f ca="1">IFERROR(__xludf.DUMMYFUNCTION("""COMPUTED_VALUE"""),44562)</f>
        <v>44562</v>
      </c>
    </row>
    <row r="1392" spans="1:10" x14ac:dyDescent="0.25">
      <c r="A1392" s="1" t="str">
        <f ca="1">IFERROR(__xludf.DUMMYFUNCTION("""COMPUTED_VALUE"""),"Klébi DSE")</f>
        <v>Klébi DSE</v>
      </c>
      <c r="B1392" s="1" t="str">
        <f ca="1">IFERROR(__xludf.DUMMYFUNCTION("""COMPUTED_VALUE"""),"Gulyás Sarolta")</f>
        <v>Gulyás Sarolta</v>
      </c>
      <c r="C1392" s="1"/>
      <c r="D1392" s="1" t="str">
        <f ca="1">IFERROR(__xludf.DUMMYFUNCTION("""COMPUTED_VALUE"""),"Nő")</f>
        <v>Nő</v>
      </c>
      <c r="E1392" s="1"/>
      <c r="F1392" s="1">
        <f ca="1">IFERROR(__xludf.DUMMYFUNCTION("""COMPUTED_VALUE"""),1990)</f>
        <v>1990</v>
      </c>
      <c r="G1392" s="1">
        <f ca="1">IFERROR(__xludf.DUMMYFUNCTION("""COMPUTED_VALUE"""),4033)</f>
        <v>4033</v>
      </c>
      <c r="H1392" s="1" t="str">
        <f ca="1">IFERROR(__xludf.DUMMYFUNCTION("""COMPUTED_VALUE"""),"MTLSZ004033A21")</f>
        <v>MTLSZ004033A21</v>
      </c>
      <c r="I1392" s="2">
        <f ca="1">IFERROR(__xludf.DUMMYFUNCTION("""COMPUTED_VALUE"""),44198)</f>
        <v>44198</v>
      </c>
      <c r="J1392" s="2">
        <f ca="1">IFERROR(__xludf.DUMMYFUNCTION("""COMPUTED_VALUE"""),44562)</f>
        <v>44562</v>
      </c>
    </row>
    <row r="1393" spans="1:10" x14ac:dyDescent="0.25">
      <c r="A1393" s="1" t="str">
        <f ca="1">IFERROR(__xludf.DUMMYFUNCTION("""COMPUTED_VALUE"""),"Klébi DSE")</f>
        <v>Klébi DSE</v>
      </c>
      <c r="B1393" s="1" t="str">
        <f ca="1">IFERROR(__xludf.DUMMYFUNCTION("""COMPUTED_VALUE"""),"Gyetvai Gábor")</f>
        <v>Gyetvai Gábor</v>
      </c>
      <c r="C1393" s="1"/>
      <c r="D1393" s="1" t="str">
        <f ca="1">IFERROR(__xludf.DUMMYFUNCTION("""COMPUTED_VALUE"""),"Férfi")</f>
        <v>Férfi</v>
      </c>
      <c r="E1393" s="1"/>
      <c r="F1393" s="1">
        <f ca="1">IFERROR(__xludf.DUMMYFUNCTION("""COMPUTED_VALUE"""),1976)</f>
        <v>1976</v>
      </c>
      <c r="G1393" s="1">
        <f ca="1">IFERROR(__xludf.DUMMYFUNCTION("""COMPUTED_VALUE"""),4034)</f>
        <v>4034</v>
      </c>
      <c r="H1393" s="1" t="str">
        <f ca="1">IFERROR(__xludf.DUMMYFUNCTION("""COMPUTED_VALUE"""),"MTLSZ004034A21")</f>
        <v>MTLSZ004034A21</v>
      </c>
      <c r="I1393" s="2">
        <f ca="1">IFERROR(__xludf.DUMMYFUNCTION("""COMPUTED_VALUE"""),44198)</f>
        <v>44198</v>
      </c>
      <c r="J1393" s="2">
        <f ca="1">IFERROR(__xludf.DUMMYFUNCTION("""COMPUTED_VALUE"""),44562)</f>
        <v>44562</v>
      </c>
    </row>
    <row r="1394" spans="1:10" x14ac:dyDescent="0.25">
      <c r="A1394" s="1" t="str">
        <f ca="1">IFERROR(__xludf.DUMMYFUNCTION("""COMPUTED_VALUE"""),"Klébi DSE")</f>
        <v>Klébi DSE</v>
      </c>
      <c r="B1394" s="1" t="str">
        <f ca="1">IFERROR(__xludf.DUMMYFUNCTION("""COMPUTED_VALUE"""),"Hajlamász Beatrix")</f>
        <v>Hajlamász Beatrix</v>
      </c>
      <c r="C1394" s="1"/>
      <c r="D1394" s="1" t="str">
        <f ca="1">IFERROR(__xludf.DUMMYFUNCTION("""COMPUTED_VALUE"""),"Nő")</f>
        <v>Nő</v>
      </c>
      <c r="E1394" s="1"/>
      <c r="F1394" s="1">
        <f ca="1">IFERROR(__xludf.DUMMYFUNCTION("""COMPUTED_VALUE"""),1985)</f>
        <v>1985</v>
      </c>
      <c r="G1394" s="1">
        <f ca="1">IFERROR(__xludf.DUMMYFUNCTION("""COMPUTED_VALUE"""),4035)</f>
        <v>4035</v>
      </c>
      <c r="H1394" s="1" t="str">
        <f ca="1">IFERROR(__xludf.DUMMYFUNCTION("""COMPUTED_VALUE"""),"MTLSZ004035A21")</f>
        <v>MTLSZ004035A21</v>
      </c>
      <c r="I1394" s="2">
        <f ca="1">IFERROR(__xludf.DUMMYFUNCTION("""COMPUTED_VALUE"""),44198)</f>
        <v>44198</v>
      </c>
      <c r="J1394" s="2">
        <f ca="1">IFERROR(__xludf.DUMMYFUNCTION("""COMPUTED_VALUE"""),44562)</f>
        <v>44562</v>
      </c>
    </row>
    <row r="1395" spans="1:10" x14ac:dyDescent="0.25">
      <c r="A1395" s="1" t="str">
        <f ca="1">IFERROR(__xludf.DUMMYFUNCTION("""COMPUTED_VALUE"""),"Klébi DSE")</f>
        <v>Klébi DSE</v>
      </c>
      <c r="B1395" s="1" t="str">
        <f ca="1">IFERROR(__xludf.DUMMYFUNCTION("""COMPUTED_VALUE"""),"Horváth György")</f>
        <v>Horváth György</v>
      </c>
      <c r="C1395" s="1"/>
      <c r="D1395" s="1" t="str">
        <f ca="1">IFERROR(__xludf.DUMMYFUNCTION("""COMPUTED_VALUE"""),"Férfi")</f>
        <v>Férfi</v>
      </c>
      <c r="E1395" s="1"/>
      <c r="F1395" s="1">
        <f ca="1">IFERROR(__xludf.DUMMYFUNCTION("""COMPUTED_VALUE"""),1967)</f>
        <v>1967</v>
      </c>
      <c r="G1395" s="1">
        <f ca="1">IFERROR(__xludf.DUMMYFUNCTION("""COMPUTED_VALUE"""),4036)</f>
        <v>4036</v>
      </c>
      <c r="H1395" s="1" t="str">
        <f ca="1">IFERROR(__xludf.DUMMYFUNCTION("""COMPUTED_VALUE"""),"MTLSZ004036A21")</f>
        <v>MTLSZ004036A21</v>
      </c>
      <c r="I1395" s="2">
        <f ca="1">IFERROR(__xludf.DUMMYFUNCTION("""COMPUTED_VALUE"""),44198)</f>
        <v>44198</v>
      </c>
      <c r="J1395" s="2">
        <f ca="1">IFERROR(__xludf.DUMMYFUNCTION("""COMPUTED_VALUE"""),44562)</f>
        <v>44562</v>
      </c>
    </row>
    <row r="1396" spans="1:10" x14ac:dyDescent="0.25">
      <c r="A1396" s="1" t="str">
        <f ca="1">IFERROR(__xludf.DUMMYFUNCTION("""COMPUTED_VALUE"""),"Klébi DSE")</f>
        <v>Klébi DSE</v>
      </c>
      <c r="B1396" s="1" t="str">
        <f ca="1">IFERROR(__xludf.DUMMYFUNCTION("""COMPUTED_VALUE"""),"Hostyánszky Kristóf")</f>
        <v>Hostyánszky Kristóf</v>
      </c>
      <c r="C1396" s="1"/>
      <c r="D1396" s="1" t="str">
        <f ca="1">IFERROR(__xludf.DUMMYFUNCTION("""COMPUTED_VALUE"""),"Férfi")</f>
        <v>Férfi</v>
      </c>
      <c r="E1396" s="1"/>
      <c r="F1396" s="1">
        <f ca="1">IFERROR(__xludf.DUMMYFUNCTION("""COMPUTED_VALUE"""),2008)</f>
        <v>2008</v>
      </c>
      <c r="G1396" s="1">
        <f ca="1">IFERROR(__xludf.DUMMYFUNCTION("""COMPUTED_VALUE"""),4037)</f>
        <v>4037</v>
      </c>
      <c r="H1396" s="1" t="str">
        <f ca="1">IFERROR(__xludf.DUMMYFUNCTION("""COMPUTED_VALUE"""),"MTLSZ004037A21")</f>
        <v>MTLSZ004037A21</v>
      </c>
      <c r="I1396" s="2">
        <f ca="1">IFERROR(__xludf.DUMMYFUNCTION("""COMPUTED_VALUE"""),44198)</f>
        <v>44198</v>
      </c>
      <c r="J1396" s="2">
        <f ca="1">IFERROR(__xludf.DUMMYFUNCTION("""COMPUTED_VALUE"""),44562)</f>
        <v>44562</v>
      </c>
    </row>
    <row r="1397" spans="1:10" x14ac:dyDescent="0.25">
      <c r="A1397" s="1" t="str">
        <f ca="1">IFERROR(__xludf.DUMMYFUNCTION("""COMPUTED_VALUE"""),"Klébi DSE")</f>
        <v>Klébi DSE</v>
      </c>
      <c r="B1397" s="1" t="str">
        <f ca="1">IFERROR(__xludf.DUMMYFUNCTION("""COMPUTED_VALUE"""),"Jáger Ákos")</f>
        <v>Jáger Ákos</v>
      </c>
      <c r="C1397" s="1"/>
      <c r="D1397" s="1" t="str">
        <f ca="1">IFERROR(__xludf.DUMMYFUNCTION("""COMPUTED_VALUE"""),"Férfi")</f>
        <v>Férfi</v>
      </c>
      <c r="E1397" s="1"/>
      <c r="F1397" s="1">
        <f ca="1">IFERROR(__xludf.DUMMYFUNCTION("""COMPUTED_VALUE"""),1979)</f>
        <v>1979</v>
      </c>
      <c r="G1397" s="1">
        <f ca="1">IFERROR(__xludf.DUMMYFUNCTION("""COMPUTED_VALUE"""),4038)</f>
        <v>4038</v>
      </c>
      <c r="H1397" s="1" t="str">
        <f ca="1">IFERROR(__xludf.DUMMYFUNCTION("""COMPUTED_VALUE"""),"MTLSZ004038A21")</f>
        <v>MTLSZ004038A21</v>
      </c>
      <c r="I1397" s="2">
        <f ca="1">IFERROR(__xludf.DUMMYFUNCTION("""COMPUTED_VALUE"""),44198)</f>
        <v>44198</v>
      </c>
      <c r="J1397" s="2">
        <f ca="1">IFERROR(__xludf.DUMMYFUNCTION("""COMPUTED_VALUE"""),44562)</f>
        <v>44562</v>
      </c>
    </row>
    <row r="1398" spans="1:10" x14ac:dyDescent="0.25">
      <c r="A1398" s="1" t="str">
        <f ca="1">IFERROR(__xludf.DUMMYFUNCTION("""COMPUTED_VALUE"""),"Klébi DSE")</f>
        <v>Klébi DSE</v>
      </c>
      <c r="B1398" s="1" t="str">
        <f ca="1">IFERROR(__xludf.DUMMYFUNCTION("""COMPUTED_VALUE"""),"Kerner Menyhért")</f>
        <v>Kerner Menyhért</v>
      </c>
      <c r="C1398" s="1"/>
      <c r="D1398" s="1" t="str">
        <f ca="1">IFERROR(__xludf.DUMMYFUNCTION("""COMPUTED_VALUE"""),"Férfi")</f>
        <v>Férfi</v>
      </c>
      <c r="E1398" s="1"/>
      <c r="F1398" s="1">
        <f ca="1">IFERROR(__xludf.DUMMYFUNCTION("""COMPUTED_VALUE"""),1972)</f>
        <v>1972</v>
      </c>
      <c r="G1398" s="1">
        <f ca="1">IFERROR(__xludf.DUMMYFUNCTION("""COMPUTED_VALUE"""),4039)</f>
        <v>4039</v>
      </c>
      <c r="H1398" s="1" t="str">
        <f ca="1">IFERROR(__xludf.DUMMYFUNCTION("""COMPUTED_VALUE"""),"MTLSZ004039A21")</f>
        <v>MTLSZ004039A21</v>
      </c>
      <c r="I1398" s="2">
        <f ca="1">IFERROR(__xludf.DUMMYFUNCTION("""COMPUTED_VALUE"""),44198)</f>
        <v>44198</v>
      </c>
      <c r="J1398" s="2">
        <f ca="1">IFERROR(__xludf.DUMMYFUNCTION("""COMPUTED_VALUE"""),44562)</f>
        <v>44562</v>
      </c>
    </row>
    <row r="1399" spans="1:10" x14ac:dyDescent="0.25">
      <c r="A1399" s="1" t="str">
        <f ca="1">IFERROR(__xludf.DUMMYFUNCTION("""COMPUTED_VALUE"""),"Klébi DSE")</f>
        <v>Klébi DSE</v>
      </c>
      <c r="B1399" s="1" t="str">
        <f ca="1">IFERROR(__xludf.DUMMYFUNCTION("""COMPUTED_VALUE"""),"Komoróczki Marcell")</f>
        <v>Komoróczki Marcell</v>
      </c>
      <c r="C1399" s="1"/>
      <c r="D1399" s="1" t="str">
        <f ca="1">IFERROR(__xludf.DUMMYFUNCTION("""COMPUTED_VALUE"""),"Férfi")</f>
        <v>Férfi</v>
      </c>
      <c r="E1399" s="1"/>
      <c r="F1399" s="1">
        <f ca="1">IFERROR(__xludf.DUMMYFUNCTION("""COMPUTED_VALUE"""),2008)</f>
        <v>2008</v>
      </c>
      <c r="G1399" s="1">
        <f ca="1">IFERROR(__xludf.DUMMYFUNCTION("""COMPUTED_VALUE"""),4040)</f>
        <v>4040</v>
      </c>
      <c r="H1399" s="1" t="str">
        <f ca="1">IFERROR(__xludf.DUMMYFUNCTION("""COMPUTED_VALUE"""),"MTLSZ004040A21")</f>
        <v>MTLSZ004040A21</v>
      </c>
      <c r="I1399" s="2">
        <f ca="1">IFERROR(__xludf.DUMMYFUNCTION("""COMPUTED_VALUE"""),44198)</f>
        <v>44198</v>
      </c>
      <c r="J1399" s="2">
        <f ca="1">IFERROR(__xludf.DUMMYFUNCTION("""COMPUTED_VALUE"""),44562)</f>
        <v>44562</v>
      </c>
    </row>
    <row r="1400" spans="1:10" x14ac:dyDescent="0.25">
      <c r="A1400" s="1" t="str">
        <f ca="1">IFERROR(__xludf.DUMMYFUNCTION("""COMPUTED_VALUE"""),"Klébi DSE")</f>
        <v>Klébi DSE</v>
      </c>
      <c r="B1400" s="1" t="str">
        <f ca="1">IFERROR(__xludf.DUMMYFUNCTION("""COMPUTED_VALUE"""),"Komoróczki Olivér")</f>
        <v>Komoróczki Olivér</v>
      </c>
      <c r="C1400" s="1"/>
      <c r="D1400" s="1" t="str">
        <f ca="1">IFERROR(__xludf.DUMMYFUNCTION("""COMPUTED_VALUE"""),"Férfi")</f>
        <v>Férfi</v>
      </c>
      <c r="E1400" s="1"/>
      <c r="F1400" s="1">
        <f ca="1">IFERROR(__xludf.DUMMYFUNCTION("""COMPUTED_VALUE"""),2011)</f>
        <v>2011</v>
      </c>
      <c r="G1400" s="1">
        <f ca="1">IFERROR(__xludf.DUMMYFUNCTION("""COMPUTED_VALUE"""),4041)</f>
        <v>4041</v>
      </c>
      <c r="H1400" s="1" t="str">
        <f ca="1">IFERROR(__xludf.DUMMYFUNCTION("""COMPUTED_VALUE"""),"MTLSZ004041A21")</f>
        <v>MTLSZ004041A21</v>
      </c>
      <c r="I1400" s="2">
        <f ca="1">IFERROR(__xludf.DUMMYFUNCTION("""COMPUTED_VALUE"""),44198)</f>
        <v>44198</v>
      </c>
      <c r="J1400" s="2">
        <f ca="1">IFERROR(__xludf.DUMMYFUNCTION("""COMPUTED_VALUE"""),44562)</f>
        <v>44562</v>
      </c>
    </row>
    <row r="1401" spans="1:10" x14ac:dyDescent="0.25">
      <c r="A1401" s="1" t="str">
        <f ca="1">IFERROR(__xludf.DUMMYFUNCTION("""COMPUTED_VALUE"""),"Klébi DSE")</f>
        <v>Klébi DSE</v>
      </c>
      <c r="B1401" s="1" t="str">
        <f ca="1">IFERROR(__xludf.DUMMYFUNCTION("""COMPUTED_VALUE"""),"Kránicz Botond")</f>
        <v>Kránicz Botond</v>
      </c>
      <c r="C1401" s="1"/>
      <c r="D1401" s="1" t="str">
        <f ca="1">IFERROR(__xludf.DUMMYFUNCTION("""COMPUTED_VALUE"""),"Férfi")</f>
        <v>Férfi</v>
      </c>
      <c r="E1401" s="1"/>
      <c r="F1401" s="1">
        <f ca="1">IFERROR(__xludf.DUMMYFUNCTION("""COMPUTED_VALUE"""),1995)</f>
        <v>1995</v>
      </c>
      <c r="G1401" s="1">
        <f ca="1">IFERROR(__xludf.DUMMYFUNCTION("""COMPUTED_VALUE"""),4042)</f>
        <v>4042</v>
      </c>
      <c r="H1401" s="1" t="str">
        <f ca="1">IFERROR(__xludf.DUMMYFUNCTION("""COMPUTED_VALUE"""),"MTLSZ004042A21")</f>
        <v>MTLSZ004042A21</v>
      </c>
      <c r="I1401" s="2">
        <f ca="1">IFERROR(__xludf.DUMMYFUNCTION("""COMPUTED_VALUE"""),44198)</f>
        <v>44198</v>
      </c>
      <c r="J1401" s="2">
        <f ca="1">IFERROR(__xludf.DUMMYFUNCTION("""COMPUTED_VALUE"""),44562)</f>
        <v>44562</v>
      </c>
    </row>
    <row r="1402" spans="1:10" x14ac:dyDescent="0.25">
      <c r="A1402" s="1" t="str">
        <f ca="1">IFERROR(__xludf.DUMMYFUNCTION("""COMPUTED_VALUE"""),"Klébi DSE")</f>
        <v>Klébi DSE</v>
      </c>
      <c r="B1402" s="1" t="str">
        <f ca="1">IFERROR(__xludf.DUMMYFUNCTION("""COMPUTED_VALUE"""),"Laczkó Zoltán")</f>
        <v>Laczkó Zoltán</v>
      </c>
      <c r="C1402" s="1"/>
      <c r="D1402" s="1" t="str">
        <f ca="1">IFERROR(__xludf.DUMMYFUNCTION("""COMPUTED_VALUE"""),"Férfi")</f>
        <v>Férfi</v>
      </c>
      <c r="E1402" s="1"/>
      <c r="F1402" s="1">
        <f ca="1">IFERROR(__xludf.DUMMYFUNCTION("""COMPUTED_VALUE"""),1969)</f>
        <v>1969</v>
      </c>
      <c r="G1402" s="1">
        <f ca="1">IFERROR(__xludf.DUMMYFUNCTION("""COMPUTED_VALUE"""),4055)</f>
        <v>4055</v>
      </c>
      <c r="H1402" s="1" t="str">
        <f ca="1">IFERROR(__xludf.DUMMYFUNCTION("""COMPUTED_VALUE"""),"MTLSZ004055A21")</f>
        <v>MTLSZ004055A21</v>
      </c>
      <c r="I1402" s="2">
        <f ca="1">IFERROR(__xludf.DUMMYFUNCTION("""COMPUTED_VALUE"""),44198)</f>
        <v>44198</v>
      </c>
      <c r="J1402" s="2">
        <f ca="1">IFERROR(__xludf.DUMMYFUNCTION("""COMPUTED_VALUE"""),44562)</f>
        <v>44562</v>
      </c>
    </row>
    <row r="1403" spans="1:10" x14ac:dyDescent="0.25">
      <c r="A1403" s="1" t="str">
        <f ca="1">IFERROR(__xludf.DUMMYFUNCTION("""COMPUTED_VALUE"""),"Klébi DSE")</f>
        <v>Klébi DSE</v>
      </c>
      <c r="B1403" s="1" t="str">
        <f ca="1">IFERROR(__xludf.DUMMYFUNCTION("""COMPUTED_VALUE"""),"Landi Zoltán")</f>
        <v>Landi Zoltán</v>
      </c>
      <c r="C1403" s="1"/>
      <c r="D1403" s="1" t="str">
        <f ca="1">IFERROR(__xludf.DUMMYFUNCTION("""COMPUTED_VALUE"""),"Férfi")</f>
        <v>Férfi</v>
      </c>
      <c r="E1403" s="1"/>
      <c r="F1403" s="1">
        <f ca="1">IFERROR(__xludf.DUMMYFUNCTION("""COMPUTED_VALUE"""),1964)</f>
        <v>1964</v>
      </c>
      <c r="G1403" s="1">
        <f ca="1">IFERROR(__xludf.DUMMYFUNCTION("""COMPUTED_VALUE"""),2459)</f>
        <v>2459</v>
      </c>
      <c r="H1403" s="1" t="str">
        <f ca="1">IFERROR(__xludf.DUMMYFUNCTION("""COMPUTED_VALUE"""),"MTLSZ002459A21")</f>
        <v>MTLSZ002459A21</v>
      </c>
      <c r="I1403" s="2">
        <f ca="1">IFERROR(__xludf.DUMMYFUNCTION("""COMPUTED_VALUE"""),44198)</f>
        <v>44198</v>
      </c>
      <c r="J1403" s="2">
        <f ca="1">IFERROR(__xludf.DUMMYFUNCTION("""COMPUTED_VALUE"""),44562)</f>
        <v>44562</v>
      </c>
    </row>
    <row r="1404" spans="1:10" x14ac:dyDescent="0.25">
      <c r="A1404" s="1" t="str">
        <f ca="1">IFERROR(__xludf.DUMMYFUNCTION("""COMPUTED_VALUE"""),"Klébi DSE")</f>
        <v>Klébi DSE</v>
      </c>
      <c r="B1404" s="1" t="str">
        <f ca="1">IFERROR(__xludf.DUMMYFUNCTION("""COMPUTED_VALUE"""),"Medovarszky Tamás")</f>
        <v>Medovarszky Tamás</v>
      </c>
      <c r="C1404" s="1"/>
      <c r="D1404" s="1" t="str">
        <f ca="1">IFERROR(__xludf.DUMMYFUNCTION("""COMPUTED_VALUE"""),"Férfi")</f>
        <v>Férfi</v>
      </c>
      <c r="E1404" s="1"/>
      <c r="F1404" s="1">
        <f ca="1">IFERROR(__xludf.DUMMYFUNCTION("""COMPUTED_VALUE"""),1972)</f>
        <v>1972</v>
      </c>
      <c r="G1404" s="1">
        <f ca="1">IFERROR(__xludf.DUMMYFUNCTION("""COMPUTED_VALUE"""),2446)</f>
        <v>2446</v>
      </c>
      <c r="H1404" s="1" t="str">
        <f ca="1">IFERROR(__xludf.DUMMYFUNCTION("""COMPUTED_VALUE"""),"MTLSZ002446A21")</f>
        <v>MTLSZ002446A21</v>
      </c>
      <c r="I1404" s="2">
        <f ca="1">IFERROR(__xludf.DUMMYFUNCTION("""COMPUTED_VALUE"""),44198)</f>
        <v>44198</v>
      </c>
      <c r="J1404" s="2">
        <f ca="1">IFERROR(__xludf.DUMMYFUNCTION("""COMPUTED_VALUE"""),44562)</f>
        <v>44562</v>
      </c>
    </row>
    <row r="1405" spans="1:10" x14ac:dyDescent="0.25">
      <c r="A1405" s="1" t="str">
        <f ca="1">IFERROR(__xludf.DUMMYFUNCTION("""COMPUTED_VALUE"""),"Klébi DSE")</f>
        <v>Klébi DSE</v>
      </c>
      <c r="B1405" s="1" t="str">
        <f ca="1">IFERROR(__xludf.DUMMYFUNCTION("""COMPUTED_VALUE"""),"Mikic Djordje")</f>
        <v>Mikic Djordje</v>
      </c>
      <c r="C1405" s="1"/>
      <c r="D1405" s="1" t="str">
        <f ca="1">IFERROR(__xludf.DUMMYFUNCTION("""COMPUTED_VALUE"""),"Férfi")</f>
        <v>Férfi</v>
      </c>
      <c r="E1405" s="1"/>
      <c r="F1405" s="1">
        <f ca="1">IFERROR(__xludf.DUMMYFUNCTION("""COMPUTED_VALUE"""),1965)</f>
        <v>1965</v>
      </c>
      <c r="G1405" s="1">
        <f ca="1">IFERROR(__xludf.DUMMYFUNCTION("""COMPUTED_VALUE"""),4044)</f>
        <v>4044</v>
      </c>
      <c r="H1405" s="1" t="str">
        <f ca="1">IFERROR(__xludf.DUMMYFUNCTION("""COMPUTED_VALUE"""),"MTLSZ004044A21")</f>
        <v>MTLSZ004044A21</v>
      </c>
      <c r="I1405" s="2">
        <f ca="1">IFERROR(__xludf.DUMMYFUNCTION("""COMPUTED_VALUE"""),44198)</f>
        <v>44198</v>
      </c>
      <c r="J1405" s="2">
        <f ca="1">IFERROR(__xludf.DUMMYFUNCTION("""COMPUTED_VALUE"""),44562)</f>
        <v>44562</v>
      </c>
    </row>
    <row r="1406" spans="1:10" x14ac:dyDescent="0.25">
      <c r="A1406" s="1" t="str">
        <f ca="1">IFERROR(__xludf.DUMMYFUNCTION("""COMPUTED_VALUE"""),"Klébi DSE")</f>
        <v>Klébi DSE</v>
      </c>
      <c r="B1406" s="1" t="str">
        <f ca="1">IFERROR(__xludf.DUMMYFUNCTION("""COMPUTED_VALUE"""),"Moar Nikolett")</f>
        <v>Moar Nikolett</v>
      </c>
      <c r="C1406" s="1"/>
      <c r="D1406" s="1" t="str">
        <f ca="1">IFERROR(__xludf.DUMMYFUNCTION("""COMPUTED_VALUE"""),"Nő")</f>
        <v>Nő</v>
      </c>
      <c r="E1406" s="1"/>
      <c r="F1406" s="1">
        <f ca="1">IFERROR(__xludf.DUMMYFUNCTION("""COMPUTED_VALUE"""),1977)</f>
        <v>1977</v>
      </c>
      <c r="G1406" s="1">
        <f ca="1">IFERROR(__xludf.DUMMYFUNCTION("""COMPUTED_VALUE"""),2677)</f>
        <v>2677</v>
      </c>
      <c r="H1406" s="1" t="str">
        <f ca="1">IFERROR(__xludf.DUMMYFUNCTION("""COMPUTED_VALUE"""),"MTLSZ002677A21")</f>
        <v>MTLSZ002677A21</v>
      </c>
      <c r="I1406" s="2">
        <f ca="1">IFERROR(__xludf.DUMMYFUNCTION("""COMPUTED_VALUE"""),44198)</f>
        <v>44198</v>
      </c>
      <c r="J1406" s="2">
        <f ca="1">IFERROR(__xludf.DUMMYFUNCTION("""COMPUTED_VALUE"""),44562)</f>
        <v>44562</v>
      </c>
    </row>
    <row r="1407" spans="1:10" x14ac:dyDescent="0.25">
      <c r="A1407" s="1" t="str">
        <f ca="1">IFERROR(__xludf.DUMMYFUNCTION("""COMPUTED_VALUE"""),"Klébi DSE")</f>
        <v>Klébi DSE</v>
      </c>
      <c r="B1407" s="1" t="str">
        <f ca="1">IFERROR(__xludf.DUMMYFUNCTION("""COMPUTED_VALUE"""),"Pál Tamás")</f>
        <v>Pál Tamás</v>
      </c>
      <c r="C1407" s="1"/>
      <c r="D1407" s="1" t="str">
        <f ca="1">IFERROR(__xludf.DUMMYFUNCTION("""COMPUTED_VALUE"""),"Férfi")</f>
        <v>Férfi</v>
      </c>
      <c r="E1407" s="1"/>
      <c r="F1407" s="1">
        <f ca="1">IFERROR(__xludf.DUMMYFUNCTION("""COMPUTED_VALUE"""),1974)</f>
        <v>1974</v>
      </c>
      <c r="G1407" s="1">
        <f ca="1">IFERROR(__xludf.DUMMYFUNCTION("""COMPUTED_VALUE"""),4046)</f>
        <v>4046</v>
      </c>
      <c r="H1407" s="1" t="str">
        <f ca="1">IFERROR(__xludf.DUMMYFUNCTION("""COMPUTED_VALUE"""),"MTLSZ004046A21")</f>
        <v>MTLSZ004046A21</v>
      </c>
      <c r="I1407" s="2">
        <f ca="1">IFERROR(__xludf.DUMMYFUNCTION("""COMPUTED_VALUE"""),44198)</f>
        <v>44198</v>
      </c>
      <c r="J1407" s="2">
        <f ca="1">IFERROR(__xludf.DUMMYFUNCTION("""COMPUTED_VALUE"""),44562)</f>
        <v>44562</v>
      </c>
    </row>
    <row r="1408" spans="1:10" x14ac:dyDescent="0.25">
      <c r="A1408" s="1" t="str">
        <f ca="1">IFERROR(__xludf.DUMMYFUNCTION("""COMPUTED_VALUE"""),"Klébi DSE")</f>
        <v>Klébi DSE</v>
      </c>
      <c r="B1408" s="1" t="str">
        <f ca="1">IFERROR(__xludf.DUMMYFUNCTION("""COMPUTED_VALUE"""),"Piukovics Zsombor Milán")</f>
        <v>Piukovics Zsombor Milán</v>
      </c>
      <c r="C1408" s="1"/>
      <c r="D1408" s="1" t="str">
        <f ca="1">IFERROR(__xludf.DUMMYFUNCTION("""COMPUTED_VALUE"""),"Férfi")</f>
        <v>Férfi</v>
      </c>
      <c r="E1408" s="1"/>
      <c r="F1408" s="1">
        <f ca="1">IFERROR(__xludf.DUMMYFUNCTION("""COMPUTED_VALUE"""),2008)</f>
        <v>2008</v>
      </c>
      <c r="G1408" s="1">
        <f ca="1">IFERROR(__xludf.DUMMYFUNCTION("""COMPUTED_VALUE"""),4047)</f>
        <v>4047</v>
      </c>
      <c r="H1408" s="1" t="str">
        <f ca="1">IFERROR(__xludf.DUMMYFUNCTION("""COMPUTED_VALUE"""),"MTLSZ004047A21")</f>
        <v>MTLSZ004047A21</v>
      </c>
      <c r="I1408" s="2">
        <f ca="1">IFERROR(__xludf.DUMMYFUNCTION("""COMPUTED_VALUE"""),44198)</f>
        <v>44198</v>
      </c>
      <c r="J1408" s="2">
        <f ca="1">IFERROR(__xludf.DUMMYFUNCTION("""COMPUTED_VALUE"""),44562)</f>
        <v>44562</v>
      </c>
    </row>
    <row r="1409" spans="1:10" x14ac:dyDescent="0.25">
      <c r="A1409" s="1" t="str">
        <f ca="1">IFERROR(__xludf.DUMMYFUNCTION("""COMPUTED_VALUE"""),"Klébi DSE")</f>
        <v>Klébi DSE</v>
      </c>
      <c r="B1409" s="1" t="str">
        <f ca="1">IFERROR(__xludf.DUMMYFUNCTION("""COMPUTED_VALUE"""),"Pozsgay Judit")</f>
        <v>Pozsgay Judit</v>
      </c>
      <c r="C1409" s="1"/>
      <c r="D1409" s="1" t="str">
        <f ca="1">IFERROR(__xludf.DUMMYFUNCTION("""COMPUTED_VALUE"""),"Nő")</f>
        <v>Nő</v>
      </c>
      <c r="E1409" s="1"/>
      <c r="F1409" s="1">
        <f ca="1">IFERROR(__xludf.DUMMYFUNCTION("""COMPUTED_VALUE"""),1984)</f>
        <v>1984</v>
      </c>
      <c r="G1409" s="1">
        <f ca="1">IFERROR(__xludf.DUMMYFUNCTION("""COMPUTED_VALUE"""),4048)</f>
        <v>4048</v>
      </c>
      <c r="H1409" s="1" t="str">
        <f ca="1">IFERROR(__xludf.DUMMYFUNCTION("""COMPUTED_VALUE"""),"MTLSZ004048A21")</f>
        <v>MTLSZ004048A21</v>
      </c>
      <c r="I1409" s="2">
        <f ca="1">IFERROR(__xludf.DUMMYFUNCTION("""COMPUTED_VALUE"""),44198)</f>
        <v>44198</v>
      </c>
      <c r="J1409" s="2">
        <f ca="1">IFERROR(__xludf.DUMMYFUNCTION("""COMPUTED_VALUE"""),44562)</f>
        <v>44562</v>
      </c>
    </row>
    <row r="1410" spans="1:10" x14ac:dyDescent="0.25">
      <c r="A1410" s="1" t="str">
        <f ca="1">IFERROR(__xludf.DUMMYFUNCTION("""COMPUTED_VALUE"""),"Klébi DSE")</f>
        <v>Klébi DSE</v>
      </c>
      <c r="B1410" s="1" t="str">
        <f ca="1">IFERROR(__xludf.DUMMYFUNCTION("""COMPUTED_VALUE"""),"Pozsgay Zsófia")</f>
        <v>Pozsgay Zsófia</v>
      </c>
      <c r="C1410" s="1"/>
      <c r="D1410" s="1" t="str">
        <f ca="1">IFERROR(__xludf.DUMMYFUNCTION("""COMPUTED_VALUE"""),"Nő")</f>
        <v>Nő</v>
      </c>
      <c r="E1410" s="1"/>
      <c r="F1410" s="1">
        <f ca="1">IFERROR(__xludf.DUMMYFUNCTION("""COMPUTED_VALUE"""),1984)</f>
        <v>1984</v>
      </c>
      <c r="G1410" s="1">
        <f ca="1">IFERROR(__xludf.DUMMYFUNCTION("""COMPUTED_VALUE"""),4049)</f>
        <v>4049</v>
      </c>
      <c r="H1410" s="1" t="str">
        <f ca="1">IFERROR(__xludf.DUMMYFUNCTION("""COMPUTED_VALUE"""),"MTLSZ004049A21")</f>
        <v>MTLSZ004049A21</v>
      </c>
      <c r="I1410" s="2">
        <f ca="1">IFERROR(__xludf.DUMMYFUNCTION("""COMPUTED_VALUE"""),44198)</f>
        <v>44198</v>
      </c>
      <c r="J1410" s="2">
        <f ca="1">IFERROR(__xludf.DUMMYFUNCTION("""COMPUTED_VALUE"""),44562)</f>
        <v>44562</v>
      </c>
    </row>
    <row r="1411" spans="1:10" x14ac:dyDescent="0.25">
      <c r="A1411" s="1" t="str">
        <f ca="1">IFERROR(__xludf.DUMMYFUNCTION("""COMPUTED_VALUE"""),"Klébi DSE")</f>
        <v>Klébi DSE</v>
      </c>
      <c r="B1411" s="1" t="str">
        <f ca="1">IFERROR(__xludf.DUMMYFUNCTION("""COMPUTED_VALUE"""),"Sulyok Tamás")</f>
        <v>Sulyok Tamás</v>
      </c>
      <c r="C1411" s="1"/>
      <c r="D1411" s="1" t="str">
        <f ca="1">IFERROR(__xludf.DUMMYFUNCTION("""COMPUTED_VALUE"""),"Férfi")</f>
        <v>Férfi</v>
      </c>
      <c r="E1411" s="1"/>
      <c r="F1411" s="1">
        <f ca="1">IFERROR(__xludf.DUMMYFUNCTION("""COMPUTED_VALUE"""),1968)</f>
        <v>1968</v>
      </c>
      <c r="G1411" s="1">
        <f ca="1">IFERROR(__xludf.DUMMYFUNCTION("""COMPUTED_VALUE"""),4050)</f>
        <v>4050</v>
      </c>
      <c r="H1411" s="1" t="str">
        <f ca="1">IFERROR(__xludf.DUMMYFUNCTION("""COMPUTED_VALUE"""),"MTLSZ004050A21")</f>
        <v>MTLSZ004050A21</v>
      </c>
      <c r="I1411" s="2">
        <f ca="1">IFERROR(__xludf.DUMMYFUNCTION("""COMPUTED_VALUE"""),44198)</f>
        <v>44198</v>
      </c>
      <c r="J1411" s="2">
        <f ca="1">IFERROR(__xludf.DUMMYFUNCTION("""COMPUTED_VALUE"""),44562)</f>
        <v>44562</v>
      </c>
    </row>
    <row r="1412" spans="1:10" x14ac:dyDescent="0.25">
      <c r="A1412" s="1" t="str">
        <f ca="1">IFERROR(__xludf.DUMMYFUNCTION("""COMPUTED_VALUE"""),"Klébi DSE")</f>
        <v>Klébi DSE</v>
      </c>
      <c r="B1412" s="1" t="str">
        <f ca="1">IFERROR(__xludf.DUMMYFUNCTION("""COMPUTED_VALUE"""),"Szabó László")</f>
        <v>Szabó László</v>
      </c>
      <c r="C1412" s="1"/>
      <c r="D1412" s="1" t="str">
        <f ca="1">IFERROR(__xludf.DUMMYFUNCTION("""COMPUTED_VALUE"""),"Férfi")</f>
        <v>Férfi</v>
      </c>
      <c r="E1412" s="1"/>
      <c r="F1412" s="1">
        <f ca="1">IFERROR(__xludf.DUMMYFUNCTION("""COMPUTED_VALUE"""),1956)</f>
        <v>1956</v>
      </c>
      <c r="G1412" s="1">
        <f ca="1">IFERROR(__xludf.DUMMYFUNCTION("""COMPUTED_VALUE"""),2032)</f>
        <v>2032</v>
      </c>
      <c r="H1412" s="1" t="str">
        <f ca="1">IFERROR(__xludf.DUMMYFUNCTION("""COMPUTED_VALUE"""),"MTLSZ002032A21")</f>
        <v>MTLSZ002032A21</v>
      </c>
      <c r="I1412" s="2">
        <f ca="1">IFERROR(__xludf.DUMMYFUNCTION("""COMPUTED_VALUE"""),44198)</f>
        <v>44198</v>
      </c>
      <c r="J1412" s="2">
        <f ca="1">IFERROR(__xludf.DUMMYFUNCTION("""COMPUTED_VALUE"""),44562)</f>
        <v>44562</v>
      </c>
    </row>
    <row r="1413" spans="1:10" x14ac:dyDescent="0.25">
      <c r="A1413" s="1" t="str">
        <f ca="1">IFERROR(__xludf.DUMMYFUNCTION("""COMPUTED_VALUE"""),"Klébi DSE")</f>
        <v>Klébi DSE</v>
      </c>
      <c r="B1413" s="1" t="str">
        <f ca="1">IFERROR(__xludf.DUMMYFUNCTION("""COMPUTED_VALUE"""),"Szalóky László")</f>
        <v>Szalóky László</v>
      </c>
      <c r="C1413" s="1"/>
      <c r="D1413" s="1" t="str">
        <f ca="1">IFERROR(__xludf.DUMMYFUNCTION("""COMPUTED_VALUE"""),"Férfi")</f>
        <v>Férfi</v>
      </c>
      <c r="E1413" s="1"/>
      <c r="F1413" s="1">
        <f ca="1">IFERROR(__xludf.DUMMYFUNCTION("""COMPUTED_VALUE"""),1974)</f>
        <v>1974</v>
      </c>
      <c r="G1413" s="1">
        <f ca="1">IFERROR(__xludf.DUMMYFUNCTION("""COMPUTED_VALUE"""),4051)</f>
        <v>4051</v>
      </c>
      <c r="H1413" s="1" t="str">
        <f ca="1">IFERROR(__xludf.DUMMYFUNCTION("""COMPUTED_VALUE"""),"MTLSZ004051A21")</f>
        <v>MTLSZ004051A21</v>
      </c>
      <c r="I1413" s="2">
        <f ca="1">IFERROR(__xludf.DUMMYFUNCTION("""COMPUTED_VALUE"""),44198)</f>
        <v>44198</v>
      </c>
      <c r="J1413" s="2">
        <f ca="1">IFERROR(__xludf.DUMMYFUNCTION("""COMPUTED_VALUE"""),44562)</f>
        <v>44562</v>
      </c>
    </row>
    <row r="1414" spans="1:10" x14ac:dyDescent="0.25">
      <c r="A1414" s="1" t="str">
        <f ca="1">IFERROR(__xludf.DUMMYFUNCTION("""COMPUTED_VALUE"""),"Klébi DSE")</f>
        <v>Klébi DSE</v>
      </c>
      <c r="B1414" s="1" t="str">
        <f ca="1">IFERROR(__xludf.DUMMYFUNCTION("""COMPUTED_VALUE"""),"Szentirmai-Zöld Máté")</f>
        <v>Szentirmai-Zöld Máté</v>
      </c>
      <c r="C1414" s="1"/>
      <c r="D1414" s="1" t="str">
        <f ca="1">IFERROR(__xludf.DUMMYFUNCTION("""COMPUTED_VALUE"""),"Férfi")</f>
        <v>Férfi</v>
      </c>
      <c r="E1414" s="1"/>
      <c r="F1414" s="1">
        <f ca="1">IFERROR(__xludf.DUMMYFUNCTION("""COMPUTED_VALUE"""),1975)</f>
        <v>1975</v>
      </c>
      <c r="G1414" s="1">
        <f ca="1">IFERROR(__xludf.DUMMYFUNCTION("""COMPUTED_VALUE"""),4052)</f>
        <v>4052</v>
      </c>
      <c r="H1414" s="1" t="str">
        <f ca="1">IFERROR(__xludf.DUMMYFUNCTION("""COMPUTED_VALUE"""),"MTLSZ004052A21")</f>
        <v>MTLSZ004052A21</v>
      </c>
      <c r="I1414" s="2">
        <f ca="1">IFERROR(__xludf.DUMMYFUNCTION("""COMPUTED_VALUE"""),44198)</f>
        <v>44198</v>
      </c>
      <c r="J1414" s="2">
        <f ca="1">IFERROR(__xludf.DUMMYFUNCTION("""COMPUTED_VALUE"""),44562)</f>
        <v>44562</v>
      </c>
    </row>
    <row r="1415" spans="1:10" x14ac:dyDescent="0.25">
      <c r="A1415" s="1" t="str">
        <f ca="1">IFERROR(__xludf.DUMMYFUNCTION("""COMPUTED_VALUE"""),"Klébi DSE")</f>
        <v>Klébi DSE</v>
      </c>
      <c r="B1415" s="1" t="str">
        <f ca="1">IFERROR(__xludf.DUMMYFUNCTION("""COMPUTED_VALUE"""),"Szilágyi Márton Áron")</f>
        <v>Szilágyi Márton Áron</v>
      </c>
      <c r="C1415" s="1"/>
      <c r="D1415" s="1" t="str">
        <f ca="1">IFERROR(__xludf.DUMMYFUNCTION("""COMPUTED_VALUE"""),"Férfi")</f>
        <v>Férfi</v>
      </c>
      <c r="E1415" s="1"/>
      <c r="F1415" s="1">
        <f ca="1">IFERROR(__xludf.DUMMYFUNCTION("""COMPUTED_VALUE"""),1994)</f>
        <v>1994</v>
      </c>
      <c r="G1415" s="1">
        <f ca="1">IFERROR(__xludf.DUMMYFUNCTION("""COMPUTED_VALUE"""),1754)</f>
        <v>1754</v>
      </c>
      <c r="H1415" s="1" t="str">
        <f ca="1">IFERROR(__xludf.DUMMYFUNCTION("""COMPUTED_VALUE"""),"MTLSZ001754A21")</f>
        <v>MTLSZ001754A21</v>
      </c>
      <c r="I1415" s="2">
        <f ca="1">IFERROR(__xludf.DUMMYFUNCTION("""COMPUTED_VALUE"""),44198)</f>
        <v>44198</v>
      </c>
      <c r="J1415" s="2">
        <f ca="1">IFERROR(__xludf.DUMMYFUNCTION("""COMPUTED_VALUE"""),44562)</f>
        <v>44562</v>
      </c>
    </row>
    <row r="1416" spans="1:10" x14ac:dyDescent="0.25">
      <c r="A1416" s="1" t="str">
        <f ca="1">IFERROR(__xludf.DUMMYFUNCTION("""COMPUTED_VALUE"""),"Klébi DSE")</f>
        <v>Klébi DSE</v>
      </c>
      <c r="B1416" s="1" t="str">
        <f ca="1">IFERROR(__xludf.DUMMYFUNCTION("""COMPUTED_VALUE"""),"Tóth Samu")</f>
        <v>Tóth Samu</v>
      </c>
      <c r="C1416" s="1"/>
      <c r="D1416" s="1" t="str">
        <f ca="1">IFERROR(__xludf.DUMMYFUNCTION("""COMPUTED_VALUE"""),"Férfi")</f>
        <v>Férfi</v>
      </c>
      <c r="E1416" s="1"/>
      <c r="F1416" s="1">
        <f ca="1">IFERROR(__xludf.DUMMYFUNCTION("""COMPUTED_VALUE"""),2008)</f>
        <v>2008</v>
      </c>
      <c r="G1416" s="1">
        <f ca="1">IFERROR(__xludf.DUMMYFUNCTION("""COMPUTED_VALUE"""),4053)</f>
        <v>4053</v>
      </c>
      <c r="H1416" s="1" t="str">
        <f ca="1">IFERROR(__xludf.DUMMYFUNCTION("""COMPUTED_VALUE"""),"MTLSZ004053A21")</f>
        <v>MTLSZ004053A21</v>
      </c>
      <c r="I1416" s="2">
        <f ca="1">IFERROR(__xludf.DUMMYFUNCTION("""COMPUTED_VALUE"""),44198)</f>
        <v>44198</v>
      </c>
      <c r="J1416" s="2">
        <f ca="1">IFERROR(__xludf.DUMMYFUNCTION("""COMPUTED_VALUE"""),44562)</f>
        <v>44562</v>
      </c>
    </row>
    <row r="1417" spans="1:10" x14ac:dyDescent="0.25">
      <c r="A1417" s="1" t="str">
        <f ca="1">IFERROR(__xludf.DUMMYFUNCTION("""COMPUTED_VALUE"""),"Klébi DSE")</f>
        <v>Klébi DSE</v>
      </c>
      <c r="B1417" s="1" t="str">
        <f ca="1">IFERROR(__xludf.DUMMYFUNCTION("""COMPUTED_VALUE"""),"Walter Géza")</f>
        <v>Walter Géza</v>
      </c>
      <c r="C1417" s="1"/>
      <c r="D1417" s="1" t="str">
        <f ca="1">IFERROR(__xludf.DUMMYFUNCTION("""COMPUTED_VALUE"""),"Férfi")</f>
        <v>Férfi</v>
      </c>
      <c r="E1417" s="1"/>
      <c r="F1417" s="1">
        <f ca="1">IFERROR(__xludf.DUMMYFUNCTION("""COMPUTED_VALUE"""),1976)</f>
        <v>1976</v>
      </c>
      <c r="G1417" s="1">
        <f ca="1">IFERROR(__xludf.DUMMYFUNCTION("""COMPUTED_VALUE"""),4054)</f>
        <v>4054</v>
      </c>
      <c r="H1417" s="1" t="str">
        <f ca="1">IFERROR(__xludf.DUMMYFUNCTION("""COMPUTED_VALUE"""),"MTLSZ004054A21")</f>
        <v>MTLSZ004054A21</v>
      </c>
      <c r="I1417" s="2">
        <f ca="1">IFERROR(__xludf.DUMMYFUNCTION("""COMPUTED_VALUE"""),44198)</f>
        <v>44198</v>
      </c>
      <c r="J1417" s="2">
        <f ca="1">IFERROR(__xludf.DUMMYFUNCTION("""COMPUTED_VALUE"""),44562)</f>
        <v>44562</v>
      </c>
    </row>
    <row r="1418" spans="1:10" x14ac:dyDescent="0.25">
      <c r="A1418" s="1" t="str">
        <f ca="1">IFERROR(__xludf.DUMMYFUNCTION("""COMPUTED_VALUE"""),"Klébi DSE")</f>
        <v>Klébi DSE</v>
      </c>
      <c r="B1418" s="1"/>
      <c r="C1418" s="1"/>
      <c r="D1418" s="1"/>
      <c r="E1418" s="1"/>
      <c r="F1418" s="1">
        <f ca="1">IFERROR(__xludf.DUMMYFUNCTION("""COMPUTED_VALUE"""),1899)</f>
        <v>1899</v>
      </c>
      <c r="G1418" s="1">
        <f ca="1">IFERROR(__xludf.DUMMYFUNCTION("""COMPUTED_VALUE"""),4045)</f>
        <v>4045</v>
      </c>
      <c r="H1418" s="1"/>
      <c r="I1418" s="2">
        <f ca="1">IFERROR(__xludf.DUMMYFUNCTION("""COMPUTED_VALUE"""),44198)</f>
        <v>44198</v>
      </c>
      <c r="J1418" s="2">
        <f ca="1">IFERROR(__xludf.DUMMYFUNCTION("""COMPUTED_VALUE"""),44562)</f>
        <v>44562</v>
      </c>
    </row>
    <row r="1419" spans="1:10" x14ac:dyDescent="0.25">
      <c r="A1419" s="1" t="str">
        <f ca="1">IFERROR(__xludf.DUMMYFUNCTION("""COMPUTED_VALUE"""),"Életmód SE")</f>
        <v>Életmód SE</v>
      </c>
      <c r="B1419" s="1" t="str">
        <f ca="1">IFERROR(__xludf.DUMMYFUNCTION("""COMPUTED_VALUE"""),"Balla Ferenc")</f>
        <v>Balla Ferenc</v>
      </c>
      <c r="C1419" s="1"/>
      <c r="D1419" s="1" t="str">
        <f ca="1">IFERROR(__xludf.DUMMYFUNCTION("""COMPUTED_VALUE"""),"Férfi")</f>
        <v>Férfi</v>
      </c>
      <c r="E1419" s="1"/>
      <c r="F1419" s="1">
        <f ca="1">IFERROR(__xludf.DUMMYFUNCTION("""COMPUTED_VALUE"""),1990)</f>
        <v>1990</v>
      </c>
      <c r="G1419" s="1">
        <f ca="1">IFERROR(__xludf.DUMMYFUNCTION("""COMPUTED_VALUE"""),4024)</f>
        <v>4024</v>
      </c>
      <c r="H1419" s="1" t="str">
        <f ca="1">IFERROR(__xludf.DUMMYFUNCTION("""COMPUTED_VALUE"""),"MTLSZ004024A20")</f>
        <v>MTLSZ004024A20</v>
      </c>
      <c r="I1419" s="2">
        <f ca="1">IFERROR(__xludf.DUMMYFUNCTION("""COMPUTED_VALUE"""),44195)</f>
        <v>44195</v>
      </c>
      <c r="J1419" s="2">
        <f ca="1">IFERROR(__xludf.DUMMYFUNCTION("""COMPUTED_VALUE"""),44559)</f>
        <v>44559</v>
      </c>
    </row>
    <row r="1420" spans="1:10" x14ac:dyDescent="0.25">
      <c r="A1420" s="1" t="str">
        <f ca="1">IFERROR(__xludf.DUMMYFUNCTION("""COMPUTED_VALUE"""),"Életmód SE")</f>
        <v>Életmód SE</v>
      </c>
      <c r="B1420" s="1" t="str">
        <f ca="1">IFERROR(__xludf.DUMMYFUNCTION("""COMPUTED_VALUE"""),"Semsei Tamás")</f>
        <v>Semsei Tamás</v>
      </c>
      <c r="C1420" s="1"/>
      <c r="D1420" s="1" t="str">
        <f ca="1">IFERROR(__xludf.DUMMYFUNCTION("""COMPUTED_VALUE"""),"Férfi")</f>
        <v>Férfi</v>
      </c>
      <c r="E1420" s="1"/>
      <c r="F1420" s="1">
        <f ca="1">IFERROR(__xludf.DUMMYFUNCTION("""COMPUTED_VALUE"""),2008)</f>
        <v>2008</v>
      </c>
      <c r="G1420" s="1">
        <f ca="1">IFERROR(__xludf.DUMMYFUNCTION("""COMPUTED_VALUE"""),4025)</f>
        <v>4025</v>
      </c>
      <c r="H1420" s="1" t="str">
        <f ca="1">IFERROR(__xludf.DUMMYFUNCTION("""COMPUTED_VALUE"""),"MTLSZ004025A20")</f>
        <v>MTLSZ004025A20</v>
      </c>
      <c r="I1420" s="2">
        <f ca="1">IFERROR(__xludf.DUMMYFUNCTION("""COMPUTED_VALUE"""),44195)</f>
        <v>44195</v>
      </c>
      <c r="J1420" s="2">
        <f ca="1">IFERROR(__xludf.DUMMYFUNCTION("""COMPUTED_VALUE"""),44559)</f>
        <v>44559</v>
      </c>
    </row>
    <row r="1421" spans="1:10" x14ac:dyDescent="0.25">
      <c r="A1421" s="1" t="str">
        <f ca="1">IFERROR(__xludf.DUMMYFUNCTION("""COMPUTED_VALUE"""),"Életmód SE")</f>
        <v>Életmód SE</v>
      </c>
      <c r="B1421" s="1" t="str">
        <f ca="1">IFERROR(__xludf.DUMMYFUNCTION("""COMPUTED_VALUE"""),"Tóth László")</f>
        <v>Tóth László</v>
      </c>
      <c r="C1421" s="1"/>
      <c r="D1421" s="1" t="str">
        <f ca="1">IFERROR(__xludf.DUMMYFUNCTION("""COMPUTED_VALUE"""),"Férfi")</f>
        <v>Férfi</v>
      </c>
      <c r="E1421" s="1"/>
      <c r="F1421" s="1">
        <f ca="1">IFERROR(__xludf.DUMMYFUNCTION("""COMPUTED_VALUE"""),1974)</f>
        <v>1974</v>
      </c>
      <c r="G1421" s="1">
        <f ca="1">IFERROR(__xludf.DUMMYFUNCTION("""COMPUTED_VALUE"""),4026)</f>
        <v>4026</v>
      </c>
      <c r="H1421" s="1" t="str">
        <f ca="1">IFERROR(__xludf.DUMMYFUNCTION("""COMPUTED_VALUE"""),"MTLSZ004026A20")</f>
        <v>MTLSZ004026A20</v>
      </c>
      <c r="I1421" s="2">
        <f ca="1">IFERROR(__xludf.DUMMYFUNCTION("""COMPUTED_VALUE"""),44195)</f>
        <v>44195</v>
      </c>
      <c r="J1421" s="2">
        <f ca="1">IFERROR(__xludf.DUMMYFUNCTION("""COMPUTED_VALUE"""),44559)</f>
        <v>44559</v>
      </c>
    </row>
    <row r="1422" spans="1:10" x14ac:dyDescent="0.25">
      <c r="A1422" s="1" t="str">
        <f ca="1">IFERROR(__xludf.DUMMYFUNCTION("""COMPUTED_VALUE"""),"Szegedi TSE")</f>
        <v>Szegedi TSE</v>
      </c>
      <c r="B1422" s="1" t="str">
        <f ca="1">IFERROR(__xludf.DUMMYFUNCTION("""COMPUTED_VALUE"""),"Bozsik Tibor")</f>
        <v>Bozsik Tibor</v>
      </c>
      <c r="C1422" s="1"/>
      <c r="D1422" s="1" t="str">
        <f ca="1">IFERROR(__xludf.DUMMYFUNCTION("""COMPUTED_VALUE"""),"Férfi")</f>
        <v>Férfi</v>
      </c>
      <c r="E1422" s="1"/>
      <c r="F1422" s="1">
        <f ca="1">IFERROR(__xludf.DUMMYFUNCTION("""COMPUTED_VALUE"""),1962)</f>
        <v>1962</v>
      </c>
      <c r="G1422" s="1">
        <f ca="1">IFERROR(__xludf.DUMMYFUNCTION("""COMPUTED_VALUE"""),3944)</f>
        <v>3944</v>
      </c>
      <c r="H1422" s="1" t="str">
        <f ca="1">IFERROR(__xludf.DUMMYFUNCTION("""COMPUTED_VALUE"""),"MTLSZ003944A20")</f>
        <v>MTLSZ003944A20</v>
      </c>
      <c r="I1422" s="2">
        <f ca="1">IFERROR(__xludf.DUMMYFUNCTION("""COMPUTED_VALUE"""),44194)</f>
        <v>44194</v>
      </c>
      <c r="J1422" s="2">
        <f ca="1">IFERROR(__xludf.DUMMYFUNCTION("""COMPUTED_VALUE"""),44558)</f>
        <v>44558</v>
      </c>
    </row>
    <row r="1423" spans="1:10" x14ac:dyDescent="0.25">
      <c r="A1423" s="1" t="str">
        <f ca="1">IFERROR(__xludf.DUMMYFUNCTION("""COMPUTED_VALUE"""),"Szegedi TSE")</f>
        <v>Szegedi TSE</v>
      </c>
      <c r="B1423" s="1" t="str">
        <f ca="1">IFERROR(__xludf.DUMMYFUNCTION("""COMPUTED_VALUE"""),"Hajdu Tamás")</f>
        <v>Hajdu Tamás</v>
      </c>
      <c r="C1423" s="1"/>
      <c r="D1423" s="1" t="str">
        <f ca="1">IFERROR(__xludf.DUMMYFUNCTION("""COMPUTED_VALUE"""),"Férfi")</f>
        <v>Férfi</v>
      </c>
      <c r="E1423" s="1"/>
      <c r="F1423" s="1">
        <f ca="1">IFERROR(__xludf.DUMMYFUNCTION("""COMPUTED_VALUE"""),1958)</f>
        <v>1958</v>
      </c>
      <c r="G1423" s="1">
        <f ca="1">IFERROR(__xludf.DUMMYFUNCTION("""COMPUTED_VALUE"""),333)</f>
        <v>333</v>
      </c>
      <c r="H1423" s="1" t="str">
        <f ca="1">IFERROR(__xludf.DUMMYFUNCTION("""COMPUTED_VALUE"""),"MTLSZ000333A20")</f>
        <v>MTLSZ000333A20</v>
      </c>
      <c r="I1423" s="2">
        <f ca="1">IFERROR(__xludf.DUMMYFUNCTION("""COMPUTED_VALUE"""),44194)</f>
        <v>44194</v>
      </c>
      <c r="J1423" s="2">
        <f ca="1">IFERROR(__xludf.DUMMYFUNCTION("""COMPUTED_VALUE"""),44558)</f>
        <v>44558</v>
      </c>
    </row>
    <row r="1424" spans="1:10" x14ac:dyDescent="0.25">
      <c r="A1424" s="1" t="str">
        <f ca="1">IFERROR(__xludf.DUMMYFUNCTION("""COMPUTED_VALUE"""),"Szegedi TSE")</f>
        <v>Szegedi TSE</v>
      </c>
      <c r="B1424" s="1" t="str">
        <f ca="1">IFERROR(__xludf.DUMMYFUNCTION("""COMPUTED_VALUE"""),"Jánosiné Canjavec Judit")</f>
        <v>Jánosiné Canjavec Judit</v>
      </c>
      <c r="C1424" s="1"/>
      <c r="D1424" s="1" t="str">
        <f ca="1">IFERROR(__xludf.DUMMYFUNCTION("""COMPUTED_VALUE"""),"Nő")</f>
        <v>Nő</v>
      </c>
      <c r="E1424" s="1"/>
      <c r="F1424" s="1">
        <f ca="1">IFERROR(__xludf.DUMMYFUNCTION("""COMPUTED_VALUE"""),1971)</f>
        <v>1971</v>
      </c>
      <c r="G1424" s="1">
        <f ca="1">IFERROR(__xludf.DUMMYFUNCTION("""COMPUTED_VALUE"""),4021)</f>
        <v>4021</v>
      </c>
      <c r="H1424" s="1" t="str">
        <f ca="1">IFERROR(__xludf.DUMMYFUNCTION("""COMPUTED_VALUE"""),"MTLSZ004021A20")</f>
        <v>MTLSZ004021A20</v>
      </c>
      <c r="I1424" s="2">
        <f ca="1">IFERROR(__xludf.DUMMYFUNCTION("""COMPUTED_VALUE"""),44194)</f>
        <v>44194</v>
      </c>
      <c r="J1424" s="2">
        <f ca="1">IFERROR(__xludf.DUMMYFUNCTION("""COMPUTED_VALUE"""),44558)</f>
        <v>44558</v>
      </c>
    </row>
    <row r="1425" spans="1:10" x14ac:dyDescent="0.25">
      <c r="A1425" s="1" t="str">
        <f ca="1">IFERROR(__xludf.DUMMYFUNCTION("""COMPUTED_VALUE"""),"Szegedi TSE")</f>
        <v>Szegedi TSE</v>
      </c>
      <c r="B1425" s="1" t="str">
        <f ca="1">IFERROR(__xludf.DUMMYFUNCTION("""COMPUTED_VALUE"""),"Pap Zsolt")</f>
        <v>Pap Zsolt</v>
      </c>
      <c r="C1425" s="1"/>
      <c r="D1425" s="1" t="str">
        <f ca="1">IFERROR(__xludf.DUMMYFUNCTION("""COMPUTED_VALUE"""),"Férfi")</f>
        <v>Férfi</v>
      </c>
      <c r="E1425" s="1"/>
      <c r="F1425" s="1">
        <f ca="1">IFERROR(__xludf.DUMMYFUNCTION("""COMPUTED_VALUE"""),1973)</f>
        <v>1973</v>
      </c>
      <c r="G1425" s="1">
        <f ca="1">IFERROR(__xludf.DUMMYFUNCTION("""COMPUTED_VALUE"""),754)</f>
        <v>754</v>
      </c>
      <c r="H1425" s="1" t="str">
        <f ca="1">IFERROR(__xludf.DUMMYFUNCTION("""COMPUTED_VALUE"""),"MTLSZ000754A20")</f>
        <v>MTLSZ000754A20</v>
      </c>
      <c r="I1425" s="2">
        <f ca="1">IFERROR(__xludf.DUMMYFUNCTION("""COMPUTED_VALUE"""),44194)</f>
        <v>44194</v>
      </c>
      <c r="J1425" s="2">
        <f ca="1">IFERROR(__xludf.DUMMYFUNCTION("""COMPUTED_VALUE"""),44558)</f>
        <v>44558</v>
      </c>
    </row>
    <row r="1426" spans="1:10" x14ac:dyDescent="0.25">
      <c r="A1426" s="1" t="str">
        <f ca="1">IFERROR(__xludf.DUMMYFUNCTION("""COMPUTED_VALUE"""),"Szegedi TSE")</f>
        <v>Szegedi TSE</v>
      </c>
      <c r="B1426" s="1" t="str">
        <f ca="1">IFERROR(__xludf.DUMMYFUNCTION("""COMPUTED_VALUE"""),"Sára Levente")</f>
        <v>Sára Levente</v>
      </c>
      <c r="C1426" s="1"/>
      <c r="D1426" s="1" t="str">
        <f ca="1">IFERROR(__xludf.DUMMYFUNCTION("""COMPUTED_VALUE"""),"Férfi")</f>
        <v>Férfi</v>
      </c>
      <c r="E1426" s="1"/>
      <c r="F1426" s="1">
        <f ca="1">IFERROR(__xludf.DUMMYFUNCTION("""COMPUTED_VALUE"""),1975)</f>
        <v>1975</v>
      </c>
      <c r="G1426" s="1">
        <f ca="1">IFERROR(__xludf.DUMMYFUNCTION("""COMPUTED_VALUE"""),4022)</f>
        <v>4022</v>
      </c>
      <c r="H1426" s="1" t="str">
        <f ca="1">IFERROR(__xludf.DUMMYFUNCTION("""COMPUTED_VALUE"""),"MTLSZ004022A20")</f>
        <v>MTLSZ004022A20</v>
      </c>
      <c r="I1426" s="2">
        <f ca="1">IFERROR(__xludf.DUMMYFUNCTION("""COMPUTED_VALUE"""),44194)</f>
        <v>44194</v>
      </c>
      <c r="J1426" s="2">
        <f ca="1">IFERROR(__xludf.DUMMYFUNCTION("""COMPUTED_VALUE"""),44558)</f>
        <v>44558</v>
      </c>
    </row>
    <row r="1427" spans="1:10" x14ac:dyDescent="0.25">
      <c r="A1427" s="1" t="str">
        <f ca="1">IFERROR(__xludf.DUMMYFUNCTION("""COMPUTED_VALUE"""),"Tisza TSE")</f>
        <v>Tisza TSE</v>
      </c>
      <c r="B1427" s="1" t="str">
        <f ca="1">IFERROR(__xludf.DUMMYFUNCTION("""COMPUTED_VALUE"""),"Boda Boglárka")</f>
        <v>Boda Boglárka</v>
      </c>
      <c r="C1427" s="1"/>
      <c r="D1427" s="1" t="str">
        <f ca="1">IFERROR(__xludf.DUMMYFUNCTION("""COMPUTED_VALUE"""),"Nő")</f>
        <v>Nő</v>
      </c>
      <c r="E1427" s="1"/>
      <c r="F1427" s="1">
        <f ca="1">IFERROR(__xludf.DUMMYFUNCTION("""COMPUTED_VALUE"""),1996)</f>
        <v>1996</v>
      </c>
      <c r="G1427" s="1">
        <f ca="1">IFERROR(__xludf.DUMMYFUNCTION("""COMPUTED_VALUE"""),1872)</f>
        <v>1872</v>
      </c>
      <c r="H1427" s="1" t="str">
        <f ca="1">IFERROR(__xludf.DUMMYFUNCTION("""COMPUTED_VALUE"""),"MTLSZ001872A20")</f>
        <v>MTLSZ001872A20</v>
      </c>
      <c r="I1427" s="2">
        <f ca="1">IFERROR(__xludf.DUMMYFUNCTION("""COMPUTED_VALUE"""),44194)</f>
        <v>44194</v>
      </c>
      <c r="J1427" s="2">
        <f ca="1">IFERROR(__xludf.DUMMYFUNCTION("""COMPUTED_VALUE"""),44558)</f>
        <v>44558</v>
      </c>
    </row>
    <row r="1428" spans="1:10" x14ac:dyDescent="0.25">
      <c r="A1428" s="1" t="str">
        <f ca="1">IFERROR(__xludf.DUMMYFUNCTION("""COMPUTED_VALUE"""),"Formás SE")</f>
        <v>Formás SE</v>
      </c>
      <c r="B1428" s="1" t="str">
        <f ca="1">IFERROR(__xludf.DUMMYFUNCTION("""COMPUTED_VALUE"""),"Breglovics Dorottya")</f>
        <v>Breglovics Dorottya</v>
      </c>
      <c r="C1428" s="1"/>
      <c r="D1428" s="1" t="str">
        <f ca="1">IFERROR(__xludf.DUMMYFUNCTION("""COMPUTED_VALUE"""),"Nő")</f>
        <v>Nő</v>
      </c>
      <c r="E1428" s="1"/>
      <c r="F1428" s="1">
        <f ca="1">IFERROR(__xludf.DUMMYFUNCTION("""COMPUTED_VALUE"""),2008)</f>
        <v>2008</v>
      </c>
      <c r="G1428" s="1">
        <f ca="1">IFERROR(__xludf.DUMMYFUNCTION("""COMPUTED_VALUE"""),4017)</f>
        <v>4017</v>
      </c>
      <c r="H1428" s="1" t="str">
        <f ca="1">IFERROR(__xludf.DUMMYFUNCTION("""COMPUTED_VALUE"""),"MTLSZ004017A20")</f>
        <v>MTLSZ004017A20</v>
      </c>
      <c r="I1428" s="2">
        <f ca="1">IFERROR(__xludf.DUMMYFUNCTION("""COMPUTED_VALUE"""),44188)</f>
        <v>44188</v>
      </c>
      <c r="J1428" s="2">
        <f ca="1">IFERROR(__xludf.DUMMYFUNCTION("""COMPUTED_VALUE"""),44552)</f>
        <v>44552</v>
      </c>
    </row>
    <row r="1429" spans="1:10" x14ac:dyDescent="0.25">
      <c r="A1429" s="1" t="str">
        <f ca="1">IFERROR(__xludf.DUMMYFUNCTION("""COMPUTED_VALUE"""),"Keszthelyi TE")</f>
        <v>Keszthelyi TE</v>
      </c>
      <c r="B1429" s="1" t="str">
        <f ca="1">IFERROR(__xludf.DUMMYFUNCTION("""COMPUTED_VALUE"""),"Farkas Olivér")</f>
        <v>Farkas Olivér</v>
      </c>
      <c r="C1429" s="1"/>
      <c r="D1429" s="1" t="str">
        <f ca="1">IFERROR(__xludf.DUMMYFUNCTION("""COMPUTED_VALUE"""),"Férfi")</f>
        <v>Férfi</v>
      </c>
      <c r="E1429" s="1"/>
      <c r="F1429" s="1">
        <f ca="1">IFERROR(__xludf.DUMMYFUNCTION("""COMPUTED_VALUE"""),1969)</f>
        <v>1969</v>
      </c>
      <c r="G1429" s="1">
        <f ca="1">IFERROR(__xludf.DUMMYFUNCTION("""COMPUTED_VALUE"""),2465)</f>
        <v>2465</v>
      </c>
      <c r="H1429" s="1" t="str">
        <f ca="1">IFERROR(__xludf.DUMMYFUNCTION("""COMPUTED_VALUE"""),"MTLSZ002465A20")</f>
        <v>MTLSZ002465A20</v>
      </c>
      <c r="I1429" s="2">
        <f ca="1">IFERROR(__xludf.DUMMYFUNCTION("""COMPUTED_VALUE"""),44188)</f>
        <v>44188</v>
      </c>
      <c r="J1429" s="2">
        <f ca="1">IFERROR(__xludf.DUMMYFUNCTION("""COMPUTED_VALUE"""),44552)</f>
        <v>44552</v>
      </c>
    </row>
    <row r="1430" spans="1:10" x14ac:dyDescent="0.25">
      <c r="A1430" s="1" t="str">
        <f ca="1">IFERROR(__xludf.DUMMYFUNCTION("""COMPUTED_VALUE"""),"Ludovika SE")</f>
        <v>Ludovika SE</v>
      </c>
      <c r="B1430" s="1" t="str">
        <f ca="1">IFERROR(__xludf.DUMMYFUNCTION("""COMPUTED_VALUE"""),"Gál Anna Dr.")</f>
        <v>Gál Anna Dr.</v>
      </c>
      <c r="C1430" s="1"/>
      <c r="D1430" s="1" t="str">
        <f ca="1">IFERROR(__xludf.DUMMYFUNCTION("""COMPUTED_VALUE"""),"Nő")</f>
        <v>Nő</v>
      </c>
      <c r="E1430" s="1"/>
      <c r="F1430" s="1">
        <f ca="1">IFERROR(__xludf.DUMMYFUNCTION("""COMPUTED_VALUE"""),1970)</f>
        <v>1970</v>
      </c>
      <c r="G1430" s="1">
        <f ca="1">IFERROR(__xludf.DUMMYFUNCTION("""COMPUTED_VALUE"""),4020)</f>
        <v>4020</v>
      </c>
      <c r="H1430" s="1" t="str">
        <f ca="1">IFERROR(__xludf.DUMMYFUNCTION("""COMPUTED_VALUE"""),"MTLSZ004020A20")</f>
        <v>MTLSZ004020A20</v>
      </c>
      <c r="I1430" s="2">
        <f ca="1">IFERROR(__xludf.DUMMYFUNCTION("""COMPUTED_VALUE"""),44188)</f>
        <v>44188</v>
      </c>
      <c r="J1430" s="2">
        <f ca="1">IFERROR(__xludf.DUMMYFUNCTION("""COMPUTED_VALUE"""),44552)</f>
        <v>44552</v>
      </c>
    </row>
    <row r="1431" spans="1:10" x14ac:dyDescent="0.25">
      <c r="A1431" s="1" t="str">
        <f ca="1">IFERROR(__xludf.DUMMYFUNCTION("""COMPUTED_VALUE"""),"Ludovika SE")</f>
        <v>Ludovika SE</v>
      </c>
      <c r="B1431" s="1" t="str">
        <f ca="1">IFERROR(__xludf.DUMMYFUNCTION("""COMPUTED_VALUE"""),"Horváth László")</f>
        <v>Horváth László</v>
      </c>
      <c r="C1431" s="1"/>
      <c r="D1431" s="1" t="str">
        <f ca="1">IFERROR(__xludf.DUMMYFUNCTION("""COMPUTED_VALUE"""),"Férfi")</f>
        <v>Férfi</v>
      </c>
      <c r="E1431" s="1"/>
      <c r="F1431" s="1">
        <f ca="1">IFERROR(__xludf.DUMMYFUNCTION("""COMPUTED_VALUE"""),1956)</f>
        <v>1956</v>
      </c>
      <c r="G1431" s="1">
        <f ca="1">IFERROR(__xludf.DUMMYFUNCTION("""COMPUTED_VALUE"""),4019)</f>
        <v>4019</v>
      </c>
      <c r="H1431" s="1" t="str">
        <f ca="1">IFERROR(__xludf.DUMMYFUNCTION("""COMPUTED_VALUE"""),"MTLSZ004019A20")</f>
        <v>MTLSZ004019A20</v>
      </c>
      <c r="I1431" s="2">
        <f ca="1">IFERROR(__xludf.DUMMYFUNCTION("""COMPUTED_VALUE"""),44188)</f>
        <v>44188</v>
      </c>
      <c r="J1431" s="2">
        <f ca="1">IFERROR(__xludf.DUMMYFUNCTION("""COMPUTED_VALUE"""),44552)</f>
        <v>44552</v>
      </c>
    </row>
    <row r="1432" spans="1:10" x14ac:dyDescent="0.25">
      <c r="A1432" s="1" t="str">
        <f ca="1">IFERROR(__xludf.DUMMYFUNCTION("""COMPUTED_VALUE"""),"Ludovika SE")</f>
        <v>Ludovika SE</v>
      </c>
      <c r="B1432" s="1" t="str">
        <f ca="1">IFERROR(__xludf.DUMMYFUNCTION("""COMPUTED_VALUE"""),"Molnár Attila")</f>
        <v>Molnár Attila</v>
      </c>
      <c r="C1432" s="1"/>
      <c r="D1432" s="1" t="str">
        <f ca="1">IFERROR(__xludf.DUMMYFUNCTION("""COMPUTED_VALUE"""),"Férfi")</f>
        <v>Férfi</v>
      </c>
      <c r="E1432" s="1"/>
      <c r="F1432" s="1">
        <f ca="1">IFERROR(__xludf.DUMMYFUNCTION("""COMPUTED_VALUE"""),1980)</f>
        <v>1980</v>
      </c>
      <c r="G1432" s="1">
        <f ca="1">IFERROR(__xludf.DUMMYFUNCTION("""COMPUTED_VALUE"""),4018)</f>
        <v>4018</v>
      </c>
      <c r="H1432" s="1" t="str">
        <f ca="1">IFERROR(__xludf.DUMMYFUNCTION("""COMPUTED_VALUE"""),"MTLSZ004018A20")</f>
        <v>MTLSZ004018A20</v>
      </c>
      <c r="I1432" s="2">
        <f ca="1">IFERROR(__xludf.DUMMYFUNCTION("""COMPUTED_VALUE"""),44188)</f>
        <v>44188</v>
      </c>
      <c r="J1432" s="2">
        <f ca="1">IFERROR(__xludf.DUMMYFUNCTION("""COMPUTED_VALUE"""),44552)</f>
        <v>44552</v>
      </c>
    </row>
    <row r="1433" spans="1:10" x14ac:dyDescent="0.25">
      <c r="A1433" s="1" t="str">
        <f ca="1">IFERROR(__xludf.DUMMYFUNCTION("""COMPUTED_VALUE"""),"Verőcei DE")</f>
        <v>Verőcei DE</v>
      </c>
      <c r="B1433" s="1" t="str">
        <f ca="1">IFERROR(__xludf.DUMMYFUNCTION("""COMPUTED_VALUE"""),"Bartha Virág Eszter")</f>
        <v>Bartha Virág Eszter</v>
      </c>
      <c r="C1433" s="1"/>
      <c r="D1433" s="1" t="str">
        <f ca="1">IFERROR(__xludf.DUMMYFUNCTION("""COMPUTED_VALUE"""),"Nő")</f>
        <v>Nő</v>
      </c>
      <c r="E1433" s="1"/>
      <c r="F1433" s="1">
        <f ca="1">IFERROR(__xludf.DUMMYFUNCTION("""COMPUTED_VALUE"""),1999)</f>
        <v>1999</v>
      </c>
      <c r="G1433" s="1">
        <f ca="1">IFERROR(__xludf.DUMMYFUNCTION("""COMPUTED_VALUE"""),4016)</f>
        <v>4016</v>
      </c>
      <c r="H1433" s="1" t="str">
        <f ca="1">IFERROR(__xludf.DUMMYFUNCTION("""COMPUTED_VALUE"""),"MTLSZ004016A20")</f>
        <v>MTLSZ004016A20</v>
      </c>
      <c r="I1433" s="2">
        <f ca="1">IFERROR(__xludf.DUMMYFUNCTION("""COMPUTED_VALUE"""),44187)</f>
        <v>44187</v>
      </c>
      <c r="J1433" s="2">
        <f ca="1">IFERROR(__xludf.DUMMYFUNCTION("""COMPUTED_VALUE"""),44551)</f>
        <v>44551</v>
      </c>
    </row>
    <row r="1434" spans="1:10" x14ac:dyDescent="0.25">
      <c r="A1434" s="1" t="str">
        <f ca="1">IFERROR(__xludf.DUMMYFUNCTION("""COMPUTED_VALUE"""),"Életmód SE")</f>
        <v>Életmód SE</v>
      </c>
      <c r="B1434" s="1" t="str">
        <f ca="1">IFERROR(__xludf.DUMMYFUNCTION("""COMPUTED_VALUE"""),"Tóth Tibor")</f>
        <v>Tóth Tibor</v>
      </c>
      <c r="C1434" s="1"/>
      <c r="D1434" s="1" t="str">
        <f ca="1">IFERROR(__xludf.DUMMYFUNCTION("""COMPUTED_VALUE"""),"Férfi")</f>
        <v>Férfi</v>
      </c>
      <c r="E1434" s="1"/>
      <c r="F1434" s="1">
        <f ca="1">IFERROR(__xludf.DUMMYFUNCTION("""COMPUTED_VALUE"""),1985)</f>
        <v>1985</v>
      </c>
      <c r="G1434" s="1">
        <f ca="1">IFERROR(__xludf.DUMMYFUNCTION("""COMPUTED_VALUE"""),4013)</f>
        <v>4013</v>
      </c>
      <c r="H1434" s="1" t="str">
        <f ca="1">IFERROR(__xludf.DUMMYFUNCTION("""COMPUTED_VALUE"""),"MTLSZ004013A20")</f>
        <v>MTLSZ004013A20</v>
      </c>
      <c r="I1434" s="2">
        <f ca="1">IFERROR(__xludf.DUMMYFUNCTION("""COMPUTED_VALUE"""),44185)</f>
        <v>44185</v>
      </c>
      <c r="J1434" s="2">
        <f ca="1">IFERROR(__xludf.DUMMYFUNCTION("""COMPUTED_VALUE"""),44549)</f>
        <v>44549</v>
      </c>
    </row>
    <row r="1435" spans="1:10" x14ac:dyDescent="0.25">
      <c r="A1435" s="1" t="str">
        <f ca="1">IFERROR(__xludf.DUMMYFUNCTION("""COMPUTED_VALUE"""),"Dunakanyar TSE")</f>
        <v>Dunakanyar TSE</v>
      </c>
      <c r="B1435" s="1" t="str">
        <f ca="1">IFERROR(__xludf.DUMMYFUNCTION("""COMPUTED_VALUE"""),"Kiss László")</f>
        <v>Kiss László</v>
      </c>
      <c r="C1435" s="1"/>
      <c r="D1435" s="1" t="str">
        <f ca="1">IFERROR(__xludf.DUMMYFUNCTION("""COMPUTED_VALUE"""),"Férfi")</f>
        <v>Férfi</v>
      </c>
      <c r="E1435" s="1"/>
      <c r="F1435" s="1">
        <f ca="1">IFERROR(__xludf.DUMMYFUNCTION("""COMPUTED_VALUE"""),1975)</f>
        <v>1975</v>
      </c>
      <c r="G1435" s="1">
        <f ca="1">IFERROR(__xludf.DUMMYFUNCTION("""COMPUTED_VALUE"""),4012)</f>
        <v>4012</v>
      </c>
      <c r="H1435" s="1" t="str">
        <f ca="1">IFERROR(__xludf.DUMMYFUNCTION("""COMPUTED_VALUE"""),"MTLSZ004012A20")</f>
        <v>MTLSZ004012A20</v>
      </c>
      <c r="I1435" s="2">
        <f ca="1">IFERROR(__xludf.DUMMYFUNCTION("""COMPUTED_VALUE"""),44182)</f>
        <v>44182</v>
      </c>
      <c r="J1435" s="2">
        <f ca="1">IFERROR(__xludf.DUMMYFUNCTION("""COMPUTED_VALUE"""),44546)</f>
        <v>44546</v>
      </c>
    </row>
    <row r="1436" spans="1:10" x14ac:dyDescent="0.25">
      <c r="A1436" s="1" t="str">
        <f ca="1">IFERROR(__xludf.DUMMYFUNCTION("""COMPUTED_VALUE"""),"Dunakanyar TSE")</f>
        <v>Dunakanyar TSE</v>
      </c>
      <c r="B1436" s="1" t="str">
        <f ca="1">IFERROR(__xludf.DUMMYFUNCTION("""COMPUTED_VALUE"""),"Szőke Gábor")</f>
        <v>Szőke Gábor</v>
      </c>
      <c r="C1436" s="1"/>
      <c r="D1436" s="1" t="str">
        <f ca="1">IFERROR(__xludf.DUMMYFUNCTION("""COMPUTED_VALUE"""),"Férfi")</f>
        <v>Férfi</v>
      </c>
      <c r="E1436" s="1"/>
      <c r="F1436" s="1">
        <f ca="1">IFERROR(__xludf.DUMMYFUNCTION("""COMPUTED_VALUE"""),1964)</f>
        <v>1964</v>
      </c>
      <c r="G1436" s="1">
        <f ca="1">IFERROR(__xludf.DUMMYFUNCTION("""COMPUTED_VALUE"""),2036)</f>
        <v>2036</v>
      </c>
      <c r="H1436" s="1" t="str">
        <f ca="1">IFERROR(__xludf.DUMMYFUNCTION("""COMPUTED_VALUE"""),"MTLSZ002036A20")</f>
        <v>MTLSZ002036A20</v>
      </c>
      <c r="I1436" s="2">
        <f ca="1">IFERROR(__xludf.DUMMYFUNCTION("""COMPUTED_VALUE"""),44182)</f>
        <v>44182</v>
      </c>
      <c r="J1436" s="2">
        <f ca="1">IFERROR(__xludf.DUMMYFUNCTION("""COMPUTED_VALUE"""),44546)</f>
        <v>44546</v>
      </c>
    </row>
    <row r="1437" spans="1:10" x14ac:dyDescent="0.25">
      <c r="A1437" s="1" t="str">
        <f ca="1">IFERROR(__xludf.DUMMYFUNCTION("""COMPUTED_VALUE"""),"Gődi SE")</f>
        <v>Gődi SE</v>
      </c>
      <c r="B1437" s="1" t="str">
        <f ca="1">IFERROR(__xludf.DUMMYFUNCTION("""COMPUTED_VALUE"""),"Kun Eszter Janka")</f>
        <v>Kun Eszter Janka</v>
      </c>
      <c r="C1437" s="1"/>
      <c r="D1437" s="1" t="str">
        <f ca="1">IFERROR(__xludf.DUMMYFUNCTION("""COMPUTED_VALUE"""),"Nő")</f>
        <v>Nő</v>
      </c>
      <c r="E1437" s="1"/>
      <c r="F1437" s="1">
        <f ca="1">IFERROR(__xludf.DUMMYFUNCTION("""COMPUTED_VALUE"""),2008)</f>
        <v>2008</v>
      </c>
      <c r="G1437" s="1">
        <f ca="1">IFERROR(__xludf.DUMMYFUNCTION("""COMPUTED_VALUE"""),3005)</f>
        <v>3005</v>
      </c>
      <c r="H1437" s="1" t="str">
        <f ca="1">IFERROR(__xludf.DUMMYFUNCTION("""COMPUTED_VALUE"""),"MTLSZ003005A20")</f>
        <v>MTLSZ003005A20</v>
      </c>
      <c r="I1437" s="2">
        <f ca="1">IFERROR(__xludf.DUMMYFUNCTION("""COMPUTED_VALUE"""),44182)</f>
        <v>44182</v>
      </c>
      <c r="J1437" s="2">
        <f ca="1">IFERROR(__xludf.DUMMYFUNCTION("""COMPUTED_VALUE"""),44546)</f>
        <v>44546</v>
      </c>
    </row>
    <row r="1438" spans="1:10" x14ac:dyDescent="0.25">
      <c r="A1438" s="1" t="str">
        <f ca="1">IFERROR(__xludf.DUMMYFUNCTION("""COMPUTED_VALUE"""),"Gődi SE")</f>
        <v>Gődi SE</v>
      </c>
      <c r="B1438" s="1"/>
      <c r="C1438" s="1"/>
      <c r="D1438" s="1"/>
      <c r="E1438" s="1"/>
      <c r="F1438" s="1">
        <f ca="1">IFERROR(__xludf.DUMMYFUNCTION("""COMPUTED_VALUE"""),1899)</f>
        <v>1899</v>
      </c>
      <c r="G1438" s="1">
        <f ca="1">IFERROR(__xludf.DUMMYFUNCTION("""COMPUTED_VALUE"""),3999)</f>
        <v>3999</v>
      </c>
      <c r="H1438" s="1"/>
      <c r="I1438" s="2">
        <f ca="1">IFERROR(__xludf.DUMMYFUNCTION("""COMPUTED_VALUE"""),44182)</f>
        <v>44182</v>
      </c>
      <c r="J1438" s="2">
        <f ca="1">IFERROR(__xludf.DUMMYFUNCTION("""COMPUTED_VALUE"""),44546)</f>
        <v>44546</v>
      </c>
    </row>
    <row r="1439" spans="1:10" x14ac:dyDescent="0.25">
      <c r="A1439" s="1" t="str">
        <f ca="1">IFERROR(__xludf.DUMMYFUNCTION("""COMPUTED_VALUE"""),"Talentum TSE")</f>
        <v>Talentum TSE</v>
      </c>
      <c r="B1439" s="1" t="str">
        <f ca="1">IFERROR(__xludf.DUMMYFUNCTION("""COMPUTED_VALUE"""),"Zsoldos Péter")</f>
        <v>Zsoldos Péter</v>
      </c>
      <c r="C1439" s="1"/>
      <c r="D1439" s="1" t="str">
        <f ca="1">IFERROR(__xludf.DUMMYFUNCTION("""COMPUTED_VALUE"""),"Férfi")</f>
        <v>Férfi</v>
      </c>
      <c r="E1439" s="1"/>
      <c r="F1439" s="1">
        <f ca="1">IFERROR(__xludf.DUMMYFUNCTION("""COMPUTED_VALUE"""),1980)</f>
        <v>1980</v>
      </c>
      <c r="G1439" s="1">
        <f ca="1">IFERROR(__xludf.DUMMYFUNCTION("""COMPUTED_VALUE"""),1152)</f>
        <v>1152</v>
      </c>
      <c r="H1439" s="1" t="str">
        <f ca="1">IFERROR(__xludf.DUMMYFUNCTION("""COMPUTED_VALUE"""),"MTLSZ001152A20")</f>
        <v>MTLSZ001152A20</v>
      </c>
      <c r="I1439" s="2">
        <f ca="1">IFERROR(__xludf.DUMMYFUNCTION("""COMPUTED_VALUE"""),44182)</f>
        <v>44182</v>
      </c>
      <c r="J1439" s="2">
        <f ca="1">IFERROR(__xludf.DUMMYFUNCTION("""COMPUTED_VALUE"""),44546)</f>
        <v>44546</v>
      </c>
    </row>
    <row r="1440" spans="1:10" x14ac:dyDescent="0.25">
      <c r="A1440" s="1" t="str">
        <f ca="1">IFERROR(__xludf.DUMMYFUNCTION("""COMPUTED_VALUE"""),"T(r)ollas SE")</f>
        <v>T(r)ollas SE</v>
      </c>
      <c r="B1440" s="1" t="str">
        <f ca="1">IFERROR(__xludf.DUMMYFUNCTION("""COMPUTED_VALUE"""),"Bekó Ferenc")</f>
        <v>Bekó Ferenc</v>
      </c>
      <c r="C1440" s="1"/>
      <c r="D1440" s="1" t="str">
        <f ca="1">IFERROR(__xludf.DUMMYFUNCTION("""COMPUTED_VALUE"""),"Férfi")</f>
        <v>Férfi</v>
      </c>
      <c r="E1440" s="1"/>
      <c r="F1440" s="1">
        <f ca="1">IFERROR(__xludf.DUMMYFUNCTION("""COMPUTED_VALUE"""),1973)</f>
        <v>1973</v>
      </c>
      <c r="G1440" s="1">
        <f ca="1">IFERROR(__xludf.DUMMYFUNCTION("""COMPUTED_VALUE"""),2755)</f>
        <v>2755</v>
      </c>
      <c r="H1440" s="1" t="str">
        <f ca="1">IFERROR(__xludf.DUMMYFUNCTION("""COMPUTED_VALUE"""),"MTLSZ002755A20")</f>
        <v>MTLSZ002755A20</v>
      </c>
      <c r="I1440" s="2">
        <f ca="1">IFERROR(__xludf.DUMMYFUNCTION("""COMPUTED_VALUE"""),44182)</f>
        <v>44182</v>
      </c>
      <c r="J1440" s="2">
        <f ca="1">IFERROR(__xludf.DUMMYFUNCTION("""COMPUTED_VALUE"""),44546)</f>
        <v>44546</v>
      </c>
    </row>
    <row r="1441" spans="1:10" x14ac:dyDescent="0.25">
      <c r="A1441" s="1" t="str">
        <f ca="1">IFERROR(__xludf.DUMMYFUNCTION("""COMPUTED_VALUE"""),"T(r)ollas SE")</f>
        <v>T(r)ollas SE</v>
      </c>
      <c r="B1441" s="1" t="str">
        <f ca="1">IFERROR(__xludf.DUMMYFUNCTION("""COMPUTED_VALUE"""),"Berkes Jenő")</f>
        <v>Berkes Jenő</v>
      </c>
      <c r="C1441" s="1"/>
      <c r="D1441" s="1" t="str">
        <f ca="1">IFERROR(__xludf.DUMMYFUNCTION("""COMPUTED_VALUE"""),"Férfi")</f>
        <v>Férfi</v>
      </c>
      <c r="E1441" s="1"/>
      <c r="F1441" s="1">
        <f ca="1">IFERROR(__xludf.DUMMYFUNCTION("""COMPUTED_VALUE"""),1959)</f>
        <v>1959</v>
      </c>
      <c r="G1441" s="1">
        <f ca="1">IFERROR(__xludf.DUMMYFUNCTION("""COMPUTED_VALUE"""),4006)</f>
        <v>4006</v>
      </c>
      <c r="H1441" s="1" t="str">
        <f ca="1">IFERROR(__xludf.DUMMYFUNCTION("""COMPUTED_VALUE"""),"MTLSZ004006A20")</f>
        <v>MTLSZ004006A20</v>
      </c>
      <c r="I1441" s="2">
        <f ca="1">IFERROR(__xludf.DUMMYFUNCTION("""COMPUTED_VALUE"""),44182)</f>
        <v>44182</v>
      </c>
      <c r="J1441" s="2">
        <f ca="1">IFERROR(__xludf.DUMMYFUNCTION("""COMPUTED_VALUE"""),44546)</f>
        <v>44546</v>
      </c>
    </row>
    <row r="1442" spans="1:10" x14ac:dyDescent="0.25">
      <c r="A1442" s="1" t="str">
        <f ca="1">IFERROR(__xludf.DUMMYFUNCTION("""COMPUTED_VALUE"""),"T(r)ollas SE")</f>
        <v>T(r)ollas SE</v>
      </c>
      <c r="B1442" s="1" t="str">
        <f ca="1">IFERROR(__xludf.DUMMYFUNCTION("""COMPUTED_VALUE"""),"Fasimon Ferenc")</f>
        <v>Fasimon Ferenc</v>
      </c>
      <c r="C1442" s="1"/>
      <c r="D1442" s="1" t="str">
        <f ca="1">IFERROR(__xludf.DUMMYFUNCTION("""COMPUTED_VALUE"""),"Férfi")</f>
        <v>Férfi</v>
      </c>
      <c r="E1442" s="1"/>
      <c r="F1442" s="1">
        <f ca="1">IFERROR(__xludf.DUMMYFUNCTION("""COMPUTED_VALUE"""),1963)</f>
        <v>1963</v>
      </c>
      <c r="G1442" s="1">
        <f ca="1">IFERROR(__xludf.DUMMYFUNCTION("""COMPUTED_VALUE"""),4008)</f>
        <v>4008</v>
      </c>
      <c r="H1442" s="1" t="str">
        <f ca="1">IFERROR(__xludf.DUMMYFUNCTION("""COMPUTED_VALUE"""),"MTLSZ004008A20")</f>
        <v>MTLSZ004008A20</v>
      </c>
      <c r="I1442" s="2">
        <f ca="1">IFERROR(__xludf.DUMMYFUNCTION("""COMPUTED_VALUE"""),44182)</f>
        <v>44182</v>
      </c>
      <c r="J1442" s="2">
        <f ca="1">IFERROR(__xludf.DUMMYFUNCTION("""COMPUTED_VALUE"""),44546)</f>
        <v>44546</v>
      </c>
    </row>
    <row r="1443" spans="1:10" x14ac:dyDescent="0.25">
      <c r="A1443" s="1" t="str">
        <f ca="1">IFERROR(__xludf.DUMMYFUNCTION("""COMPUTED_VALUE"""),"T(r)ollas SE")</f>
        <v>T(r)ollas SE</v>
      </c>
      <c r="B1443" s="1" t="str">
        <f ca="1">IFERROR(__xludf.DUMMYFUNCTION("""COMPUTED_VALUE"""),"Joy P. Leslie")</f>
        <v>Joy P. Leslie</v>
      </c>
      <c r="C1443" s="1"/>
      <c r="D1443" s="1" t="str">
        <f ca="1">IFERROR(__xludf.DUMMYFUNCTION("""COMPUTED_VALUE"""),"Férfi")</f>
        <v>Férfi</v>
      </c>
      <c r="E1443" s="1"/>
      <c r="F1443" s="1">
        <f ca="1">IFERROR(__xludf.DUMMYFUNCTION("""COMPUTED_VALUE"""),1986)</f>
        <v>1986</v>
      </c>
      <c r="G1443" s="1">
        <f ca="1">IFERROR(__xludf.DUMMYFUNCTION("""COMPUTED_VALUE"""),4010)</f>
        <v>4010</v>
      </c>
      <c r="H1443" s="1" t="str">
        <f ca="1">IFERROR(__xludf.DUMMYFUNCTION("""COMPUTED_VALUE"""),"MTLSZ004010A20")</f>
        <v>MTLSZ004010A20</v>
      </c>
      <c r="I1443" s="2">
        <f ca="1">IFERROR(__xludf.DUMMYFUNCTION("""COMPUTED_VALUE"""),44182)</f>
        <v>44182</v>
      </c>
      <c r="J1443" s="2">
        <f ca="1">IFERROR(__xludf.DUMMYFUNCTION("""COMPUTED_VALUE"""),44546)</f>
        <v>44546</v>
      </c>
    </row>
    <row r="1444" spans="1:10" x14ac:dyDescent="0.25">
      <c r="A1444" s="1" t="str">
        <f ca="1">IFERROR(__xludf.DUMMYFUNCTION("""COMPUTED_VALUE"""),"T(r)ollas SE")</f>
        <v>T(r)ollas SE</v>
      </c>
      <c r="B1444" s="1" t="str">
        <f ca="1">IFERROR(__xludf.DUMMYFUNCTION("""COMPUTED_VALUE"""),"Kiss Árpád")</f>
        <v>Kiss Árpád</v>
      </c>
      <c r="C1444" s="1"/>
      <c r="D1444" s="1" t="str">
        <f ca="1">IFERROR(__xludf.DUMMYFUNCTION("""COMPUTED_VALUE"""),"Férfi")</f>
        <v>Férfi</v>
      </c>
      <c r="E1444" s="1"/>
      <c r="F1444" s="1">
        <f ca="1">IFERROR(__xludf.DUMMYFUNCTION("""COMPUTED_VALUE"""),1965)</f>
        <v>1965</v>
      </c>
      <c r="G1444" s="1">
        <f ca="1">IFERROR(__xludf.DUMMYFUNCTION("""COMPUTED_VALUE"""),4007)</f>
        <v>4007</v>
      </c>
      <c r="H1444" s="1" t="str">
        <f ca="1">IFERROR(__xludf.DUMMYFUNCTION("""COMPUTED_VALUE"""),"MTLSZ004007A20")</f>
        <v>MTLSZ004007A20</v>
      </c>
      <c r="I1444" s="2">
        <f ca="1">IFERROR(__xludf.DUMMYFUNCTION("""COMPUTED_VALUE"""),44182)</f>
        <v>44182</v>
      </c>
      <c r="J1444" s="2">
        <f ca="1">IFERROR(__xludf.DUMMYFUNCTION("""COMPUTED_VALUE"""),44546)</f>
        <v>44546</v>
      </c>
    </row>
    <row r="1445" spans="1:10" x14ac:dyDescent="0.25">
      <c r="A1445" s="1" t="str">
        <f ca="1">IFERROR(__xludf.DUMMYFUNCTION("""COMPUTED_VALUE"""),"T(r)ollas SE")</f>
        <v>T(r)ollas SE</v>
      </c>
      <c r="B1445" s="1" t="str">
        <f ca="1">IFERROR(__xludf.DUMMYFUNCTION("""COMPUTED_VALUE"""),"Kovács Péter")</f>
        <v>Kovács Péter</v>
      </c>
      <c r="C1445" s="1"/>
      <c r="D1445" s="1" t="str">
        <f ca="1">IFERROR(__xludf.DUMMYFUNCTION("""COMPUTED_VALUE"""),"Férfi")</f>
        <v>Férfi</v>
      </c>
      <c r="E1445" s="1"/>
      <c r="F1445" s="1">
        <f ca="1">IFERROR(__xludf.DUMMYFUNCTION("""COMPUTED_VALUE"""),1963)</f>
        <v>1963</v>
      </c>
      <c r="G1445" s="1">
        <f ca="1">IFERROR(__xludf.DUMMYFUNCTION("""COMPUTED_VALUE"""),4001)</f>
        <v>4001</v>
      </c>
      <c r="H1445" s="1" t="str">
        <f ca="1">IFERROR(__xludf.DUMMYFUNCTION("""COMPUTED_VALUE"""),"MTLSZ004001A20")</f>
        <v>MTLSZ004001A20</v>
      </c>
      <c r="I1445" s="2">
        <f ca="1">IFERROR(__xludf.DUMMYFUNCTION("""COMPUTED_VALUE"""),44182)</f>
        <v>44182</v>
      </c>
      <c r="J1445" s="2">
        <f ca="1">IFERROR(__xludf.DUMMYFUNCTION("""COMPUTED_VALUE"""),44546)</f>
        <v>44546</v>
      </c>
    </row>
    <row r="1446" spans="1:10" x14ac:dyDescent="0.25">
      <c r="A1446" s="1" t="str">
        <f ca="1">IFERROR(__xludf.DUMMYFUNCTION("""COMPUTED_VALUE"""),"T(r)ollas SE")</f>
        <v>T(r)ollas SE</v>
      </c>
      <c r="B1446" s="1" t="str">
        <f ca="1">IFERROR(__xludf.DUMMYFUNCTION("""COMPUTED_VALUE"""),"Krishnan U. Uday")</f>
        <v>Krishnan U. Uday</v>
      </c>
      <c r="C1446" s="1"/>
      <c r="D1446" s="1" t="str">
        <f ca="1">IFERROR(__xludf.DUMMYFUNCTION("""COMPUTED_VALUE"""),"Férfi")</f>
        <v>Férfi</v>
      </c>
      <c r="E1446" s="1"/>
      <c r="F1446" s="1">
        <f ca="1">IFERROR(__xludf.DUMMYFUNCTION("""COMPUTED_VALUE"""),1991)</f>
        <v>1991</v>
      </c>
      <c r="G1446" s="1">
        <f ca="1">IFERROR(__xludf.DUMMYFUNCTION("""COMPUTED_VALUE"""),4011)</f>
        <v>4011</v>
      </c>
      <c r="H1446" s="1" t="str">
        <f ca="1">IFERROR(__xludf.DUMMYFUNCTION("""COMPUTED_VALUE"""),"MTLSZ004011A20")</f>
        <v>MTLSZ004011A20</v>
      </c>
      <c r="I1446" s="2">
        <f ca="1">IFERROR(__xludf.DUMMYFUNCTION("""COMPUTED_VALUE"""),44182)</f>
        <v>44182</v>
      </c>
      <c r="J1446" s="2">
        <f ca="1">IFERROR(__xludf.DUMMYFUNCTION("""COMPUTED_VALUE"""),44546)</f>
        <v>44546</v>
      </c>
    </row>
    <row r="1447" spans="1:10" x14ac:dyDescent="0.25">
      <c r="A1447" s="1" t="str">
        <f ca="1">IFERROR(__xludf.DUMMYFUNCTION("""COMPUTED_VALUE"""),"T(r)ollas SE")</f>
        <v>T(r)ollas SE</v>
      </c>
      <c r="B1447" s="1" t="str">
        <f ca="1">IFERROR(__xludf.DUMMYFUNCTION("""COMPUTED_VALUE"""),"Liang Hua Yuan")</f>
        <v>Liang Hua Yuan</v>
      </c>
      <c r="C1447" s="1"/>
      <c r="D1447" s="1" t="str">
        <f ca="1">IFERROR(__xludf.DUMMYFUNCTION("""COMPUTED_VALUE"""),"Nő")</f>
        <v>Nő</v>
      </c>
      <c r="E1447" s="1"/>
      <c r="F1447" s="1">
        <f ca="1">IFERROR(__xludf.DUMMYFUNCTION("""COMPUTED_VALUE"""),1973)</f>
        <v>1973</v>
      </c>
      <c r="G1447" s="1">
        <f ca="1">IFERROR(__xludf.DUMMYFUNCTION("""COMPUTED_VALUE"""),4009)</f>
        <v>4009</v>
      </c>
      <c r="H1447" s="1" t="str">
        <f ca="1">IFERROR(__xludf.DUMMYFUNCTION("""COMPUTED_VALUE"""),"MTLSZ004009A20")</f>
        <v>MTLSZ004009A20</v>
      </c>
      <c r="I1447" s="2">
        <f ca="1">IFERROR(__xludf.DUMMYFUNCTION("""COMPUTED_VALUE"""),44182)</f>
        <v>44182</v>
      </c>
      <c r="J1447" s="2">
        <f ca="1">IFERROR(__xludf.DUMMYFUNCTION("""COMPUTED_VALUE"""),44546)</f>
        <v>44546</v>
      </c>
    </row>
    <row r="1448" spans="1:10" x14ac:dyDescent="0.25">
      <c r="A1448" s="1" t="str">
        <f ca="1">IFERROR(__xludf.DUMMYFUNCTION("""COMPUTED_VALUE"""),"T(r)ollas SE")</f>
        <v>T(r)ollas SE</v>
      </c>
      <c r="B1448" s="1" t="str">
        <f ca="1">IFERROR(__xludf.DUMMYFUNCTION("""COMPUTED_VALUE"""),"Nádasdy Zoltán")</f>
        <v>Nádasdy Zoltán</v>
      </c>
      <c r="C1448" s="1"/>
      <c r="D1448" s="1" t="str">
        <f ca="1">IFERROR(__xludf.DUMMYFUNCTION("""COMPUTED_VALUE"""),"Férfi")</f>
        <v>Férfi</v>
      </c>
      <c r="E1448" s="1"/>
      <c r="F1448" s="1">
        <f ca="1">IFERROR(__xludf.DUMMYFUNCTION("""COMPUTED_VALUE"""),1968)</f>
        <v>1968</v>
      </c>
      <c r="G1448" s="1">
        <f ca="1">IFERROR(__xludf.DUMMYFUNCTION("""COMPUTED_VALUE"""),4000)</f>
        <v>4000</v>
      </c>
      <c r="H1448" s="1" t="str">
        <f ca="1">IFERROR(__xludf.DUMMYFUNCTION("""COMPUTED_VALUE"""),"MTLSZ004000A20")</f>
        <v>MTLSZ004000A20</v>
      </c>
      <c r="I1448" s="2">
        <f ca="1">IFERROR(__xludf.DUMMYFUNCTION("""COMPUTED_VALUE"""),44182)</f>
        <v>44182</v>
      </c>
      <c r="J1448" s="2">
        <f ca="1">IFERROR(__xludf.DUMMYFUNCTION("""COMPUTED_VALUE"""),44546)</f>
        <v>44546</v>
      </c>
    </row>
    <row r="1449" spans="1:10" x14ac:dyDescent="0.25">
      <c r="A1449" s="1" t="str">
        <f ca="1">IFERROR(__xludf.DUMMYFUNCTION("""COMPUTED_VALUE"""),"T(r)ollas SE")</f>
        <v>T(r)ollas SE</v>
      </c>
      <c r="B1449" s="1" t="str">
        <f ca="1">IFERROR(__xludf.DUMMYFUNCTION("""COMPUTED_VALUE"""),"Palotás Ágnes")</f>
        <v>Palotás Ágnes</v>
      </c>
      <c r="C1449" s="1"/>
      <c r="D1449" s="1" t="str">
        <f ca="1">IFERROR(__xludf.DUMMYFUNCTION("""COMPUTED_VALUE"""),"Nő")</f>
        <v>Nő</v>
      </c>
      <c r="E1449" s="1"/>
      <c r="F1449" s="1">
        <f ca="1">IFERROR(__xludf.DUMMYFUNCTION("""COMPUTED_VALUE"""),1978)</f>
        <v>1978</v>
      </c>
      <c r="G1449" s="1">
        <f ca="1">IFERROR(__xludf.DUMMYFUNCTION("""COMPUTED_VALUE"""),4005)</f>
        <v>4005</v>
      </c>
      <c r="H1449" s="1" t="str">
        <f ca="1">IFERROR(__xludf.DUMMYFUNCTION("""COMPUTED_VALUE"""),"MTLSZ004005A20")</f>
        <v>MTLSZ004005A20</v>
      </c>
      <c r="I1449" s="2">
        <f ca="1">IFERROR(__xludf.DUMMYFUNCTION("""COMPUTED_VALUE"""),44182)</f>
        <v>44182</v>
      </c>
      <c r="J1449" s="2">
        <f ca="1">IFERROR(__xludf.DUMMYFUNCTION("""COMPUTED_VALUE"""),44546)</f>
        <v>44546</v>
      </c>
    </row>
    <row r="1450" spans="1:10" x14ac:dyDescent="0.25">
      <c r="A1450" s="1" t="str">
        <f ca="1">IFERROR(__xludf.DUMMYFUNCTION("""COMPUTED_VALUE"""),"T(r)ollas SE")</f>
        <v>T(r)ollas SE</v>
      </c>
      <c r="B1450" s="1" t="str">
        <f ca="1">IFERROR(__xludf.DUMMYFUNCTION("""COMPUTED_VALUE"""),"Sulyok István")</f>
        <v>Sulyok István</v>
      </c>
      <c r="C1450" s="1"/>
      <c r="D1450" s="1" t="str">
        <f ca="1">IFERROR(__xludf.DUMMYFUNCTION("""COMPUTED_VALUE"""),"Férfi")</f>
        <v>Férfi</v>
      </c>
      <c r="E1450" s="1"/>
      <c r="F1450" s="1">
        <f ca="1">IFERROR(__xludf.DUMMYFUNCTION("""COMPUTED_VALUE"""),1970)</f>
        <v>1970</v>
      </c>
      <c r="G1450" s="1">
        <f ca="1">IFERROR(__xludf.DUMMYFUNCTION("""COMPUTED_VALUE"""),4002)</f>
        <v>4002</v>
      </c>
      <c r="H1450" s="1" t="str">
        <f ca="1">IFERROR(__xludf.DUMMYFUNCTION("""COMPUTED_VALUE"""),"MTLSZ004002A20")</f>
        <v>MTLSZ004002A20</v>
      </c>
      <c r="I1450" s="2">
        <f ca="1">IFERROR(__xludf.DUMMYFUNCTION("""COMPUTED_VALUE"""),44182)</f>
        <v>44182</v>
      </c>
      <c r="J1450" s="2">
        <f ca="1">IFERROR(__xludf.DUMMYFUNCTION("""COMPUTED_VALUE"""),44546)</f>
        <v>44546</v>
      </c>
    </row>
    <row r="1451" spans="1:10" x14ac:dyDescent="0.25">
      <c r="A1451" s="1" t="str">
        <f ca="1">IFERROR(__xludf.DUMMYFUNCTION("""COMPUTED_VALUE"""),"T(r)ollas SE")</f>
        <v>T(r)ollas SE</v>
      </c>
      <c r="B1451" s="1" t="str">
        <f ca="1">IFERROR(__xludf.DUMMYFUNCTION("""COMPUTED_VALUE"""),"Tóth Pál")</f>
        <v>Tóth Pál</v>
      </c>
      <c r="C1451" s="1"/>
      <c r="D1451" s="1" t="str">
        <f ca="1">IFERROR(__xludf.DUMMYFUNCTION("""COMPUTED_VALUE"""),"Férfi")</f>
        <v>Férfi</v>
      </c>
      <c r="E1451" s="1"/>
      <c r="F1451" s="1">
        <f ca="1">IFERROR(__xludf.DUMMYFUNCTION("""COMPUTED_VALUE"""),1960)</f>
        <v>1960</v>
      </c>
      <c r="G1451" s="1">
        <f ca="1">IFERROR(__xludf.DUMMYFUNCTION("""COMPUTED_VALUE"""),4003)</f>
        <v>4003</v>
      </c>
      <c r="H1451" s="1" t="str">
        <f ca="1">IFERROR(__xludf.DUMMYFUNCTION("""COMPUTED_VALUE"""),"MTLSZ004003A20")</f>
        <v>MTLSZ004003A20</v>
      </c>
      <c r="I1451" s="2">
        <f ca="1">IFERROR(__xludf.DUMMYFUNCTION("""COMPUTED_VALUE"""),44182)</f>
        <v>44182</v>
      </c>
      <c r="J1451" s="2">
        <f ca="1">IFERROR(__xludf.DUMMYFUNCTION("""COMPUTED_VALUE"""),44546)</f>
        <v>44546</v>
      </c>
    </row>
    <row r="1452" spans="1:10" x14ac:dyDescent="0.25">
      <c r="A1452" s="1" t="str">
        <f ca="1">IFERROR(__xludf.DUMMYFUNCTION("""COMPUTED_VALUE"""),"T(r)ollas SE")</f>
        <v>T(r)ollas SE</v>
      </c>
      <c r="B1452" s="1" t="str">
        <f ca="1">IFERROR(__xludf.DUMMYFUNCTION("""COMPUTED_VALUE"""),"Tuboly Zoltán")</f>
        <v>Tuboly Zoltán</v>
      </c>
      <c r="C1452" s="1"/>
      <c r="D1452" s="1" t="str">
        <f ca="1">IFERROR(__xludf.DUMMYFUNCTION("""COMPUTED_VALUE"""),"Férfi")</f>
        <v>Férfi</v>
      </c>
      <c r="E1452" s="1"/>
      <c r="F1452" s="1">
        <f ca="1">IFERROR(__xludf.DUMMYFUNCTION("""COMPUTED_VALUE"""),1970)</f>
        <v>1970</v>
      </c>
      <c r="G1452" s="1">
        <f ca="1">IFERROR(__xludf.DUMMYFUNCTION("""COMPUTED_VALUE"""),4004)</f>
        <v>4004</v>
      </c>
      <c r="H1452" s="1" t="str">
        <f ca="1">IFERROR(__xludf.DUMMYFUNCTION("""COMPUTED_VALUE"""),"MTLSZ004004A20")</f>
        <v>MTLSZ004004A20</v>
      </c>
      <c r="I1452" s="2">
        <f ca="1">IFERROR(__xludf.DUMMYFUNCTION("""COMPUTED_VALUE"""),44182)</f>
        <v>44182</v>
      </c>
      <c r="J1452" s="2">
        <f ca="1">IFERROR(__xludf.DUMMYFUNCTION("""COMPUTED_VALUE"""),44546)</f>
        <v>44546</v>
      </c>
    </row>
    <row r="1453" spans="1:10" x14ac:dyDescent="0.25">
      <c r="A1453" s="1" t="str">
        <f ca="1">IFERROR(__xludf.DUMMYFUNCTION("""COMPUTED_VALUE"""),"VSD")</f>
        <v>VSD</v>
      </c>
      <c r="B1453" s="1" t="str">
        <f ca="1">IFERROR(__xludf.DUMMYFUNCTION("""COMPUTED_VALUE"""),"Pintér Gedeon Tamás")</f>
        <v>Pintér Gedeon Tamás</v>
      </c>
      <c r="C1453" s="1"/>
      <c r="D1453" s="1" t="str">
        <f ca="1">IFERROR(__xludf.DUMMYFUNCTION("""COMPUTED_VALUE"""),"Férfi")</f>
        <v>Férfi</v>
      </c>
      <c r="E1453" s="1"/>
      <c r="F1453" s="1">
        <f ca="1">IFERROR(__xludf.DUMMYFUNCTION("""COMPUTED_VALUE"""),1975)</f>
        <v>1975</v>
      </c>
      <c r="G1453" s="1">
        <f ca="1">IFERROR(__xludf.DUMMYFUNCTION("""COMPUTED_VALUE"""),3998)</f>
        <v>3998</v>
      </c>
      <c r="H1453" s="1" t="str">
        <f ca="1">IFERROR(__xludf.DUMMYFUNCTION("""COMPUTED_VALUE"""),"MTLSZ003998A20")</f>
        <v>MTLSZ003998A20</v>
      </c>
      <c r="I1453" s="2">
        <f ca="1">IFERROR(__xludf.DUMMYFUNCTION("""COMPUTED_VALUE"""),44182)</f>
        <v>44182</v>
      </c>
      <c r="J1453" s="2">
        <f ca="1">IFERROR(__xludf.DUMMYFUNCTION("""COMPUTED_VALUE"""),44546)</f>
        <v>44546</v>
      </c>
    </row>
    <row r="1454" spans="1:10" x14ac:dyDescent="0.25">
      <c r="A1454" s="1" t="str">
        <f ca="1">IFERROR(__xludf.DUMMYFUNCTION("""COMPUTED_VALUE"""),"Danubius KSE")</f>
        <v>Danubius KSE</v>
      </c>
      <c r="B1454" s="1" t="str">
        <f ca="1">IFERROR(__xludf.DUMMYFUNCTION("""COMPUTED_VALUE"""),"Johan Fanni")</f>
        <v>Johan Fanni</v>
      </c>
      <c r="C1454" s="1"/>
      <c r="D1454" s="1" t="str">
        <f ca="1">IFERROR(__xludf.DUMMYFUNCTION("""COMPUTED_VALUE"""),"Nő")</f>
        <v>Nő</v>
      </c>
      <c r="E1454" s="1"/>
      <c r="F1454" s="1">
        <f ca="1">IFERROR(__xludf.DUMMYFUNCTION("""COMPUTED_VALUE"""),1995)</f>
        <v>1995</v>
      </c>
      <c r="G1454" s="1">
        <f ca="1">IFERROR(__xludf.DUMMYFUNCTION("""COMPUTED_VALUE"""),3983)</f>
        <v>3983</v>
      </c>
      <c r="H1454" s="1" t="str">
        <f ca="1">IFERROR(__xludf.DUMMYFUNCTION("""COMPUTED_VALUE"""),"MTLSZ003983A20")</f>
        <v>MTLSZ003983A20</v>
      </c>
      <c r="I1454" s="2">
        <f ca="1">IFERROR(__xludf.DUMMYFUNCTION("""COMPUTED_VALUE"""),44180)</f>
        <v>44180</v>
      </c>
      <c r="J1454" s="2">
        <f ca="1">IFERROR(__xludf.DUMMYFUNCTION("""COMPUTED_VALUE"""),44544)</f>
        <v>44544</v>
      </c>
    </row>
    <row r="1455" spans="1:10" x14ac:dyDescent="0.25">
      <c r="A1455" s="1" t="str">
        <f ca="1">IFERROR(__xludf.DUMMYFUNCTION("""COMPUTED_VALUE"""),"FBSE")</f>
        <v>FBSE</v>
      </c>
      <c r="B1455" s="1" t="str">
        <f ca="1">IFERROR(__xludf.DUMMYFUNCTION("""COMPUTED_VALUE"""),"Újvári Boglárka")</f>
        <v>Újvári Boglárka</v>
      </c>
      <c r="C1455" s="1"/>
      <c r="D1455" s="1" t="str">
        <f ca="1">IFERROR(__xludf.DUMMYFUNCTION("""COMPUTED_VALUE"""),"Nő")</f>
        <v>Nő</v>
      </c>
      <c r="E1455" s="1"/>
      <c r="F1455" s="1">
        <f ca="1">IFERROR(__xludf.DUMMYFUNCTION("""COMPUTED_VALUE"""),1982)</f>
        <v>1982</v>
      </c>
      <c r="G1455" s="1">
        <f ca="1">IFERROR(__xludf.DUMMYFUNCTION("""COMPUTED_VALUE"""),1072)</f>
        <v>1072</v>
      </c>
      <c r="H1455" s="1" t="str">
        <f ca="1">IFERROR(__xludf.DUMMYFUNCTION("""COMPUTED_VALUE"""),"MTLSZ001072A20")</f>
        <v>MTLSZ001072A20</v>
      </c>
      <c r="I1455" s="2">
        <f ca="1">IFERROR(__xludf.DUMMYFUNCTION("""COMPUTED_VALUE"""),44180)</f>
        <v>44180</v>
      </c>
      <c r="J1455" s="2">
        <f ca="1">IFERROR(__xludf.DUMMYFUNCTION("""COMPUTED_VALUE"""),44544)</f>
        <v>44544</v>
      </c>
    </row>
    <row r="1456" spans="1:10" x14ac:dyDescent="0.25">
      <c r="A1456" s="1" t="str">
        <f ca="1">IFERROR(__xludf.DUMMYFUNCTION("""COMPUTED_VALUE"""),"Főtaxi SC")</f>
        <v>Főtaxi SC</v>
      </c>
      <c r="B1456" s="1" t="str">
        <f ca="1">IFERROR(__xludf.DUMMYFUNCTION("""COMPUTED_VALUE"""),"Boros Balázs")</f>
        <v>Boros Balázs</v>
      </c>
      <c r="C1456" s="1"/>
      <c r="D1456" s="1" t="str">
        <f ca="1">IFERROR(__xludf.DUMMYFUNCTION("""COMPUTED_VALUE"""),"Férfi")</f>
        <v>Férfi</v>
      </c>
      <c r="E1456" s="1"/>
      <c r="F1456" s="1">
        <f ca="1">IFERROR(__xludf.DUMMYFUNCTION("""COMPUTED_VALUE"""),1958)</f>
        <v>1958</v>
      </c>
      <c r="G1456" s="1">
        <f ca="1">IFERROR(__xludf.DUMMYFUNCTION("""COMPUTED_VALUE"""),3980)</f>
        <v>3980</v>
      </c>
      <c r="H1456" s="1" t="str">
        <f ca="1">IFERROR(__xludf.DUMMYFUNCTION("""COMPUTED_VALUE"""),"MTLSZ003980A20")</f>
        <v>MTLSZ003980A20</v>
      </c>
      <c r="I1456" s="2">
        <f ca="1">IFERROR(__xludf.DUMMYFUNCTION("""COMPUTED_VALUE"""),44180)</f>
        <v>44180</v>
      </c>
      <c r="J1456" s="2">
        <f ca="1">IFERROR(__xludf.DUMMYFUNCTION("""COMPUTED_VALUE"""),44544)</f>
        <v>44544</v>
      </c>
    </row>
    <row r="1457" spans="1:10" x14ac:dyDescent="0.25">
      <c r="A1457" s="1" t="str">
        <f ca="1">IFERROR(__xludf.DUMMYFUNCTION("""COMPUTED_VALUE"""),"Főtaxi SC")</f>
        <v>Főtaxi SC</v>
      </c>
      <c r="B1457" s="1" t="str">
        <f ca="1">IFERROR(__xludf.DUMMYFUNCTION("""COMPUTED_VALUE"""),"Crouzier Benjamin")</f>
        <v>Crouzier Benjamin</v>
      </c>
      <c r="C1457" s="1"/>
      <c r="D1457" s="1" t="str">
        <f ca="1">IFERROR(__xludf.DUMMYFUNCTION("""COMPUTED_VALUE"""),"Férfi")</f>
        <v>Férfi</v>
      </c>
      <c r="E1457" s="1"/>
      <c r="F1457" s="1">
        <f ca="1">IFERROR(__xludf.DUMMYFUNCTION("""COMPUTED_VALUE"""),1989)</f>
        <v>1989</v>
      </c>
      <c r="G1457" s="1">
        <f ca="1">IFERROR(__xludf.DUMMYFUNCTION("""COMPUTED_VALUE"""),3979)</f>
        <v>3979</v>
      </c>
      <c r="H1457" s="1" t="str">
        <f ca="1">IFERROR(__xludf.DUMMYFUNCTION("""COMPUTED_VALUE"""),"MTLSZ003979A20")</f>
        <v>MTLSZ003979A20</v>
      </c>
      <c r="I1457" s="2">
        <f ca="1">IFERROR(__xludf.DUMMYFUNCTION("""COMPUTED_VALUE"""),44180)</f>
        <v>44180</v>
      </c>
      <c r="J1457" s="2">
        <f ca="1">IFERROR(__xludf.DUMMYFUNCTION("""COMPUTED_VALUE"""),44544)</f>
        <v>44544</v>
      </c>
    </row>
    <row r="1458" spans="1:10" x14ac:dyDescent="0.25">
      <c r="A1458" s="1" t="str">
        <f ca="1">IFERROR(__xludf.DUMMYFUNCTION("""COMPUTED_VALUE"""),"Főtaxi SC")</f>
        <v>Főtaxi SC</v>
      </c>
      <c r="B1458" s="1" t="str">
        <f ca="1">IFERROR(__xludf.DUMMYFUNCTION("""COMPUTED_VALUE"""),"Dobos Tamás")</f>
        <v>Dobos Tamás</v>
      </c>
      <c r="C1458" s="1"/>
      <c r="D1458" s="1" t="str">
        <f ca="1">IFERROR(__xludf.DUMMYFUNCTION("""COMPUTED_VALUE"""),"Férfi")</f>
        <v>Férfi</v>
      </c>
      <c r="E1458" s="1"/>
      <c r="F1458" s="1">
        <f ca="1">IFERROR(__xludf.DUMMYFUNCTION("""COMPUTED_VALUE"""),1988)</f>
        <v>1988</v>
      </c>
      <c r="G1458" s="1">
        <f ca="1">IFERROR(__xludf.DUMMYFUNCTION("""COMPUTED_VALUE"""),1806)</f>
        <v>1806</v>
      </c>
      <c r="H1458" s="1" t="str">
        <f ca="1">IFERROR(__xludf.DUMMYFUNCTION("""COMPUTED_VALUE"""),"MTLSZ001806A20")</f>
        <v>MTLSZ001806A20</v>
      </c>
      <c r="I1458" s="2">
        <f ca="1">IFERROR(__xludf.DUMMYFUNCTION("""COMPUTED_VALUE"""),44180)</f>
        <v>44180</v>
      </c>
      <c r="J1458" s="2">
        <f ca="1">IFERROR(__xludf.DUMMYFUNCTION("""COMPUTED_VALUE"""),44544)</f>
        <v>44544</v>
      </c>
    </row>
    <row r="1459" spans="1:10" x14ac:dyDescent="0.25">
      <c r="A1459" s="1" t="str">
        <f ca="1">IFERROR(__xludf.DUMMYFUNCTION("""COMPUTED_VALUE"""),"Főtaxi SC")</f>
        <v>Főtaxi SC</v>
      </c>
      <c r="B1459" s="1" t="str">
        <f ca="1">IFERROR(__xludf.DUMMYFUNCTION("""COMPUTED_VALUE"""),"Kolonics Krisztián")</f>
        <v>Kolonics Krisztián</v>
      </c>
      <c r="C1459" s="1"/>
      <c r="D1459" s="1" t="str">
        <f ca="1">IFERROR(__xludf.DUMMYFUNCTION("""COMPUTED_VALUE"""),"Férfi")</f>
        <v>Férfi</v>
      </c>
      <c r="E1459" s="1"/>
      <c r="F1459" s="1">
        <f ca="1">IFERROR(__xludf.DUMMYFUNCTION("""COMPUTED_VALUE"""),1983)</f>
        <v>1983</v>
      </c>
      <c r="G1459" s="1">
        <f ca="1">IFERROR(__xludf.DUMMYFUNCTION("""COMPUTED_VALUE"""),3978)</f>
        <v>3978</v>
      </c>
      <c r="H1459" s="1" t="str">
        <f ca="1">IFERROR(__xludf.DUMMYFUNCTION("""COMPUTED_VALUE"""),"MTLSZ003978A20")</f>
        <v>MTLSZ003978A20</v>
      </c>
      <c r="I1459" s="2">
        <f ca="1">IFERROR(__xludf.DUMMYFUNCTION("""COMPUTED_VALUE"""),44180)</f>
        <v>44180</v>
      </c>
      <c r="J1459" s="2">
        <f ca="1">IFERROR(__xludf.DUMMYFUNCTION("""COMPUTED_VALUE"""),44544)</f>
        <v>44544</v>
      </c>
    </row>
    <row r="1460" spans="1:10" x14ac:dyDescent="0.25">
      <c r="A1460" s="1" t="str">
        <f ca="1">IFERROR(__xludf.DUMMYFUNCTION("""COMPUTED_VALUE"""),"Főtaxi SC")</f>
        <v>Főtaxi SC</v>
      </c>
      <c r="B1460" s="1" t="str">
        <f ca="1">IFERROR(__xludf.DUMMYFUNCTION("""COMPUTED_VALUE"""),"Kökény Iván")</f>
        <v>Kökény Iván</v>
      </c>
      <c r="C1460" s="1"/>
      <c r="D1460" s="1" t="str">
        <f ca="1">IFERROR(__xludf.DUMMYFUNCTION("""COMPUTED_VALUE"""),"Férfi")</f>
        <v>Férfi</v>
      </c>
      <c r="E1460" s="1"/>
      <c r="F1460" s="1">
        <f ca="1">IFERROR(__xludf.DUMMYFUNCTION("""COMPUTED_VALUE"""),2005)</f>
        <v>2005</v>
      </c>
      <c r="G1460" s="1">
        <f ca="1">IFERROR(__xludf.DUMMYFUNCTION("""COMPUTED_VALUE"""),3981)</f>
        <v>3981</v>
      </c>
      <c r="H1460" s="1" t="str">
        <f ca="1">IFERROR(__xludf.DUMMYFUNCTION("""COMPUTED_VALUE"""),"MTLSZ003981A20")</f>
        <v>MTLSZ003981A20</v>
      </c>
      <c r="I1460" s="2">
        <f ca="1">IFERROR(__xludf.DUMMYFUNCTION("""COMPUTED_VALUE"""),44180)</f>
        <v>44180</v>
      </c>
      <c r="J1460" s="2">
        <f ca="1">IFERROR(__xludf.DUMMYFUNCTION("""COMPUTED_VALUE"""),44544)</f>
        <v>44544</v>
      </c>
    </row>
    <row r="1461" spans="1:10" x14ac:dyDescent="0.25">
      <c r="A1461" s="1" t="str">
        <f ca="1">IFERROR(__xludf.DUMMYFUNCTION("""COMPUTED_VALUE"""),"Főtaxi SC")</f>
        <v>Főtaxi SC</v>
      </c>
      <c r="B1461" s="1" t="str">
        <f ca="1">IFERROR(__xludf.DUMMYFUNCTION("""COMPUTED_VALUE"""),"Rusvai Péter")</f>
        <v>Rusvai Péter</v>
      </c>
      <c r="C1461" s="1"/>
      <c r="D1461" s="1" t="str">
        <f ca="1">IFERROR(__xludf.DUMMYFUNCTION("""COMPUTED_VALUE"""),"Férfi")</f>
        <v>Férfi</v>
      </c>
      <c r="E1461" s="1"/>
      <c r="F1461" s="1">
        <f ca="1">IFERROR(__xludf.DUMMYFUNCTION("""COMPUTED_VALUE"""),1993)</f>
        <v>1993</v>
      </c>
      <c r="G1461" s="1">
        <f ca="1">IFERROR(__xludf.DUMMYFUNCTION("""COMPUTED_VALUE"""),1390)</f>
        <v>1390</v>
      </c>
      <c r="H1461" s="1" t="str">
        <f ca="1">IFERROR(__xludf.DUMMYFUNCTION("""COMPUTED_VALUE"""),"MTLSZ001390A20")</f>
        <v>MTLSZ001390A20</v>
      </c>
      <c r="I1461" s="2">
        <f ca="1">IFERROR(__xludf.DUMMYFUNCTION("""COMPUTED_VALUE"""),44180)</f>
        <v>44180</v>
      </c>
      <c r="J1461" s="2">
        <f ca="1">IFERROR(__xludf.DUMMYFUNCTION("""COMPUTED_VALUE"""),44544)</f>
        <v>44544</v>
      </c>
    </row>
    <row r="1462" spans="1:10" x14ac:dyDescent="0.25">
      <c r="A1462" s="1" t="str">
        <f ca="1">IFERROR(__xludf.DUMMYFUNCTION("""COMPUTED_VALUE"""),"Főtaxi SC")</f>
        <v>Főtaxi SC</v>
      </c>
      <c r="B1462" s="1" t="str">
        <f ca="1">IFERROR(__xludf.DUMMYFUNCTION("""COMPUTED_VALUE"""),"Sík Béla")</f>
        <v>Sík Béla</v>
      </c>
      <c r="C1462" s="1"/>
      <c r="D1462" s="1" t="str">
        <f ca="1">IFERROR(__xludf.DUMMYFUNCTION("""COMPUTED_VALUE"""),"Férfi")</f>
        <v>Férfi</v>
      </c>
      <c r="E1462" s="1"/>
      <c r="F1462" s="1">
        <f ca="1">IFERROR(__xludf.DUMMYFUNCTION("""COMPUTED_VALUE"""),1975)</f>
        <v>1975</v>
      </c>
      <c r="G1462" s="1">
        <f ca="1">IFERROR(__xludf.DUMMYFUNCTION("""COMPUTED_VALUE"""),852)</f>
        <v>852</v>
      </c>
      <c r="H1462" s="1" t="str">
        <f ca="1">IFERROR(__xludf.DUMMYFUNCTION("""COMPUTED_VALUE"""),"MTLSZ000852A20")</f>
        <v>MTLSZ000852A20</v>
      </c>
      <c r="I1462" s="2">
        <f ca="1">IFERROR(__xludf.DUMMYFUNCTION("""COMPUTED_VALUE"""),44180)</f>
        <v>44180</v>
      </c>
      <c r="J1462" s="2">
        <f ca="1">IFERROR(__xludf.DUMMYFUNCTION("""COMPUTED_VALUE"""),44544)</f>
        <v>44544</v>
      </c>
    </row>
    <row r="1463" spans="1:10" x14ac:dyDescent="0.25">
      <c r="A1463" s="1" t="str">
        <f ca="1">IFERROR(__xludf.DUMMYFUNCTION("""COMPUTED_VALUE"""),"Főtaxi SC")</f>
        <v>Főtaxi SC</v>
      </c>
      <c r="B1463" s="1" t="str">
        <f ca="1">IFERROR(__xludf.DUMMYFUNCTION("""COMPUTED_VALUE"""),"Szathmáry Barnabás")</f>
        <v>Szathmáry Barnabás</v>
      </c>
      <c r="C1463" s="1"/>
      <c r="D1463" s="1" t="str">
        <f ca="1">IFERROR(__xludf.DUMMYFUNCTION("""COMPUTED_VALUE"""),"Férfi")</f>
        <v>Férfi</v>
      </c>
      <c r="E1463" s="1"/>
      <c r="F1463" s="1">
        <f ca="1">IFERROR(__xludf.DUMMYFUNCTION("""COMPUTED_VALUE"""),2009)</f>
        <v>2009</v>
      </c>
      <c r="G1463" s="1">
        <f ca="1">IFERROR(__xludf.DUMMYFUNCTION("""COMPUTED_VALUE"""),3977)</f>
        <v>3977</v>
      </c>
      <c r="H1463" s="1" t="str">
        <f ca="1">IFERROR(__xludf.DUMMYFUNCTION("""COMPUTED_VALUE"""),"MTLSZ003977A20")</f>
        <v>MTLSZ003977A20</v>
      </c>
      <c r="I1463" s="2">
        <f ca="1">IFERROR(__xludf.DUMMYFUNCTION("""COMPUTED_VALUE"""),44180)</f>
        <v>44180</v>
      </c>
      <c r="J1463" s="2">
        <f ca="1">IFERROR(__xludf.DUMMYFUNCTION("""COMPUTED_VALUE"""),44544)</f>
        <v>44544</v>
      </c>
    </row>
    <row r="1464" spans="1:10" x14ac:dyDescent="0.25">
      <c r="A1464" s="1" t="str">
        <f ca="1">IFERROR(__xludf.DUMMYFUNCTION("""COMPUTED_VALUE"""),"Főtaxi SC")</f>
        <v>Főtaxi SC</v>
      </c>
      <c r="B1464" s="1" t="str">
        <f ca="1">IFERROR(__xludf.DUMMYFUNCTION("""COMPUTED_VALUE"""),"Villei-Pribék Ádám")</f>
        <v>Villei-Pribék Ádám</v>
      </c>
      <c r="C1464" s="1"/>
      <c r="D1464" s="1" t="str">
        <f ca="1">IFERROR(__xludf.DUMMYFUNCTION("""COMPUTED_VALUE"""),"Férfi")</f>
        <v>Férfi</v>
      </c>
      <c r="E1464" s="1"/>
      <c r="F1464" s="1">
        <f ca="1">IFERROR(__xludf.DUMMYFUNCTION("""COMPUTED_VALUE"""),1976)</f>
        <v>1976</v>
      </c>
      <c r="G1464" s="1">
        <f ca="1">IFERROR(__xludf.DUMMYFUNCTION("""COMPUTED_VALUE"""),3976)</f>
        <v>3976</v>
      </c>
      <c r="H1464" s="1" t="str">
        <f ca="1">IFERROR(__xludf.DUMMYFUNCTION("""COMPUTED_VALUE"""),"MTLSZ003976A20")</f>
        <v>MTLSZ003976A20</v>
      </c>
      <c r="I1464" s="2">
        <f ca="1">IFERROR(__xludf.DUMMYFUNCTION("""COMPUTED_VALUE"""),44180)</f>
        <v>44180</v>
      </c>
      <c r="J1464" s="2">
        <f ca="1">IFERROR(__xludf.DUMMYFUNCTION("""COMPUTED_VALUE"""),44544)</f>
        <v>44544</v>
      </c>
    </row>
    <row r="1465" spans="1:10" x14ac:dyDescent="0.25">
      <c r="A1465" s="1" t="str">
        <f ca="1">IFERROR(__xludf.DUMMYFUNCTION("""COMPUTED_VALUE"""),"Főtaxi SC")</f>
        <v>Főtaxi SC</v>
      </c>
      <c r="B1465" s="1" t="str">
        <f ca="1">IFERROR(__xludf.DUMMYFUNCTION("""COMPUTED_VALUE"""),"Zsuga Gábor")</f>
        <v>Zsuga Gábor</v>
      </c>
      <c r="C1465" s="1"/>
      <c r="D1465" s="1" t="str">
        <f ca="1">IFERROR(__xludf.DUMMYFUNCTION("""COMPUTED_VALUE"""),"Férfi")</f>
        <v>Férfi</v>
      </c>
      <c r="E1465" s="1"/>
      <c r="F1465" s="1">
        <f ca="1">IFERROR(__xludf.DUMMYFUNCTION("""COMPUTED_VALUE"""),1971)</f>
        <v>1971</v>
      </c>
      <c r="G1465" s="1">
        <f ca="1">IFERROR(__xludf.DUMMYFUNCTION("""COMPUTED_VALUE"""),3975)</f>
        <v>3975</v>
      </c>
      <c r="H1465" s="1" t="str">
        <f ca="1">IFERROR(__xludf.DUMMYFUNCTION("""COMPUTED_VALUE"""),"MTLSZ003975A20")</f>
        <v>MTLSZ003975A20</v>
      </c>
      <c r="I1465" s="2">
        <f ca="1">IFERROR(__xludf.DUMMYFUNCTION("""COMPUTED_VALUE"""),44180)</f>
        <v>44180</v>
      </c>
      <c r="J1465" s="2">
        <f ca="1">IFERROR(__xludf.DUMMYFUNCTION("""COMPUTED_VALUE"""),44544)</f>
        <v>44544</v>
      </c>
    </row>
    <row r="1466" spans="1:10" x14ac:dyDescent="0.25">
      <c r="A1466" s="1" t="str">
        <f ca="1">IFERROR(__xludf.DUMMYFUNCTION("""COMPUTED_VALUE"""),"Tisza TSE")</f>
        <v>Tisza TSE</v>
      </c>
      <c r="B1466" s="1" t="str">
        <f ca="1">IFERROR(__xludf.DUMMYFUNCTION("""COMPUTED_VALUE"""),"Asiamah Helena Dr.")</f>
        <v>Asiamah Helena Dr.</v>
      </c>
      <c r="C1466" s="1"/>
      <c r="D1466" s="1" t="str">
        <f ca="1">IFERROR(__xludf.DUMMYFUNCTION("""COMPUTED_VALUE"""),"Nő")</f>
        <v>Nő</v>
      </c>
      <c r="E1466" s="1"/>
      <c r="F1466" s="1">
        <f ca="1">IFERROR(__xludf.DUMMYFUNCTION("""COMPUTED_VALUE"""),1968)</f>
        <v>1968</v>
      </c>
      <c r="G1466" s="1">
        <f ca="1">IFERROR(__xludf.DUMMYFUNCTION("""COMPUTED_VALUE"""),3990)</f>
        <v>3990</v>
      </c>
      <c r="H1466" s="1" t="str">
        <f ca="1">IFERROR(__xludf.DUMMYFUNCTION("""COMPUTED_VALUE"""),"MTLSZ003990A20")</f>
        <v>MTLSZ003990A20</v>
      </c>
      <c r="I1466" s="2">
        <f ca="1">IFERROR(__xludf.DUMMYFUNCTION("""COMPUTED_VALUE"""),44180)</f>
        <v>44180</v>
      </c>
      <c r="J1466" s="2">
        <f ca="1">IFERROR(__xludf.DUMMYFUNCTION("""COMPUTED_VALUE"""),44544)</f>
        <v>44544</v>
      </c>
    </row>
    <row r="1467" spans="1:10" x14ac:dyDescent="0.25">
      <c r="A1467" s="1" t="str">
        <f ca="1">IFERROR(__xludf.DUMMYFUNCTION("""COMPUTED_VALUE"""),"Tisza TSE")</f>
        <v>Tisza TSE</v>
      </c>
      <c r="B1467" s="1" t="str">
        <f ca="1">IFERROR(__xludf.DUMMYFUNCTION("""COMPUTED_VALUE"""),"Gáborné Katona Annamária")</f>
        <v>Gáborné Katona Annamária</v>
      </c>
      <c r="C1467" s="1"/>
      <c r="D1467" s="1" t="str">
        <f ca="1">IFERROR(__xludf.DUMMYFUNCTION("""COMPUTED_VALUE"""),"Nő")</f>
        <v>Nő</v>
      </c>
      <c r="E1467" s="1"/>
      <c r="F1467" s="1">
        <f ca="1">IFERROR(__xludf.DUMMYFUNCTION("""COMPUTED_VALUE"""),1973)</f>
        <v>1973</v>
      </c>
      <c r="G1467" s="1">
        <f ca="1">IFERROR(__xludf.DUMMYFUNCTION("""COMPUTED_VALUE"""),3984)</f>
        <v>3984</v>
      </c>
      <c r="H1467" s="1" t="str">
        <f ca="1">IFERROR(__xludf.DUMMYFUNCTION("""COMPUTED_VALUE"""),"MTLSZ003984A20")</f>
        <v>MTLSZ003984A20</v>
      </c>
      <c r="I1467" s="2">
        <f ca="1">IFERROR(__xludf.DUMMYFUNCTION("""COMPUTED_VALUE"""),44180)</f>
        <v>44180</v>
      </c>
      <c r="J1467" s="2">
        <f ca="1">IFERROR(__xludf.DUMMYFUNCTION("""COMPUTED_VALUE"""),44544)</f>
        <v>44544</v>
      </c>
    </row>
    <row r="1468" spans="1:10" x14ac:dyDescent="0.25">
      <c r="A1468" s="1" t="str">
        <f ca="1">IFERROR(__xludf.DUMMYFUNCTION("""COMPUTED_VALUE"""),"Tisza TSE")</f>
        <v>Tisza TSE</v>
      </c>
      <c r="B1468" s="1" t="str">
        <f ca="1">IFERROR(__xludf.DUMMYFUNCTION("""COMPUTED_VALUE"""),"György Ábel Attila")</f>
        <v>György Ábel Attila</v>
      </c>
      <c r="C1468" s="1"/>
      <c r="D1468" s="1" t="str">
        <f ca="1">IFERROR(__xludf.DUMMYFUNCTION("""COMPUTED_VALUE"""),"Férfi")</f>
        <v>Férfi</v>
      </c>
      <c r="E1468" s="1"/>
      <c r="F1468" s="1">
        <f ca="1">IFERROR(__xludf.DUMMYFUNCTION("""COMPUTED_VALUE"""),1996)</f>
        <v>1996</v>
      </c>
      <c r="G1468" s="1">
        <f ca="1">IFERROR(__xludf.DUMMYFUNCTION("""COMPUTED_VALUE"""),3987)</f>
        <v>3987</v>
      </c>
      <c r="H1468" s="1" t="str">
        <f ca="1">IFERROR(__xludf.DUMMYFUNCTION("""COMPUTED_VALUE"""),"MTLSZ003987A20")</f>
        <v>MTLSZ003987A20</v>
      </c>
      <c r="I1468" s="2">
        <f ca="1">IFERROR(__xludf.DUMMYFUNCTION("""COMPUTED_VALUE"""),44180)</f>
        <v>44180</v>
      </c>
      <c r="J1468" s="2">
        <f ca="1">IFERROR(__xludf.DUMMYFUNCTION("""COMPUTED_VALUE"""),44544)</f>
        <v>44544</v>
      </c>
    </row>
    <row r="1469" spans="1:10" x14ac:dyDescent="0.25">
      <c r="A1469" s="1" t="str">
        <f ca="1">IFERROR(__xludf.DUMMYFUNCTION("""COMPUTED_VALUE"""),"Tisza TSE")</f>
        <v>Tisza TSE</v>
      </c>
      <c r="B1469" s="1" t="str">
        <f ca="1">IFERROR(__xludf.DUMMYFUNCTION("""COMPUTED_VALUE"""),"Jójárt Ferenc Dr.")</f>
        <v>Jójárt Ferenc Dr.</v>
      </c>
      <c r="C1469" s="1"/>
      <c r="D1469" s="1" t="str">
        <f ca="1">IFERROR(__xludf.DUMMYFUNCTION("""COMPUTED_VALUE"""),"Férfi")</f>
        <v>Férfi</v>
      </c>
      <c r="E1469" s="1"/>
      <c r="F1469" s="1">
        <f ca="1">IFERROR(__xludf.DUMMYFUNCTION("""COMPUTED_VALUE"""),1964)</f>
        <v>1964</v>
      </c>
      <c r="G1469" s="1">
        <f ca="1">IFERROR(__xludf.DUMMYFUNCTION("""COMPUTED_VALUE"""),3992)</f>
        <v>3992</v>
      </c>
      <c r="H1469" s="1" t="str">
        <f ca="1">IFERROR(__xludf.DUMMYFUNCTION("""COMPUTED_VALUE"""),"MTLSZ003992A20")</f>
        <v>MTLSZ003992A20</v>
      </c>
      <c r="I1469" s="2">
        <f ca="1">IFERROR(__xludf.DUMMYFUNCTION("""COMPUTED_VALUE"""),44180)</f>
        <v>44180</v>
      </c>
      <c r="J1469" s="2">
        <f ca="1">IFERROR(__xludf.DUMMYFUNCTION("""COMPUTED_VALUE"""),44544)</f>
        <v>44544</v>
      </c>
    </row>
    <row r="1470" spans="1:10" x14ac:dyDescent="0.25">
      <c r="A1470" s="1" t="str">
        <f ca="1">IFERROR(__xludf.DUMMYFUNCTION("""COMPUTED_VALUE"""),"Tisza TSE")</f>
        <v>Tisza TSE</v>
      </c>
      <c r="B1470" s="1" t="str">
        <f ca="1">IFERROR(__xludf.DUMMYFUNCTION("""COMPUTED_VALUE"""),"Kerekes Péter")</f>
        <v>Kerekes Péter</v>
      </c>
      <c r="C1470" s="1"/>
      <c r="D1470" s="1" t="str">
        <f ca="1">IFERROR(__xludf.DUMMYFUNCTION("""COMPUTED_VALUE"""),"Férfi")</f>
        <v>Férfi</v>
      </c>
      <c r="E1470" s="1"/>
      <c r="F1470" s="1">
        <f ca="1">IFERROR(__xludf.DUMMYFUNCTION("""COMPUTED_VALUE"""),1977)</f>
        <v>1977</v>
      </c>
      <c r="G1470" s="1">
        <f ca="1">IFERROR(__xludf.DUMMYFUNCTION("""COMPUTED_VALUE"""),3988)</f>
        <v>3988</v>
      </c>
      <c r="H1470" s="1" t="str">
        <f ca="1">IFERROR(__xludf.DUMMYFUNCTION("""COMPUTED_VALUE"""),"MTLSZ003988A20")</f>
        <v>MTLSZ003988A20</v>
      </c>
      <c r="I1470" s="2">
        <f ca="1">IFERROR(__xludf.DUMMYFUNCTION("""COMPUTED_VALUE"""),44180)</f>
        <v>44180</v>
      </c>
      <c r="J1470" s="2">
        <f ca="1">IFERROR(__xludf.DUMMYFUNCTION("""COMPUTED_VALUE"""),44544)</f>
        <v>44544</v>
      </c>
    </row>
    <row r="1471" spans="1:10" x14ac:dyDescent="0.25">
      <c r="A1471" s="1" t="str">
        <f ca="1">IFERROR(__xludf.DUMMYFUNCTION("""COMPUTED_VALUE"""),"Tisza TSE")</f>
        <v>Tisza TSE</v>
      </c>
      <c r="B1471" s="1" t="str">
        <f ca="1">IFERROR(__xludf.DUMMYFUNCTION("""COMPUTED_VALUE"""),"Nógrádi Gábor")</f>
        <v>Nógrádi Gábor</v>
      </c>
      <c r="C1471" s="1"/>
      <c r="D1471" s="1" t="str">
        <f ca="1">IFERROR(__xludf.DUMMYFUNCTION("""COMPUTED_VALUE"""),"Férfi")</f>
        <v>Férfi</v>
      </c>
      <c r="E1471" s="1"/>
      <c r="F1471" s="1">
        <f ca="1">IFERROR(__xludf.DUMMYFUNCTION("""COMPUTED_VALUE"""),1971)</f>
        <v>1971</v>
      </c>
      <c r="G1471" s="1">
        <f ca="1">IFERROR(__xludf.DUMMYFUNCTION("""COMPUTED_VALUE"""),3986)</f>
        <v>3986</v>
      </c>
      <c r="H1471" s="1" t="str">
        <f ca="1">IFERROR(__xludf.DUMMYFUNCTION("""COMPUTED_VALUE"""),"MTLSZ003986A20")</f>
        <v>MTLSZ003986A20</v>
      </c>
      <c r="I1471" s="2">
        <f ca="1">IFERROR(__xludf.DUMMYFUNCTION("""COMPUTED_VALUE"""),44180)</f>
        <v>44180</v>
      </c>
      <c r="J1471" s="2">
        <f ca="1">IFERROR(__xludf.DUMMYFUNCTION("""COMPUTED_VALUE"""),44544)</f>
        <v>44544</v>
      </c>
    </row>
    <row r="1472" spans="1:10" x14ac:dyDescent="0.25">
      <c r="A1472" s="1" t="str">
        <f ca="1">IFERROR(__xludf.DUMMYFUNCTION("""COMPUTED_VALUE"""),"Tisza TSE")</f>
        <v>Tisza TSE</v>
      </c>
      <c r="B1472" s="1" t="str">
        <f ca="1">IFERROR(__xludf.DUMMYFUNCTION("""COMPUTED_VALUE"""),"Sándor Miklós")</f>
        <v>Sándor Miklós</v>
      </c>
      <c r="C1472" s="1"/>
      <c r="D1472" s="1" t="str">
        <f ca="1">IFERROR(__xludf.DUMMYFUNCTION("""COMPUTED_VALUE"""),"Férfi")</f>
        <v>Férfi</v>
      </c>
      <c r="E1472" s="1"/>
      <c r="F1472" s="1">
        <f ca="1">IFERROR(__xludf.DUMMYFUNCTION("""COMPUTED_VALUE"""),1973)</f>
        <v>1973</v>
      </c>
      <c r="G1472" s="1">
        <f ca="1">IFERROR(__xludf.DUMMYFUNCTION("""COMPUTED_VALUE"""),3985)</f>
        <v>3985</v>
      </c>
      <c r="H1472" s="1" t="str">
        <f ca="1">IFERROR(__xludf.DUMMYFUNCTION("""COMPUTED_VALUE"""),"MTLSZ003985A20")</f>
        <v>MTLSZ003985A20</v>
      </c>
      <c r="I1472" s="2">
        <f ca="1">IFERROR(__xludf.DUMMYFUNCTION("""COMPUTED_VALUE"""),44180)</f>
        <v>44180</v>
      </c>
      <c r="J1472" s="2">
        <f ca="1">IFERROR(__xludf.DUMMYFUNCTION("""COMPUTED_VALUE"""),44544)</f>
        <v>44544</v>
      </c>
    </row>
    <row r="1473" spans="1:10" x14ac:dyDescent="0.25">
      <c r="A1473" s="1" t="str">
        <f ca="1">IFERROR(__xludf.DUMMYFUNCTION("""COMPUTED_VALUE"""),"Tisza TSE")</f>
        <v>Tisza TSE</v>
      </c>
      <c r="B1473" s="1" t="str">
        <f ca="1">IFERROR(__xludf.DUMMYFUNCTION("""COMPUTED_VALUE"""),"Varga Zsolt Ákos")</f>
        <v>Varga Zsolt Ákos</v>
      </c>
      <c r="C1473" s="1"/>
      <c r="D1473" s="1" t="str">
        <f ca="1">IFERROR(__xludf.DUMMYFUNCTION("""COMPUTED_VALUE"""),"Férfi")</f>
        <v>Férfi</v>
      </c>
      <c r="E1473" s="1"/>
      <c r="F1473" s="1">
        <f ca="1">IFERROR(__xludf.DUMMYFUNCTION("""COMPUTED_VALUE"""),1979)</f>
        <v>1979</v>
      </c>
      <c r="G1473" s="1">
        <f ca="1">IFERROR(__xludf.DUMMYFUNCTION("""COMPUTED_VALUE"""),3989)</f>
        <v>3989</v>
      </c>
      <c r="H1473" s="1" t="str">
        <f ca="1">IFERROR(__xludf.DUMMYFUNCTION("""COMPUTED_VALUE"""),"MTLSZ003989A20")</f>
        <v>MTLSZ003989A20</v>
      </c>
      <c r="I1473" s="2">
        <f ca="1">IFERROR(__xludf.DUMMYFUNCTION("""COMPUTED_VALUE"""),44180)</f>
        <v>44180</v>
      </c>
      <c r="J1473" s="2">
        <f ca="1">IFERROR(__xludf.DUMMYFUNCTION("""COMPUTED_VALUE"""),44544)</f>
        <v>44544</v>
      </c>
    </row>
    <row r="1474" spans="1:10" x14ac:dyDescent="0.25">
      <c r="A1474" s="1" t="str">
        <f ca="1">IFERROR(__xludf.DUMMYFUNCTION("""COMPUTED_VALUE"""),"Újpest TSE")</f>
        <v>Újpest TSE</v>
      </c>
      <c r="B1474" s="1" t="str">
        <f ca="1">IFERROR(__xludf.DUMMYFUNCTION("""COMPUTED_VALUE"""),"Pálvölgyi Flóra")</f>
        <v>Pálvölgyi Flóra</v>
      </c>
      <c r="C1474" s="1"/>
      <c r="D1474" s="1" t="str">
        <f ca="1">IFERROR(__xludf.DUMMYFUNCTION("""COMPUTED_VALUE"""),"Nő")</f>
        <v>Nő</v>
      </c>
      <c r="E1474" s="1"/>
      <c r="F1474" s="1">
        <f ca="1">IFERROR(__xludf.DUMMYFUNCTION("""COMPUTED_VALUE"""),2005)</f>
        <v>2005</v>
      </c>
      <c r="G1474" s="1">
        <f ca="1">IFERROR(__xludf.DUMMYFUNCTION("""COMPUTED_VALUE"""),3974)</f>
        <v>3974</v>
      </c>
      <c r="H1474" s="1" t="str">
        <f ca="1">IFERROR(__xludf.DUMMYFUNCTION("""COMPUTED_VALUE"""),"MTLSZ003974A20")</f>
        <v>MTLSZ003974A20</v>
      </c>
      <c r="I1474" s="2">
        <f ca="1">IFERROR(__xludf.DUMMYFUNCTION("""COMPUTED_VALUE"""),44180)</f>
        <v>44180</v>
      </c>
      <c r="J1474" s="2">
        <f ca="1">IFERROR(__xludf.DUMMYFUNCTION("""COMPUTED_VALUE"""),44544)</f>
        <v>44544</v>
      </c>
    </row>
    <row r="1475" spans="1:10" x14ac:dyDescent="0.25">
      <c r="A1475" s="1" t="str">
        <f ca="1">IFERROR(__xludf.DUMMYFUNCTION("""COMPUTED_VALUE"""),"Formás SE")</f>
        <v>Formás SE</v>
      </c>
      <c r="B1475" s="1" t="str">
        <f ca="1">IFERROR(__xludf.DUMMYFUNCTION("""COMPUTED_VALUE"""),"Breglovics Boglárka")</f>
        <v>Breglovics Boglárka</v>
      </c>
      <c r="C1475" s="1"/>
      <c r="D1475" s="1" t="str">
        <f ca="1">IFERROR(__xludf.DUMMYFUNCTION("""COMPUTED_VALUE"""),"Nő")</f>
        <v>Nő</v>
      </c>
      <c r="E1475" s="1"/>
      <c r="F1475" s="1">
        <f ca="1">IFERROR(__xludf.DUMMYFUNCTION("""COMPUTED_VALUE"""),2010)</f>
        <v>2010</v>
      </c>
      <c r="G1475" s="1">
        <f ca="1">IFERROR(__xludf.DUMMYFUNCTION("""COMPUTED_VALUE"""),3973)</f>
        <v>3973</v>
      </c>
      <c r="H1475" s="1" t="str">
        <f ca="1">IFERROR(__xludf.DUMMYFUNCTION("""COMPUTED_VALUE"""),"MTLSZ003973A20")</f>
        <v>MTLSZ003973A20</v>
      </c>
      <c r="I1475" s="2">
        <f ca="1">IFERROR(__xludf.DUMMYFUNCTION("""COMPUTED_VALUE"""),44177)</f>
        <v>44177</v>
      </c>
      <c r="J1475" s="2">
        <f ca="1">IFERROR(__xludf.DUMMYFUNCTION("""COMPUTED_VALUE"""),44541)</f>
        <v>44541</v>
      </c>
    </row>
    <row r="1476" spans="1:10" x14ac:dyDescent="0.25">
      <c r="A1476" s="1" t="str">
        <f ca="1">IFERROR(__xludf.DUMMYFUNCTION("""COMPUTED_VALUE"""),"Formás SE")</f>
        <v>Formás SE</v>
      </c>
      <c r="B1476" s="1" t="str">
        <f ca="1">IFERROR(__xludf.DUMMYFUNCTION("""COMPUTED_VALUE"""),"Breglovicsné Dr. Hellinger Andrea")</f>
        <v>Breglovicsné Dr. Hellinger Andrea</v>
      </c>
      <c r="C1476" s="1"/>
      <c r="D1476" s="1" t="str">
        <f ca="1">IFERROR(__xludf.DUMMYFUNCTION("""COMPUTED_VALUE"""),"Nő")</f>
        <v>Nő</v>
      </c>
      <c r="E1476" s="1"/>
      <c r="F1476" s="1">
        <f ca="1">IFERROR(__xludf.DUMMYFUNCTION("""COMPUTED_VALUE"""),1982)</f>
        <v>1982</v>
      </c>
      <c r="G1476" s="1">
        <f ca="1">IFERROR(__xludf.DUMMYFUNCTION("""COMPUTED_VALUE"""),3972)</f>
        <v>3972</v>
      </c>
      <c r="H1476" s="1" t="str">
        <f ca="1">IFERROR(__xludf.DUMMYFUNCTION("""COMPUTED_VALUE"""),"MTLSZ003972A20")</f>
        <v>MTLSZ003972A20</v>
      </c>
      <c r="I1476" s="2">
        <f ca="1">IFERROR(__xludf.DUMMYFUNCTION("""COMPUTED_VALUE"""),44177)</f>
        <v>44177</v>
      </c>
      <c r="J1476" s="2">
        <f ca="1">IFERROR(__xludf.DUMMYFUNCTION("""COMPUTED_VALUE"""),44541)</f>
        <v>44541</v>
      </c>
    </row>
    <row r="1477" spans="1:10" x14ac:dyDescent="0.25">
      <c r="A1477" s="1" t="str">
        <f ca="1">IFERROR(__xludf.DUMMYFUNCTION("""COMPUTED_VALUE"""),"KörösTSE")</f>
        <v>KörösTSE</v>
      </c>
      <c r="B1477" s="1" t="str">
        <f ca="1">IFERROR(__xludf.DUMMYFUNCTION("""COMPUTED_VALUE"""),"Arató Nikolett")</f>
        <v>Arató Nikolett</v>
      </c>
      <c r="C1477" s="1"/>
      <c r="D1477" s="1" t="str">
        <f ca="1">IFERROR(__xludf.DUMMYFUNCTION("""COMPUTED_VALUE"""),"Nő")</f>
        <v>Nő</v>
      </c>
      <c r="E1477" s="1"/>
      <c r="F1477" s="1">
        <f ca="1">IFERROR(__xludf.DUMMYFUNCTION("""COMPUTED_VALUE"""),2006)</f>
        <v>2006</v>
      </c>
      <c r="G1477" s="1">
        <f ca="1">IFERROR(__xludf.DUMMYFUNCTION("""COMPUTED_VALUE"""),3967)</f>
        <v>3967</v>
      </c>
      <c r="H1477" s="1" t="str">
        <f ca="1">IFERROR(__xludf.DUMMYFUNCTION("""COMPUTED_VALUE"""),"MTLSZ003967A20")</f>
        <v>MTLSZ003967A20</v>
      </c>
      <c r="I1477" s="2">
        <f ca="1">IFERROR(__xludf.DUMMYFUNCTION("""COMPUTED_VALUE"""),44177)</f>
        <v>44177</v>
      </c>
      <c r="J1477" s="2">
        <f ca="1">IFERROR(__xludf.DUMMYFUNCTION("""COMPUTED_VALUE"""),44541)</f>
        <v>44541</v>
      </c>
    </row>
    <row r="1478" spans="1:10" x14ac:dyDescent="0.25">
      <c r="A1478" s="1" t="str">
        <f ca="1">IFERROR(__xludf.DUMMYFUNCTION("""COMPUTED_VALUE"""),"KörösTSE")</f>
        <v>KörösTSE</v>
      </c>
      <c r="B1478" s="1" t="str">
        <f ca="1">IFERROR(__xludf.DUMMYFUNCTION("""COMPUTED_VALUE"""),"Boldis Natália")</f>
        <v>Boldis Natália</v>
      </c>
      <c r="C1478" s="1"/>
      <c r="D1478" s="1" t="str">
        <f ca="1">IFERROR(__xludf.DUMMYFUNCTION("""COMPUTED_VALUE"""),"Nő")</f>
        <v>Nő</v>
      </c>
      <c r="E1478" s="1"/>
      <c r="F1478" s="1">
        <f ca="1">IFERROR(__xludf.DUMMYFUNCTION("""COMPUTED_VALUE"""),2007)</f>
        <v>2007</v>
      </c>
      <c r="G1478" s="1">
        <f ca="1">IFERROR(__xludf.DUMMYFUNCTION("""COMPUTED_VALUE"""),3962)</f>
        <v>3962</v>
      </c>
      <c r="H1478" s="1" t="str">
        <f ca="1">IFERROR(__xludf.DUMMYFUNCTION("""COMPUTED_VALUE"""),"MTLSZ003962A20")</f>
        <v>MTLSZ003962A20</v>
      </c>
      <c r="I1478" s="2">
        <f ca="1">IFERROR(__xludf.DUMMYFUNCTION("""COMPUTED_VALUE"""),44177)</f>
        <v>44177</v>
      </c>
      <c r="J1478" s="2">
        <f ca="1">IFERROR(__xludf.DUMMYFUNCTION("""COMPUTED_VALUE"""),44541)</f>
        <v>44541</v>
      </c>
    </row>
    <row r="1479" spans="1:10" x14ac:dyDescent="0.25">
      <c r="A1479" s="1" t="str">
        <f ca="1">IFERROR(__xludf.DUMMYFUNCTION("""COMPUTED_VALUE"""),"KörösTSE")</f>
        <v>KörösTSE</v>
      </c>
      <c r="B1479" s="1" t="str">
        <f ca="1">IFERROR(__xludf.DUMMYFUNCTION("""COMPUTED_VALUE"""),"Frankó Petra")</f>
        <v>Frankó Petra</v>
      </c>
      <c r="C1479" s="1"/>
      <c r="D1479" s="1" t="str">
        <f ca="1">IFERROR(__xludf.DUMMYFUNCTION("""COMPUTED_VALUE"""),"Nő")</f>
        <v>Nő</v>
      </c>
      <c r="E1479" s="1"/>
      <c r="F1479" s="1">
        <f ca="1">IFERROR(__xludf.DUMMYFUNCTION("""COMPUTED_VALUE"""),2006)</f>
        <v>2006</v>
      </c>
      <c r="G1479" s="1">
        <f ca="1">IFERROR(__xludf.DUMMYFUNCTION("""COMPUTED_VALUE"""),3963)</f>
        <v>3963</v>
      </c>
      <c r="H1479" s="1" t="str">
        <f ca="1">IFERROR(__xludf.DUMMYFUNCTION("""COMPUTED_VALUE"""),"MTLSZ003963A20")</f>
        <v>MTLSZ003963A20</v>
      </c>
      <c r="I1479" s="2">
        <f ca="1">IFERROR(__xludf.DUMMYFUNCTION("""COMPUTED_VALUE"""),44177)</f>
        <v>44177</v>
      </c>
      <c r="J1479" s="2">
        <f ca="1">IFERROR(__xludf.DUMMYFUNCTION("""COMPUTED_VALUE"""),44541)</f>
        <v>44541</v>
      </c>
    </row>
    <row r="1480" spans="1:10" x14ac:dyDescent="0.25">
      <c r="A1480" s="1" t="str">
        <f ca="1">IFERROR(__xludf.DUMMYFUNCTION("""COMPUTED_VALUE"""),"KörösTSE")</f>
        <v>KörösTSE</v>
      </c>
      <c r="B1480" s="1" t="str">
        <f ca="1">IFERROR(__xludf.DUMMYFUNCTION("""COMPUTED_VALUE"""),"Pázsik Anna")</f>
        <v>Pázsik Anna</v>
      </c>
      <c r="C1480" s="1"/>
      <c r="D1480" s="1" t="str">
        <f ca="1">IFERROR(__xludf.DUMMYFUNCTION("""COMPUTED_VALUE"""),"Nő")</f>
        <v>Nő</v>
      </c>
      <c r="E1480" s="1"/>
      <c r="F1480" s="1">
        <f ca="1">IFERROR(__xludf.DUMMYFUNCTION("""COMPUTED_VALUE"""),2005)</f>
        <v>2005</v>
      </c>
      <c r="G1480" s="1">
        <f ca="1">IFERROR(__xludf.DUMMYFUNCTION("""COMPUTED_VALUE"""),3965)</f>
        <v>3965</v>
      </c>
      <c r="H1480" s="1" t="str">
        <f ca="1">IFERROR(__xludf.DUMMYFUNCTION("""COMPUTED_VALUE"""),"MTLSZ003965A20")</f>
        <v>MTLSZ003965A20</v>
      </c>
      <c r="I1480" s="2">
        <f ca="1">IFERROR(__xludf.DUMMYFUNCTION("""COMPUTED_VALUE"""),44177)</f>
        <v>44177</v>
      </c>
      <c r="J1480" s="2">
        <f ca="1">IFERROR(__xludf.DUMMYFUNCTION("""COMPUTED_VALUE"""),44541)</f>
        <v>44541</v>
      </c>
    </row>
    <row r="1481" spans="1:10" x14ac:dyDescent="0.25">
      <c r="A1481" s="1" t="str">
        <f ca="1">IFERROR(__xludf.DUMMYFUNCTION("""COMPUTED_VALUE"""),"KörösTSE")</f>
        <v>KörösTSE</v>
      </c>
      <c r="B1481" s="1" t="str">
        <f ca="1">IFERROR(__xludf.DUMMYFUNCTION("""COMPUTED_VALUE"""),"Rózsa Rebeka")</f>
        <v>Rózsa Rebeka</v>
      </c>
      <c r="C1481" s="1"/>
      <c r="D1481" s="1" t="str">
        <f ca="1">IFERROR(__xludf.DUMMYFUNCTION("""COMPUTED_VALUE"""),"Nő")</f>
        <v>Nő</v>
      </c>
      <c r="E1481" s="1"/>
      <c r="F1481" s="1">
        <f ca="1">IFERROR(__xludf.DUMMYFUNCTION("""COMPUTED_VALUE"""),2006)</f>
        <v>2006</v>
      </c>
      <c r="G1481" s="1">
        <f ca="1">IFERROR(__xludf.DUMMYFUNCTION("""COMPUTED_VALUE"""),3966)</f>
        <v>3966</v>
      </c>
      <c r="H1481" s="1" t="str">
        <f ca="1">IFERROR(__xludf.DUMMYFUNCTION("""COMPUTED_VALUE"""),"MTLSZ003966A20")</f>
        <v>MTLSZ003966A20</v>
      </c>
      <c r="I1481" s="2">
        <f ca="1">IFERROR(__xludf.DUMMYFUNCTION("""COMPUTED_VALUE"""),44177)</f>
        <v>44177</v>
      </c>
      <c r="J1481" s="2">
        <f ca="1">IFERROR(__xludf.DUMMYFUNCTION("""COMPUTED_VALUE"""),44541)</f>
        <v>44541</v>
      </c>
    </row>
    <row r="1482" spans="1:10" x14ac:dyDescent="0.25">
      <c r="A1482" s="1" t="str">
        <f ca="1">IFERROR(__xludf.DUMMYFUNCTION("""COMPUTED_VALUE"""),"KörösTSE")</f>
        <v>KörösTSE</v>
      </c>
      <c r="B1482" s="1" t="str">
        <f ca="1">IFERROR(__xludf.DUMMYFUNCTION("""COMPUTED_VALUE"""),"Rózsa Réka")</f>
        <v>Rózsa Réka</v>
      </c>
      <c r="C1482" s="1"/>
      <c r="D1482" s="1" t="str">
        <f ca="1">IFERROR(__xludf.DUMMYFUNCTION("""COMPUTED_VALUE"""),"Nő")</f>
        <v>Nő</v>
      </c>
      <c r="E1482" s="1"/>
      <c r="F1482" s="1">
        <f ca="1">IFERROR(__xludf.DUMMYFUNCTION("""COMPUTED_VALUE"""),2006)</f>
        <v>2006</v>
      </c>
      <c r="G1482" s="1">
        <f ca="1">IFERROR(__xludf.DUMMYFUNCTION("""COMPUTED_VALUE"""),3964)</f>
        <v>3964</v>
      </c>
      <c r="H1482" s="1" t="str">
        <f ca="1">IFERROR(__xludf.DUMMYFUNCTION("""COMPUTED_VALUE"""),"MTLSZ003964A20")</f>
        <v>MTLSZ003964A20</v>
      </c>
      <c r="I1482" s="2">
        <f ca="1">IFERROR(__xludf.DUMMYFUNCTION("""COMPUTED_VALUE"""),44177)</f>
        <v>44177</v>
      </c>
      <c r="J1482" s="2">
        <f ca="1">IFERROR(__xludf.DUMMYFUNCTION("""COMPUTED_VALUE"""),44541)</f>
        <v>44541</v>
      </c>
    </row>
    <row r="1483" spans="1:10" x14ac:dyDescent="0.25">
      <c r="A1483" s="1" t="str">
        <f ca="1">IFERROR(__xludf.DUMMYFUNCTION("""COMPUTED_VALUE"""),"KörösTSE")</f>
        <v>KörösTSE</v>
      </c>
      <c r="B1483" s="1" t="str">
        <f ca="1">IFERROR(__xludf.DUMMYFUNCTION("""COMPUTED_VALUE"""),"Uhrin Petra")</f>
        <v>Uhrin Petra</v>
      </c>
      <c r="C1483" s="1"/>
      <c r="D1483" s="1" t="str">
        <f ca="1">IFERROR(__xludf.DUMMYFUNCTION("""COMPUTED_VALUE"""),"Nő")</f>
        <v>Nő</v>
      </c>
      <c r="E1483" s="1"/>
      <c r="F1483" s="1">
        <f ca="1">IFERROR(__xludf.DUMMYFUNCTION("""COMPUTED_VALUE"""),2005)</f>
        <v>2005</v>
      </c>
      <c r="G1483" s="1">
        <f ca="1">IFERROR(__xludf.DUMMYFUNCTION("""COMPUTED_VALUE"""),3961)</f>
        <v>3961</v>
      </c>
      <c r="H1483" s="1" t="str">
        <f ca="1">IFERROR(__xludf.DUMMYFUNCTION("""COMPUTED_VALUE"""),"MTLSZ003961A20")</f>
        <v>MTLSZ003961A20</v>
      </c>
      <c r="I1483" s="2">
        <f ca="1">IFERROR(__xludf.DUMMYFUNCTION("""COMPUTED_VALUE"""),44177)</f>
        <v>44177</v>
      </c>
      <c r="J1483" s="2">
        <f ca="1">IFERROR(__xludf.DUMMYFUNCTION("""COMPUTED_VALUE"""),44541)</f>
        <v>44541</v>
      </c>
    </row>
    <row r="1484" spans="1:10" x14ac:dyDescent="0.25">
      <c r="A1484" s="1" t="str">
        <f ca="1">IFERROR(__xludf.DUMMYFUNCTION("""COMPUTED_VALUE"""),"Multi Alarm SE")</f>
        <v>Multi Alarm SE</v>
      </c>
      <c r="B1484" s="1" t="str">
        <f ca="1">IFERROR(__xludf.DUMMYFUNCTION("""COMPUTED_VALUE"""),"Kalenics Anna")</f>
        <v>Kalenics Anna</v>
      </c>
      <c r="C1484" s="1"/>
      <c r="D1484" s="1" t="str">
        <f ca="1">IFERROR(__xludf.DUMMYFUNCTION("""COMPUTED_VALUE"""),"Férfi")</f>
        <v>Férfi</v>
      </c>
      <c r="E1484" s="1"/>
      <c r="F1484" s="1">
        <f ca="1">IFERROR(__xludf.DUMMYFUNCTION("""COMPUTED_VALUE"""),2010)</f>
        <v>2010</v>
      </c>
      <c r="G1484" s="1">
        <f ca="1">IFERROR(__xludf.DUMMYFUNCTION("""COMPUTED_VALUE"""),3971)</f>
        <v>3971</v>
      </c>
      <c r="H1484" s="1" t="str">
        <f ca="1">IFERROR(__xludf.DUMMYFUNCTION("""COMPUTED_VALUE"""),"MTLSZ003971A20")</f>
        <v>MTLSZ003971A20</v>
      </c>
      <c r="I1484" s="2">
        <f ca="1">IFERROR(__xludf.DUMMYFUNCTION("""COMPUTED_VALUE"""),44177)</f>
        <v>44177</v>
      </c>
      <c r="J1484" s="2">
        <f ca="1">IFERROR(__xludf.DUMMYFUNCTION("""COMPUTED_VALUE"""),44541)</f>
        <v>44541</v>
      </c>
    </row>
    <row r="1485" spans="1:10" x14ac:dyDescent="0.25">
      <c r="A1485" s="1" t="str">
        <f ca="1">IFERROR(__xludf.DUMMYFUNCTION("""COMPUTED_VALUE"""),"Újpest TSE")</f>
        <v>Újpest TSE</v>
      </c>
      <c r="B1485" s="1" t="str">
        <f ca="1">IFERROR(__xludf.DUMMYFUNCTION("""COMPUTED_VALUE"""),"Klimasz László")</f>
        <v>Klimasz László</v>
      </c>
      <c r="C1485" s="1"/>
      <c r="D1485" s="1" t="str">
        <f ca="1">IFERROR(__xludf.DUMMYFUNCTION("""COMPUTED_VALUE"""),"Férfi")</f>
        <v>Férfi</v>
      </c>
      <c r="E1485" s="1"/>
      <c r="F1485" s="1">
        <f ca="1">IFERROR(__xludf.DUMMYFUNCTION("""COMPUTED_VALUE"""),1972)</f>
        <v>1972</v>
      </c>
      <c r="G1485" s="1">
        <f ca="1">IFERROR(__xludf.DUMMYFUNCTION("""COMPUTED_VALUE"""),3968)</f>
        <v>3968</v>
      </c>
      <c r="H1485" s="1" t="str">
        <f ca="1">IFERROR(__xludf.DUMMYFUNCTION("""COMPUTED_VALUE"""),"MTLSZ003968A20")</f>
        <v>MTLSZ003968A20</v>
      </c>
      <c r="I1485" s="2">
        <f ca="1">IFERROR(__xludf.DUMMYFUNCTION("""COMPUTED_VALUE"""),44177)</f>
        <v>44177</v>
      </c>
      <c r="J1485" s="2">
        <f ca="1">IFERROR(__xludf.DUMMYFUNCTION("""COMPUTED_VALUE"""),44541)</f>
        <v>44541</v>
      </c>
    </row>
    <row r="1486" spans="1:10" x14ac:dyDescent="0.25">
      <c r="A1486" s="1" t="str">
        <f ca="1">IFERROR(__xludf.DUMMYFUNCTION("""COMPUTED_VALUE"""),"Életmód SE")</f>
        <v>Életmód SE</v>
      </c>
      <c r="B1486" s="1" t="str">
        <f ca="1">IFERROR(__xludf.DUMMYFUNCTION("""COMPUTED_VALUE"""),"Békési Zsolt")</f>
        <v>Békési Zsolt</v>
      </c>
      <c r="C1486" s="1"/>
      <c r="D1486" s="1" t="str">
        <f ca="1">IFERROR(__xludf.DUMMYFUNCTION("""COMPUTED_VALUE"""),"Férfi")</f>
        <v>Férfi</v>
      </c>
      <c r="E1486" s="1"/>
      <c r="F1486" s="1">
        <f ca="1">IFERROR(__xludf.DUMMYFUNCTION("""COMPUTED_VALUE"""),1984)</f>
        <v>1984</v>
      </c>
      <c r="G1486" s="1">
        <f ca="1">IFERROR(__xludf.DUMMYFUNCTION("""COMPUTED_VALUE"""),3959)</f>
        <v>3959</v>
      </c>
      <c r="H1486" s="1" t="str">
        <f ca="1">IFERROR(__xludf.DUMMYFUNCTION("""COMPUTED_VALUE"""),"MTLSZ003959A20")</f>
        <v>MTLSZ003959A20</v>
      </c>
      <c r="I1486" s="2">
        <f ca="1">IFERROR(__xludf.DUMMYFUNCTION("""COMPUTED_VALUE"""),44176)</f>
        <v>44176</v>
      </c>
      <c r="J1486" s="2">
        <f ca="1">IFERROR(__xludf.DUMMYFUNCTION("""COMPUTED_VALUE"""),44540)</f>
        <v>44540</v>
      </c>
    </row>
    <row r="1487" spans="1:10" x14ac:dyDescent="0.25">
      <c r="A1487" s="1" t="str">
        <f ca="1">IFERROR(__xludf.DUMMYFUNCTION("""COMPUTED_VALUE"""),"Életmód SE")</f>
        <v>Életmód SE</v>
      </c>
      <c r="B1487" s="1" t="str">
        <f ca="1">IFERROR(__xludf.DUMMYFUNCTION("""COMPUTED_VALUE"""),"Torma Panna Barbara")</f>
        <v>Torma Panna Barbara</v>
      </c>
      <c r="C1487" s="1"/>
      <c r="D1487" s="1" t="str">
        <f ca="1">IFERROR(__xludf.DUMMYFUNCTION("""COMPUTED_VALUE"""),"Nő")</f>
        <v>Nő</v>
      </c>
      <c r="E1487" s="1"/>
      <c r="F1487" s="1">
        <f ca="1">IFERROR(__xludf.DUMMYFUNCTION("""COMPUTED_VALUE"""),2002)</f>
        <v>2002</v>
      </c>
      <c r="G1487" s="1">
        <f ca="1">IFERROR(__xludf.DUMMYFUNCTION("""COMPUTED_VALUE"""),3958)</f>
        <v>3958</v>
      </c>
      <c r="H1487" s="1" t="str">
        <f ca="1">IFERROR(__xludf.DUMMYFUNCTION("""COMPUTED_VALUE"""),"MTLSZ003958A20")</f>
        <v>MTLSZ003958A20</v>
      </c>
      <c r="I1487" s="2">
        <f ca="1">IFERROR(__xludf.DUMMYFUNCTION("""COMPUTED_VALUE"""),44176)</f>
        <v>44176</v>
      </c>
      <c r="J1487" s="2">
        <f ca="1">IFERROR(__xludf.DUMMYFUNCTION("""COMPUTED_VALUE"""),44540)</f>
        <v>44540</v>
      </c>
    </row>
    <row r="1488" spans="1:10" x14ac:dyDescent="0.25">
      <c r="A1488" s="1" t="str">
        <f ca="1">IFERROR(__xludf.DUMMYFUNCTION("""COMPUTED_VALUE"""),"Szegedi TSE")</f>
        <v>Szegedi TSE</v>
      </c>
      <c r="B1488" s="1" t="str">
        <f ca="1">IFERROR(__xludf.DUMMYFUNCTION("""COMPUTED_VALUE"""),"Nagy Zsolt")</f>
        <v>Nagy Zsolt</v>
      </c>
      <c r="C1488" s="1"/>
      <c r="D1488" s="1" t="str">
        <f ca="1">IFERROR(__xludf.DUMMYFUNCTION("""COMPUTED_VALUE"""),"Férfi")</f>
        <v>Férfi</v>
      </c>
      <c r="E1488" s="1"/>
      <c r="F1488" s="1">
        <f ca="1">IFERROR(__xludf.DUMMYFUNCTION("""COMPUTED_VALUE"""),1977)</f>
        <v>1977</v>
      </c>
      <c r="G1488" s="1">
        <f ca="1">IFERROR(__xludf.DUMMYFUNCTION("""COMPUTED_VALUE"""),3957)</f>
        <v>3957</v>
      </c>
      <c r="H1488" s="1" t="str">
        <f ca="1">IFERROR(__xludf.DUMMYFUNCTION("""COMPUTED_VALUE"""),"MTLSZ003957A20")</f>
        <v>MTLSZ003957A20</v>
      </c>
      <c r="I1488" s="2">
        <f ca="1">IFERROR(__xludf.DUMMYFUNCTION("""COMPUTED_VALUE"""),44175)</f>
        <v>44175</v>
      </c>
      <c r="J1488" s="2">
        <f ca="1">IFERROR(__xludf.DUMMYFUNCTION("""COMPUTED_VALUE"""),44539)</f>
        <v>44539</v>
      </c>
    </row>
    <row r="1489" spans="1:10" x14ac:dyDescent="0.25">
      <c r="A1489" s="1" t="str">
        <f ca="1">IFERROR(__xludf.DUMMYFUNCTION("""COMPUTED_VALUE"""),"T(r)ollas SE")</f>
        <v>T(r)ollas SE</v>
      </c>
      <c r="B1489" s="1" t="str">
        <f ca="1">IFERROR(__xludf.DUMMYFUNCTION("""COMPUTED_VALUE"""),"Radócz Katalin")</f>
        <v>Radócz Katalin</v>
      </c>
      <c r="C1489" s="1"/>
      <c r="D1489" s="1" t="str">
        <f ca="1">IFERROR(__xludf.DUMMYFUNCTION("""COMPUTED_VALUE"""),"Nő")</f>
        <v>Nő</v>
      </c>
      <c r="E1489" s="1"/>
      <c r="F1489" s="1">
        <f ca="1">IFERROR(__xludf.DUMMYFUNCTION("""COMPUTED_VALUE"""),1980)</f>
        <v>1980</v>
      </c>
      <c r="G1489" s="1">
        <f ca="1">IFERROR(__xludf.DUMMYFUNCTION("""COMPUTED_VALUE"""),1697)</f>
        <v>1697</v>
      </c>
      <c r="H1489" s="1" t="str">
        <f ca="1">IFERROR(__xludf.DUMMYFUNCTION("""COMPUTED_VALUE"""),"MTLSZ001697A20")</f>
        <v>MTLSZ001697A20</v>
      </c>
      <c r="I1489" s="2">
        <f ca="1">IFERROR(__xludf.DUMMYFUNCTION("""COMPUTED_VALUE"""),44175)</f>
        <v>44175</v>
      </c>
      <c r="J1489" s="2">
        <f ca="1">IFERROR(__xludf.DUMMYFUNCTION("""COMPUTED_VALUE"""),44539)</f>
        <v>44539</v>
      </c>
    </row>
    <row r="1490" spans="1:10" x14ac:dyDescent="0.25">
      <c r="A1490" s="1" t="str">
        <f ca="1">IFERROR(__xludf.DUMMYFUNCTION("""COMPUTED_VALUE"""),"Keszthelyi TE")</f>
        <v>Keszthelyi TE</v>
      </c>
      <c r="B1490" s="1" t="str">
        <f ca="1">IFERROR(__xludf.DUMMYFUNCTION("""COMPUTED_VALUE"""),"Mayer Gábor")</f>
        <v>Mayer Gábor</v>
      </c>
      <c r="C1490" s="1"/>
      <c r="D1490" s="1" t="str">
        <f ca="1">IFERROR(__xludf.DUMMYFUNCTION("""COMPUTED_VALUE"""),"Férfi")</f>
        <v>Férfi</v>
      </c>
      <c r="E1490" s="1"/>
      <c r="F1490" s="1">
        <f ca="1">IFERROR(__xludf.DUMMYFUNCTION("""COMPUTED_VALUE"""),1978)</f>
        <v>1978</v>
      </c>
      <c r="G1490" s="1">
        <f ca="1">IFERROR(__xludf.DUMMYFUNCTION("""COMPUTED_VALUE"""),2533)</f>
        <v>2533</v>
      </c>
      <c r="H1490" s="1" t="str">
        <f ca="1">IFERROR(__xludf.DUMMYFUNCTION("""COMPUTED_VALUE"""),"MTLSZ002533A20")</f>
        <v>MTLSZ002533A20</v>
      </c>
      <c r="I1490" s="2">
        <f ca="1">IFERROR(__xludf.DUMMYFUNCTION("""COMPUTED_VALUE"""),44174)</f>
        <v>44174</v>
      </c>
      <c r="J1490" s="2">
        <f ca="1">IFERROR(__xludf.DUMMYFUNCTION("""COMPUTED_VALUE"""),44538)</f>
        <v>44538</v>
      </c>
    </row>
    <row r="1491" spans="1:10" x14ac:dyDescent="0.25">
      <c r="A1491" s="1" t="str">
        <f ca="1">IFERROR(__xludf.DUMMYFUNCTION("""COMPUTED_VALUE"""),"Pillangó TK")</f>
        <v>Pillangó TK</v>
      </c>
      <c r="B1491" s="1" t="str">
        <f ca="1">IFERROR(__xludf.DUMMYFUNCTION("""COMPUTED_VALUE"""),"Németh Péter")</f>
        <v>Németh Péter</v>
      </c>
      <c r="C1491" s="1"/>
      <c r="D1491" s="1" t="str">
        <f ca="1">IFERROR(__xludf.DUMMYFUNCTION("""COMPUTED_VALUE"""),"Férfi")</f>
        <v>Férfi</v>
      </c>
      <c r="E1491" s="1"/>
      <c r="F1491" s="1">
        <f ca="1">IFERROR(__xludf.DUMMYFUNCTION("""COMPUTED_VALUE"""),1972)</f>
        <v>1972</v>
      </c>
      <c r="G1491" s="1">
        <f ca="1">IFERROR(__xludf.DUMMYFUNCTION("""COMPUTED_VALUE"""),3955)</f>
        <v>3955</v>
      </c>
      <c r="H1491" s="1" t="str">
        <f ca="1">IFERROR(__xludf.DUMMYFUNCTION("""COMPUTED_VALUE"""),"MTLSZ003955A20")</f>
        <v>MTLSZ003955A20</v>
      </c>
      <c r="I1491" s="2">
        <f ca="1">IFERROR(__xludf.DUMMYFUNCTION("""COMPUTED_VALUE"""),44174)</f>
        <v>44174</v>
      </c>
      <c r="J1491" s="2">
        <f ca="1">IFERROR(__xludf.DUMMYFUNCTION("""COMPUTED_VALUE"""),44538)</f>
        <v>44538</v>
      </c>
    </row>
    <row r="1492" spans="1:10" x14ac:dyDescent="0.25">
      <c r="A1492" s="1" t="str">
        <f ca="1">IFERROR(__xludf.DUMMYFUNCTION("""COMPUTED_VALUE"""),"Szegedi TSE")</f>
        <v>Szegedi TSE</v>
      </c>
      <c r="B1492" s="1" t="str">
        <f ca="1">IFERROR(__xludf.DUMMYFUNCTION("""COMPUTED_VALUE"""),"Kondorosi Kinga")</f>
        <v>Kondorosi Kinga</v>
      </c>
      <c r="C1492" s="1"/>
      <c r="D1492" s="1" t="str">
        <f ca="1">IFERROR(__xludf.DUMMYFUNCTION("""COMPUTED_VALUE"""),"Nő")</f>
        <v>Nő</v>
      </c>
      <c r="E1492" s="1"/>
      <c r="F1492" s="1">
        <f ca="1">IFERROR(__xludf.DUMMYFUNCTION("""COMPUTED_VALUE"""),1992)</f>
        <v>1992</v>
      </c>
      <c r="G1492" s="1">
        <f ca="1">IFERROR(__xludf.DUMMYFUNCTION("""COMPUTED_VALUE"""),3954)</f>
        <v>3954</v>
      </c>
      <c r="H1492" s="1" t="str">
        <f ca="1">IFERROR(__xludf.DUMMYFUNCTION("""COMPUTED_VALUE"""),"MTLSZ003954A20")</f>
        <v>MTLSZ003954A20</v>
      </c>
      <c r="I1492" s="2">
        <f ca="1">IFERROR(__xludf.DUMMYFUNCTION("""COMPUTED_VALUE"""),44174)</f>
        <v>44174</v>
      </c>
      <c r="J1492" s="2">
        <f ca="1">IFERROR(__xludf.DUMMYFUNCTION("""COMPUTED_VALUE"""),44538)</f>
        <v>44538</v>
      </c>
    </row>
    <row r="1493" spans="1:10" x14ac:dyDescent="0.25">
      <c r="A1493" s="1" t="str">
        <f ca="1">IFERROR(__xludf.DUMMYFUNCTION("""COMPUTED_VALUE"""),"Szegedi TSE")</f>
        <v>Szegedi TSE</v>
      </c>
      <c r="B1493" s="1" t="str">
        <f ca="1">IFERROR(__xludf.DUMMYFUNCTION("""COMPUTED_VALUE"""),"Kőműves Edvárd")</f>
        <v>Kőműves Edvárd</v>
      </c>
      <c r="C1493" s="1"/>
      <c r="D1493" s="1" t="str">
        <f ca="1">IFERROR(__xludf.DUMMYFUNCTION("""COMPUTED_VALUE"""),"Férfi")</f>
        <v>Férfi</v>
      </c>
      <c r="E1493" s="1"/>
      <c r="F1493" s="1">
        <f ca="1">IFERROR(__xludf.DUMMYFUNCTION("""COMPUTED_VALUE"""),1968)</f>
        <v>1968</v>
      </c>
      <c r="G1493" s="1">
        <f ca="1">IFERROR(__xludf.DUMMYFUNCTION("""COMPUTED_VALUE"""),3024)</f>
        <v>3024</v>
      </c>
      <c r="H1493" s="1" t="str">
        <f ca="1">IFERROR(__xludf.DUMMYFUNCTION("""COMPUTED_VALUE"""),"MTLSZ003024A20")</f>
        <v>MTLSZ003024A20</v>
      </c>
      <c r="I1493" s="2">
        <f ca="1">IFERROR(__xludf.DUMMYFUNCTION("""COMPUTED_VALUE"""),44174)</f>
        <v>44174</v>
      </c>
      <c r="J1493" s="2">
        <f ca="1">IFERROR(__xludf.DUMMYFUNCTION("""COMPUTED_VALUE"""),44538)</f>
        <v>44538</v>
      </c>
    </row>
    <row r="1494" spans="1:10" x14ac:dyDescent="0.25">
      <c r="A1494" s="1" t="str">
        <f ca="1">IFERROR(__xludf.DUMMYFUNCTION("""COMPUTED_VALUE"""),"Tisza TSE")</f>
        <v>Tisza TSE</v>
      </c>
      <c r="B1494" s="1" t="str">
        <f ca="1">IFERROR(__xludf.DUMMYFUNCTION("""COMPUTED_VALUE"""),"Csiszár Tibor")</f>
        <v>Csiszár Tibor</v>
      </c>
      <c r="C1494" s="1"/>
      <c r="D1494" s="1" t="str">
        <f ca="1">IFERROR(__xludf.DUMMYFUNCTION("""COMPUTED_VALUE"""),"Férfi")</f>
        <v>Férfi</v>
      </c>
      <c r="E1494" s="1"/>
      <c r="F1494" s="1">
        <f ca="1">IFERROR(__xludf.DUMMYFUNCTION("""COMPUTED_VALUE"""),1974)</f>
        <v>1974</v>
      </c>
      <c r="G1494" s="1">
        <f ca="1">IFERROR(__xludf.DUMMYFUNCTION("""COMPUTED_VALUE"""),3952)</f>
        <v>3952</v>
      </c>
      <c r="H1494" s="1" t="str">
        <f ca="1">IFERROR(__xludf.DUMMYFUNCTION("""COMPUTED_VALUE"""),"MTLSZ003952A20")</f>
        <v>MTLSZ003952A20</v>
      </c>
      <c r="I1494" s="2">
        <f ca="1">IFERROR(__xludf.DUMMYFUNCTION("""COMPUTED_VALUE"""),44174)</f>
        <v>44174</v>
      </c>
      <c r="J1494" s="2">
        <f ca="1">IFERROR(__xludf.DUMMYFUNCTION("""COMPUTED_VALUE"""),44538)</f>
        <v>44538</v>
      </c>
    </row>
    <row r="1495" spans="1:10" x14ac:dyDescent="0.25">
      <c r="A1495" s="1" t="str">
        <f ca="1">IFERROR(__xludf.DUMMYFUNCTION("""COMPUTED_VALUE"""),"Tisza TSE")</f>
        <v>Tisza TSE</v>
      </c>
      <c r="B1495" s="1" t="str">
        <f ca="1">IFERROR(__xludf.DUMMYFUNCTION("""COMPUTED_VALUE"""),"Csiszár-Fehér Sarolta")</f>
        <v>Csiszár-Fehér Sarolta</v>
      </c>
      <c r="C1495" s="1"/>
      <c r="D1495" s="1" t="str">
        <f ca="1">IFERROR(__xludf.DUMMYFUNCTION("""COMPUTED_VALUE"""),"Nő")</f>
        <v>Nő</v>
      </c>
      <c r="E1495" s="1"/>
      <c r="F1495" s="1">
        <f ca="1">IFERROR(__xludf.DUMMYFUNCTION("""COMPUTED_VALUE"""),1974)</f>
        <v>1974</v>
      </c>
      <c r="G1495" s="1">
        <f ca="1">IFERROR(__xludf.DUMMYFUNCTION("""COMPUTED_VALUE"""),3953)</f>
        <v>3953</v>
      </c>
      <c r="H1495" s="1" t="str">
        <f ca="1">IFERROR(__xludf.DUMMYFUNCTION("""COMPUTED_VALUE"""),"MTLSZ003953A20")</f>
        <v>MTLSZ003953A20</v>
      </c>
      <c r="I1495" s="2">
        <f ca="1">IFERROR(__xludf.DUMMYFUNCTION("""COMPUTED_VALUE"""),44174)</f>
        <v>44174</v>
      </c>
      <c r="J1495" s="2">
        <f ca="1">IFERROR(__xludf.DUMMYFUNCTION("""COMPUTED_VALUE"""),44538)</f>
        <v>44538</v>
      </c>
    </row>
    <row r="1496" spans="1:10" x14ac:dyDescent="0.25">
      <c r="A1496" s="1" t="str">
        <f ca="1">IFERROR(__xludf.DUMMYFUNCTION("""COMPUTED_VALUE"""),"T(r)ollas SE")</f>
        <v>T(r)ollas SE</v>
      </c>
      <c r="B1496" s="1" t="str">
        <f ca="1">IFERROR(__xludf.DUMMYFUNCTION("""COMPUTED_VALUE"""),"Deim László")</f>
        <v>Deim László</v>
      </c>
      <c r="C1496" s="1"/>
      <c r="D1496" s="1" t="str">
        <f ca="1">IFERROR(__xludf.DUMMYFUNCTION("""COMPUTED_VALUE"""),"Férfi")</f>
        <v>Férfi</v>
      </c>
      <c r="E1496" s="1"/>
      <c r="F1496" s="1">
        <f ca="1">IFERROR(__xludf.DUMMYFUNCTION("""COMPUTED_VALUE"""),1972)</f>
        <v>1972</v>
      </c>
      <c r="G1496" s="1">
        <f ca="1">IFERROR(__xludf.DUMMYFUNCTION("""COMPUTED_VALUE"""),3956)</f>
        <v>3956</v>
      </c>
      <c r="H1496" s="1" t="str">
        <f ca="1">IFERROR(__xludf.DUMMYFUNCTION("""COMPUTED_VALUE"""),"MTLSZ003956A20")</f>
        <v>MTLSZ003956A20</v>
      </c>
      <c r="I1496" s="2">
        <f ca="1">IFERROR(__xludf.DUMMYFUNCTION("""COMPUTED_VALUE"""),44174)</f>
        <v>44174</v>
      </c>
      <c r="J1496" s="2">
        <f ca="1">IFERROR(__xludf.DUMMYFUNCTION("""COMPUTED_VALUE"""),44538)</f>
        <v>44538</v>
      </c>
    </row>
    <row r="1497" spans="1:10" x14ac:dyDescent="0.25">
      <c r="A1497" s="1" t="str">
        <f ca="1">IFERROR(__xludf.DUMMYFUNCTION("""COMPUTED_VALUE"""),"T(r)ollas SE")</f>
        <v>T(r)ollas SE</v>
      </c>
      <c r="B1497" s="1" t="str">
        <f ca="1">IFERROR(__xludf.DUMMYFUNCTION("""COMPUTED_VALUE"""),"Liang Leo")</f>
        <v>Liang Leo</v>
      </c>
      <c r="C1497" s="1"/>
      <c r="D1497" s="1" t="str">
        <f ca="1">IFERROR(__xludf.DUMMYFUNCTION("""COMPUTED_VALUE"""),"Férfi")</f>
        <v>Férfi</v>
      </c>
      <c r="E1497" s="1"/>
      <c r="F1497" s="1">
        <f ca="1">IFERROR(__xludf.DUMMYFUNCTION("""COMPUTED_VALUE"""),1977)</f>
        <v>1977</v>
      </c>
      <c r="G1497" s="1">
        <f ca="1">IFERROR(__xludf.DUMMYFUNCTION("""COMPUTED_VALUE"""),3950)</f>
        <v>3950</v>
      </c>
      <c r="H1497" s="1" t="str">
        <f ca="1">IFERROR(__xludf.DUMMYFUNCTION("""COMPUTED_VALUE"""),"MTLSZ003950A20")</f>
        <v>MTLSZ003950A20</v>
      </c>
      <c r="I1497" s="2">
        <f ca="1">IFERROR(__xludf.DUMMYFUNCTION("""COMPUTED_VALUE"""),44174)</f>
        <v>44174</v>
      </c>
      <c r="J1497" s="2">
        <f ca="1">IFERROR(__xludf.DUMMYFUNCTION("""COMPUTED_VALUE"""),44538)</f>
        <v>44538</v>
      </c>
    </row>
    <row r="1498" spans="1:10" x14ac:dyDescent="0.25">
      <c r="A1498" s="1" t="str">
        <f ca="1">IFERROR(__xludf.DUMMYFUNCTION("""COMPUTED_VALUE"""),"T(r)ollas SE")</f>
        <v>T(r)ollas SE</v>
      </c>
      <c r="B1498" s="1" t="str">
        <f ca="1">IFERROR(__xludf.DUMMYFUNCTION("""COMPUTED_VALUE"""),"Owen Fu")</f>
        <v>Owen Fu</v>
      </c>
      <c r="C1498" s="1"/>
      <c r="D1498" s="1" t="str">
        <f ca="1">IFERROR(__xludf.DUMMYFUNCTION("""COMPUTED_VALUE"""),"Férfi")</f>
        <v>Férfi</v>
      </c>
      <c r="E1498" s="1"/>
      <c r="F1498" s="1">
        <f ca="1">IFERROR(__xludf.DUMMYFUNCTION("""COMPUTED_VALUE"""),1987)</f>
        <v>1987</v>
      </c>
      <c r="G1498" s="1">
        <f ca="1">IFERROR(__xludf.DUMMYFUNCTION("""COMPUTED_VALUE"""),3103)</f>
        <v>3103</v>
      </c>
      <c r="H1498" s="1" t="str">
        <f ca="1">IFERROR(__xludf.DUMMYFUNCTION("""COMPUTED_VALUE"""),"MTLSZ003103A20")</f>
        <v>MTLSZ003103A20</v>
      </c>
      <c r="I1498" s="2">
        <f ca="1">IFERROR(__xludf.DUMMYFUNCTION("""COMPUTED_VALUE"""),44174)</f>
        <v>44174</v>
      </c>
      <c r="J1498" s="2">
        <f ca="1">IFERROR(__xludf.DUMMYFUNCTION("""COMPUTED_VALUE"""),44538)</f>
        <v>44538</v>
      </c>
    </row>
    <row r="1499" spans="1:10" x14ac:dyDescent="0.25">
      <c r="A1499" s="1" t="str">
        <f ca="1">IFERROR(__xludf.DUMMYFUNCTION("""COMPUTED_VALUE"""),"T(r)ollas SE")</f>
        <v>T(r)ollas SE</v>
      </c>
      <c r="B1499" s="1" t="str">
        <f ca="1">IFERROR(__xludf.DUMMYFUNCTION("""COMPUTED_VALUE"""),"Song Le Fei")</f>
        <v>Song Le Fei</v>
      </c>
      <c r="C1499" s="1"/>
      <c r="D1499" s="1" t="str">
        <f ca="1">IFERROR(__xludf.DUMMYFUNCTION("""COMPUTED_VALUE"""),"Férfi")</f>
        <v>Férfi</v>
      </c>
      <c r="E1499" s="1"/>
      <c r="F1499" s="1">
        <f ca="1">IFERROR(__xludf.DUMMYFUNCTION("""COMPUTED_VALUE"""),1976)</f>
        <v>1976</v>
      </c>
      <c r="G1499" s="1">
        <f ca="1">IFERROR(__xludf.DUMMYFUNCTION("""COMPUTED_VALUE"""),3949)</f>
        <v>3949</v>
      </c>
      <c r="H1499" s="1" t="str">
        <f ca="1">IFERROR(__xludf.DUMMYFUNCTION("""COMPUTED_VALUE"""),"MTLSZ003949A20")</f>
        <v>MTLSZ003949A20</v>
      </c>
      <c r="I1499" s="2">
        <f ca="1">IFERROR(__xludf.DUMMYFUNCTION("""COMPUTED_VALUE"""),44174)</f>
        <v>44174</v>
      </c>
      <c r="J1499" s="2">
        <f ca="1">IFERROR(__xludf.DUMMYFUNCTION("""COMPUTED_VALUE"""),44538)</f>
        <v>44538</v>
      </c>
    </row>
    <row r="1500" spans="1:10" x14ac:dyDescent="0.25">
      <c r="A1500" s="1" t="str">
        <f ca="1">IFERROR(__xludf.DUMMYFUNCTION("""COMPUTED_VALUE"""),"T(r)ollas SE")</f>
        <v>T(r)ollas SE</v>
      </c>
      <c r="B1500" s="1" t="str">
        <f ca="1">IFERROR(__xludf.DUMMYFUNCTION("""COMPUTED_VALUE"""),"Szabados Balázs")</f>
        <v>Szabados Balázs</v>
      </c>
      <c r="C1500" s="1"/>
      <c r="D1500" s="1" t="str">
        <f ca="1">IFERROR(__xludf.DUMMYFUNCTION("""COMPUTED_VALUE"""),"Férfi")</f>
        <v>Férfi</v>
      </c>
      <c r="E1500" s="1"/>
      <c r="F1500" s="1">
        <f ca="1">IFERROR(__xludf.DUMMYFUNCTION("""COMPUTED_VALUE"""),1979)</f>
        <v>1979</v>
      </c>
      <c r="G1500" s="1">
        <f ca="1">IFERROR(__xludf.DUMMYFUNCTION("""COMPUTED_VALUE"""),3156)</f>
        <v>3156</v>
      </c>
      <c r="H1500" s="1" t="str">
        <f ca="1">IFERROR(__xludf.DUMMYFUNCTION("""COMPUTED_VALUE"""),"MTLSZ003156A20")</f>
        <v>MTLSZ003156A20</v>
      </c>
      <c r="I1500" s="2">
        <f ca="1">IFERROR(__xludf.DUMMYFUNCTION("""COMPUTED_VALUE"""),44174)</f>
        <v>44174</v>
      </c>
      <c r="J1500" s="2">
        <f ca="1">IFERROR(__xludf.DUMMYFUNCTION("""COMPUTED_VALUE"""),44538)</f>
        <v>44538</v>
      </c>
    </row>
    <row r="1501" spans="1:10" x14ac:dyDescent="0.25">
      <c r="A1501" s="1" t="str">
        <f ca="1">IFERROR(__xludf.DUMMYFUNCTION("""COMPUTED_VALUE"""),"T(r)ollas SE")</f>
        <v>T(r)ollas SE</v>
      </c>
      <c r="B1501" s="1" t="str">
        <f ca="1">IFERROR(__xludf.DUMMYFUNCTION("""COMPUTED_VALUE"""),"Varga András")</f>
        <v>Varga András</v>
      </c>
      <c r="C1501" s="1"/>
      <c r="D1501" s="1" t="str">
        <f ca="1">IFERROR(__xludf.DUMMYFUNCTION("""COMPUTED_VALUE"""),"Férfi")</f>
        <v>Férfi</v>
      </c>
      <c r="E1501" s="1"/>
      <c r="F1501" s="1">
        <f ca="1">IFERROR(__xludf.DUMMYFUNCTION("""COMPUTED_VALUE"""),1983)</f>
        <v>1983</v>
      </c>
      <c r="G1501" s="1">
        <f ca="1">IFERROR(__xludf.DUMMYFUNCTION("""COMPUTED_VALUE"""),3360)</f>
        <v>3360</v>
      </c>
      <c r="H1501" s="1" t="str">
        <f ca="1">IFERROR(__xludf.DUMMYFUNCTION("""COMPUTED_VALUE"""),"MTLSZ003360A20")</f>
        <v>MTLSZ003360A20</v>
      </c>
      <c r="I1501" s="2">
        <f ca="1">IFERROR(__xludf.DUMMYFUNCTION("""COMPUTED_VALUE"""),44174)</f>
        <v>44174</v>
      </c>
      <c r="J1501" s="2">
        <f ca="1">IFERROR(__xludf.DUMMYFUNCTION("""COMPUTED_VALUE"""),44538)</f>
        <v>44538</v>
      </c>
    </row>
    <row r="1502" spans="1:10" x14ac:dyDescent="0.25">
      <c r="A1502" s="1" t="str">
        <f ca="1">IFERROR(__xludf.DUMMYFUNCTION("""COMPUTED_VALUE"""),"Életmód SE")</f>
        <v>Életmód SE</v>
      </c>
      <c r="B1502" s="1" t="str">
        <f ca="1">IFERROR(__xludf.DUMMYFUNCTION("""COMPUTED_VALUE"""),"Burján Tímea")</f>
        <v>Burján Tímea</v>
      </c>
      <c r="C1502" s="1"/>
      <c r="D1502" s="1" t="str">
        <f ca="1">IFERROR(__xludf.DUMMYFUNCTION("""COMPUTED_VALUE"""),"Nő")</f>
        <v>Nő</v>
      </c>
      <c r="E1502" s="1"/>
      <c r="F1502" s="1">
        <f ca="1">IFERROR(__xludf.DUMMYFUNCTION("""COMPUTED_VALUE"""),1999)</f>
        <v>1999</v>
      </c>
      <c r="G1502" s="1">
        <f ca="1">IFERROR(__xludf.DUMMYFUNCTION("""COMPUTED_VALUE"""),3947)</f>
        <v>3947</v>
      </c>
      <c r="H1502" s="1" t="str">
        <f ca="1">IFERROR(__xludf.DUMMYFUNCTION("""COMPUTED_VALUE"""),"MTLSZ003947A20")</f>
        <v>MTLSZ003947A20</v>
      </c>
      <c r="I1502" s="2">
        <f ca="1">IFERROR(__xludf.DUMMYFUNCTION("""COMPUTED_VALUE"""),44173)</f>
        <v>44173</v>
      </c>
      <c r="J1502" s="2">
        <f ca="1">IFERROR(__xludf.DUMMYFUNCTION("""COMPUTED_VALUE"""),44537)</f>
        <v>44537</v>
      </c>
    </row>
    <row r="1503" spans="1:10" x14ac:dyDescent="0.25">
      <c r="A1503" s="1" t="str">
        <f ca="1">IFERROR(__xludf.DUMMYFUNCTION("""COMPUTED_VALUE"""),"Életmód SE")</f>
        <v>Életmód SE</v>
      </c>
      <c r="B1503" s="1" t="str">
        <f ca="1">IFERROR(__xludf.DUMMYFUNCTION("""COMPUTED_VALUE"""),"Csényi Csaba")</f>
        <v>Csényi Csaba</v>
      </c>
      <c r="C1503" s="1"/>
      <c r="D1503" s="1" t="str">
        <f ca="1">IFERROR(__xludf.DUMMYFUNCTION("""COMPUTED_VALUE"""),"Férfi")</f>
        <v>Férfi</v>
      </c>
      <c r="E1503" s="1"/>
      <c r="F1503" s="1">
        <f ca="1">IFERROR(__xludf.DUMMYFUNCTION("""COMPUTED_VALUE"""),1999)</f>
        <v>1999</v>
      </c>
      <c r="G1503" s="1">
        <f ca="1">IFERROR(__xludf.DUMMYFUNCTION("""COMPUTED_VALUE"""),3946)</f>
        <v>3946</v>
      </c>
      <c r="H1503" s="1" t="str">
        <f ca="1">IFERROR(__xludf.DUMMYFUNCTION("""COMPUTED_VALUE"""),"MTLSZ003946A20")</f>
        <v>MTLSZ003946A20</v>
      </c>
      <c r="I1503" s="2">
        <f ca="1">IFERROR(__xludf.DUMMYFUNCTION("""COMPUTED_VALUE"""),44173)</f>
        <v>44173</v>
      </c>
      <c r="J1503" s="2">
        <f ca="1">IFERROR(__xludf.DUMMYFUNCTION("""COMPUTED_VALUE"""),44537)</f>
        <v>44537</v>
      </c>
    </row>
    <row r="1504" spans="1:10" x14ac:dyDescent="0.25">
      <c r="A1504" s="1" t="str">
        <f ca="1">IFERROR(__xludf.DUMMYFUNCTION("""COMPUTED_VALUE"""),"Életmód SE")</f>
        <v>Életmód SE</v>
      </c>
      <c r="B1504" s="1" t="str">
        <f ca="1">IFERROR(__xludf.DUMMYFUNCTION("""COMPUTED_VALUE"""),"Vinczéné Hörömpő Andrea")</f>
        <v>Vinczéné Hörömpő Andrea</v>
      </c>
      <c r="C1504" s="1"/>
      <c r="D1504" s="1" t="str">
        <f ca="1">IFERROR(__xludf.DUMMYFUNCTION("""COMPUTED_VALUE"""),"Nő")</f>
        <v>Nő</v>
      </c>
      <c r="E1504" s="1"/>
      <c r="F1504" s="1">
        <f ca="1">IFERROR(__xludf.DUMMYFUNCTION("""COMPUTED_VALUE"""),1972)</f>
        <v>1972</v>
      </c>
      <c r="G1504" s="1">
        <f ca="1">IFERROR(__xludf.DUMMYFUNCTION("""COMPUTED_VALUE"""),3948)</f>
        <v>3948</v>
      </c>
      <c r="H1504" s="1" t="str">
        <f ca="1">IFERROR(__xludf.DUMMYFUNCTION("""COMPUTED_VALUE"""),"MTLSZ003948A20")</f>
        <v>MTLSZ003948A20</v>
      </c>
      <c r="I1504" s="2">
        <f ca="1">IFERROR(__xludf.DUMMYFUNCTION("""COMPUTED_VALUE"""),44173)</f>
        <v>44173</v>
      </c>
      <c r="J1504" s="2">
        <f ca="1">IFERROR(__xludf.DUMMYFUNCTION("""COMPUTED_VALUE"""),44537)</f>
        <v>44537</v>
      </c>
    </row>
    <row r="1505" spans="1:10" x14ac:dyDescent="0.25">
      <c r="A1505" s="1" t="str">
        <f ca="1">IFERROR(__xludf.DUMMYFUNCTION("""COMPUTED_VALUE"""),"BEAC")</f>
        <v>BEAC</v>
      </c>
      <c r="B1505" s="1" t="str">
        <f ca="1">IFERROR(__xludf.DUMMYFUNCTION("""COMPUTED_VALUE"""),"Dobrovszki Dániel")</f>
        <v>Dobrovszki Dániel</v>
      </c>
      <c r="C1505" s="1"/>
      <c r="D1505" s="1" t="str">
        <f ca="1">IFERROR(__xludf.DUMMYFUNCTION("""COMPUTED_VALUE"""),"Férfi")</f>
        <v>Férfi</v>
      </c>
      <c r="E1505" s="1"/>
      <c r="F1505" s="1">
        <f ca="1">IFERROR(__xludf.DUMMYFUNCTION("""COMPUTED_VALUE"""),1990)</f>
        <v>1990</v>
      </c>
      <c r="G1505" s="1">
        <f ca="1">IFERROR(__xludf.DUMMYFUNCTION("""COMPUTED_VALUE"""),1438)</f>
        <v>1438</v>
      </c>
      <c r="H1505" s="1" t="str">
        <f ca="1">IFERROR(__xludf.DUMMYFUNCTION("""COMPUTED_VALUE"""),"MTLSZ001438A20")</f>
        <v>MTLSZ001438A20</v>
      </c>
      <c r="I1505" s="2">
        <f ca="1">IFERROR(__xludf.DUMMYFUNCTION("""COMPUTED_VALUE"""),44172)</f>
        <v>44172</v>
      </c>
      <c r="J1505" s="2">
        <f ca="1">IFERROR(__xludf.DUMMYFUNCTION("""COMPUTED_VALUE"""),44536)</f>
        <v>44536</v>
      </c>
    </row>
    <row r="1506" spans="1:10" x14ac:dyDescent="0.25">
      <c r="A1506" s="1" t="str">
        <f ca="1">IFERROR(__xludf.DUMMYFUNCTION("""COMPUTED_VALUE"""),"Szegedi TSE")</f>
        <v>Szegedi TSE</v>
      </c>
      <c r="B1506" s="1" t="str">
        <f ca="1">IFERROR(__xludf.DUMMYFUNCTION("""COMPUTED_VALUE"""),"Barócsi Attila")</f>
        <v>Barócsi Attila</v>
      </c>
      <c r="C1506" s="1"/>
      <c r="D1506" s="1" t="str">
        <f ca="1">IFERROR(__xludf.DUMMYFUNCTION("""COMPUTED_VALUE"""),"Férfi")</f>
        <v>Férfi</v>
      </c>
      <c r="E1506" s="1"/>
      <c r="F1506" s="1">
        <f ca="1">IFERROR(__xludf.DUMMYFUNCTION("""COMPUTED_VALUE"""),1966)</f>
        <v>1966</v>
      </c>
      <c r="G1506" s="1">
        <f ca="1">IFERROR(__xludf.DUMMYFUNCTION("""COMPUTED_VALUE"""),3943)</f>
        <v>3943</v>
      </c>
      <c r="H1506" s="1" t="str">
        <f ca="1">IFERROR(__xludf.DUMMYFUNCTION("""COMPUTED_VALUE"""),"MTLSZ003943A20")</f>
        <v>MTLSZ003943A20</v>
      </c>
      <c r="I1506" s="2">
        <f ca="1">IFERROR(__xludf.DUMMYFUNCTION("""COMPUTED_VALUE"""),44172)</f>
        <v>44172</v>
      </c>
      <c r="J1506" s="2">
        <f ca="1">IFERROR(__xludf.DUMMYFUNCTION("""COMPUTED_VALUE"""),44536)</f>
        <v>44536</v>
      </c>
    </row>
    <row r="1507" spans="1:10" x14ac:dyDescent="0.25">
      <c r="A1507" s="1" t="str">
        <f ca="1">IFERROR(__xludf.DUMMYFUNCTION("""COMPUTED_VALUE"""),"Szegedi TSE")</f>
        <v>Szegedi TSE</v>
      </c>
      <c r="B1507" s="1" t="str">
        <f ca="1">IFERROR(__xludf.DUMMYFUNCTION("""COMPUTED_VALUE"""),"Bordás Péter")</f>
        <v>Bordás Péter</v>
      </c>
      <c r="C1507" s="1"/>
      <c r="D1507" s="1" t="str">
        <f ca="1">IFERROR(__xludf.DUMMYFUNCTION("""COMPUTED_VALUE"""),"Férfi")</f>
        <v>Férfi</v>
      </c>
      <c r="E1507" s="1"/>
      <c r="F1507" s="1">
        <f ca="1">IFERROR(__xludf.DUMMYFUNCTION("""COMPUTED_VALUE"""),1966)</f>
        <v>1966</v>
      </c>
      <c r="G1507" s="1">
        <f ca="1">IFERROR(__xludf.DUMMYFUNCTION("""COMPUTED_VALUE"""),3256)</f>
        <v>3256</v>
      </c>
      <c r="H1507" s="1" t="str">
        <f ca="1">IFERROR(__xludf.DUMMYFUNCTION("""COMPUTED_VALUE"""),"MTLSZ003256A20")</f>
        <v>MTLSZ003256A20</v>
      </c>
      <c r="I1507" s="2">
        <f ca="1">IFERROR(__xludf.DUMMYFUNCTION("""COMPUTED_VALUE"""),44172)</f>
        <v>44172</v>
      </c>
      <c r="J1507" s="2">
        <f ca="1">IFERROR(__xludf.DUMMYFUNCTION("""COMPUTED_VALUE"""),44536)</f>
        <v>44536</v>
      </c>
    </row>
    <row r="1508" spans="1:10" x14ac:dyDescent="0.25">
      <c r="A1508" s="1" t="str">
        <f ca="1">IFERROR(__xludf.DUMMYFUNCTION("""COMPUTED_VALUE"""),"Szegedi TSE")</f>
        <v>Szegedi TSE</v>
      </c>
      <c r="B1508" s="1" t="str">
        <f ca="1">IFERROR(__xludf.DUMMYFUNCTION("""COMPUTED_VALUE"""),"Fodor István Balázs")</f>
        <v>Fodor István Balázs</v>
      </c>
      <c r="C1508" s="1"/>
      <c r="D1508" s="1" t="str">
        <f ca="1">IFERROR(__xludf.DUMMYFUNCTION("""COMPUTED_VALUE"""),"Férfi")</f>
        <v>Férfi</v>
      </c>
      <c r="E1508" s="1"/>
      <c r="F1508" s="1">
        <f ca="1">IFERROR(__xludf.DUMMYFUNCTION("""COMPUTED_VALUE"""),1972)</f>
        <v>1972</v>
      </c>
      <c r="G1508" s="1">
        <f ca="1">IFERROR(__xludf.DUMMYFUNCTION("""COMPUTED_VALUE"""),252)</f>
        <v>252</v>
      </c>
      <c r="H1508" s="1" t="str">
        <f ca="1">IFERROR(__xludf.DUMMYFUNCTION("""COMPUTED_VALUE"""),"MTLSZ000252A20")</f>
        <v>MTLSZ000252A20</v>
      </c>
      <c r="I1508" s="2">
        <f ca="1">IFERROR(__xludf.DUMMYFUNCTION("""COMPUTED_VALUE"""),44172)</f>
        <v>44172</v>
      </c>
      <c r="J1508" s="2">
        <f ca="1">IFERROR(__xludf.DUMMYFUNCTION("""COMPUTED_VALUE"""),44536)</f>
        <v>44536</v>
      </c>
    </row>
    <row r="1509" spans="1:10" x14ac:dyDescent="0.25">
      <c r="A1509" s="1" t="str">
        <f ca="1">IFERROR(__xludf.DUMMYFUNCTION("""COMPUTED_VALUE"""),"Szegedi TSE")</f>
        <v>Szegedi TSE</v>
      </c>
      <c r="B1509" s="1" t="str">
        <f ca="1">IFERROR(__xludf.DUMMYFUNCTION("""COMPUTED_VALUE"""),"Hatvani Csaba")</f>
        <v>Hatvani Csaba</v>
      </c>
      <c r="C1509" s="1"/>
      <c r="D1509" s="1" t="str">
        <f ca="1">IFERROR(__xludf.DUMMYFUNCTION("""COMPUTED_VALUE"""),"Férfi")</f>
        <v>Férfi</v>
      </c>
      <c r="E1509" s="1"/>
      <c r="F1509" s="1">
        <f ca="1">IFERROR(__xludf.DUMMYFUNCTION("""COMPUTED_VALUE"""),1968)</f>
        <v>1968</v>
      </c>
      <c r="G1509" s="1">
        <f ca="1">IFERROR(__xludf.DUMMYFUNCTION("""COMPUTED_VALUE"""),346)</f>
        <v>346</v>
      </c>
      <c r="H1509" s="1" t="str">
        <f ca="1">IFERROR(__xludf.DUMMYFUNCTION("""COMPUTED_VALUE"""),"MTLSZ000346A20")</f>
        <v>MTLSZ000346A20</v>
      </c>
      <c r="I1509" s="2">
        <f ca="1">IFERROR(__xludf.DUMMYFUNCTION("""COMPUTED_VALUE"""),44172)</f>
        <v>44172</v>
      </c>
      <c r="J1509" s="2">
        <f ca="1">IFERROR(__xludf.DUMMYFUNCTION("""COMPUTED_VALUE"""),44536)</f>
        <v>44536</v>
      </c>
    </row>
    <row r="1510" spans="1:10" x14ac:dyDescent="0.25">
      <c r="A1510" s="1" t="str">
        <f ca="1">IFERROR(__xludf.DUMMYFUNCTION("""COMPUTED_VALUE"""),"Szegedi TSE")</f>
        <v>Szegedi TSE</v>
      </c>
      <c r="B1510" s="1" t="str">
        <f ca="1">IFERROR(__xludf.DUMMYFUNCTION("""COMPUTED_VALUE"""),"Klazsik György")</f>
        <v>Klazsik György</v>
      </c>
      <c r="C1510" s="1"/>
      <c r="D1510" s="1" t="str">
        <f ca="1">IFERROR(__xludf.DUMMYFUNCTION("""COMPUTED_VALUE"""),"Férfi")</f>
        <v>Férfi</v>
      </c>
      <c r="E1510" s="1"/>
      <c r="F1510" s="1">
        <f ca="1">IFERROR(__xludf.DUMMYFUNCTION("""COMPUTED_VALUE"""),1972)</f>
        <v>1972</v>
      </c>
      <c r="G1510" s="1">
        <f ca="1">IFERROR(__xludf.DUMMYFUNCTION("""COMPUTED_VALUE"""),500)</f>
        <v>500</v>
      </c>
      <c r="H1510" s="1" t="str">
        <f ca="1">IFERROR(__xludf.DUMMYFUNCTION("""COMPUTED_VALUE"""),"MTLSZ000500A20")</f>
        <v>MTLSZ000500A20</v>
      </c>
      <c r="I1510" s="2">
        <f ca="1">IFERROR(__xludf.DUMMYFUNCTION("""COMPUTED_VALUE"""),44172)</f>
        <v>44172</v>
      </c>
      <c r="J1510" s="2">
        <f ca="1">IFERROR(__xludf.DUMMYFUNCTION("""COMPUTED_VALUE"""),44536)</f>
        <v>44536</v>
      </c>
    </row>
    <row r="1511" spans="1:10" x14ac:dyDescent="0.25">
      <c r="A1511" s="1" t="str">
        <f ca="1">IFERROR(__xludf.DUMMYFUNCTION("""COMPUTED_VALUE"""),"Szegedi TSE")</f>
        <v>Szegedi TSE</v>
      </c>
      <c r="B1511" s="1" t="str">
        <f ca="1">IFERROR(__xludf.DUMMYFUNCTION("""COMPUTED_VALUE"""),"Lengyel Csaba")</f>
        <v>Lengyel Csaba</v>
      </c>
      <c r="C1511" s="1"/>
      <c r="D1511" s="1" t="str">
        <f ca="1">IFERROR(__xludf.DUMMYFUNCTION("""COMPUTED_VALUE"""),"Férfi")</f>
        <v>Férfi</v>
      </c>
      <c r="E1511" s="1"/>
      <c r="F1511" s="1">
        <f ca="1">IFERROR(__xludf.DUMMYFUNCTION("""COMPUTED_VALUE"""),1969)</f>
        <v>1969</v>
      </c>
      <c r="G1511" s="1">
        <f ca="1">IFERROR(__xludf.DUMMYFUNCTION("""COMPUTED_VALUE"""),3461)</f>
        <v>3461</v>
      </c>
      <c r="H1511" s="1" t="str">
        <f ca="1">IFERROR(__xludf.DUMMYFUNCTION("""COMPUTED_VALUE"""),"MTLSZ003461A20")</f>
        <v>MTLSZ003461A20</v>
      </c>
      <c r="I1511" s="2">
        <f ca="1">IFERROR(__xludf.DUMMYFUNCTION("""COMPUTED_VALUE"""),44172)</f>
        <v>44172</v>
      </c>
      <c r="J1511" s="2">
        <f ca="1">IFERROR(__xludf.DUMMYFUNCTION("""COMPUTED_VALUE"""),44536)</f>
        <v>44536</v>
      </c>
    </row>
    <row r="1512" spans="1:10" x14ac:dyDescent="0.25">
      <c r="A1512" s="1" t="str">
        <f ca="1">IFERROR(__xludf.DUMMYFUNCTION("""COMPUTED_VALUE"""),"Szegedi TSE")</f>
        <v>Szegedi TSE</v>
      </c>
      <c r="B1512" s="1" t="str">
        <f ca="1">IFERROR(__xludf.DUMMYFUNCTION("""COMPUTED_VALUE"""),"Ördögh Andrea")</f>
        <v>Ördögh Andrea</v>
      </c>
      <c r="C1512" s="1"/>
      <c r="D1512" s="1" t="str">
        <f ca="1">IFERROR(__xludf.DUMMYFUNCTION("""COMPUTED_VALUE"""),"Nő")</f>
        <v>Nő</v>
      </c>
      <c r="E1512" s="1"/>
      <c r="F1512" s="1">
        <f ca="1">IFERROR(__xludf.DUMMYFUNCTION("""COMPUTED_VALUE"""),1983)</f>
        <v>1983</v>
      </c>
      <c r="G1512" s="1">
        <f ca="1">IFERROR(__xludf.DUMMYFUNCTION("""COMPUTED_VALUE"""),3255)</f>
        <v>3255</v>
      </c>
      <c r="H1512" s="1" t="str">
        <f ca="1">IFERROR(__xludf.DUMMYFUNCTION("""COMPUTED_VALUE"""),"MTLSZ003255A20")</f>
        <v>MTLSZ003255A20</v>
      </c>
      <c r="I1512" s="2">
        <f ca="1">IFERROR(__xludf.DUMMYFUNCTION("""COMPUTED_VALUE"""),44172)</f>
        <v>44172</v>
      </c>
      <c r="J1512" s="2">
        <f ca="1">IFERROR(__xludf.DUMMYFUNCTION("""COMPUTED_VALUE"""),44536)</f>
        <v>44536</v>
      </c>
    </row>
    <row r="1513" spans="1:10" x14ac:dyDescent="0.25">
      <c r="A1513" s="1" t="str">
        <f ca="1">IFERROR(__xludf.DUMMYFUNCTION("""COMPUTED_VALUE"""),"Szegedi TSE")</f>
        <v>Szegedi TSE</v>
      </c>
      <c r="B1513" s="1" t="str">
        <f ca="1">IFERROR(__xludf.DUMMYFUNCTION("""COMPUTED_VALUE"""),"Varga Ildikó")</f>
        <v>Varga Ildikó</v>
      </c>
      <c r="C1513" s="1"/>
      <c r="D1513" s="1" t="str">
        <f ca="1">IFERROR(__xludf.DUMMYFUNCTION("""COMPUTED_VALUE"""),"Nő")</f>
        <v>Nő</v>
      </c>
      <c r="E1513" s="1"/>
      <c r="F1513" s="1">
        <f ca="1">IFERROR(__xludf.DUMMYFUNCTION("""COMPUTED_VALUE"""),1979)</f>
        <v>1979</v>
      </c>
      <c r="G1513" s="1">
        <f ca="1">IFERROR(__xludf.DUMMYFUNCTION("""COMPUTED_VALUE"""),1089)</f>
        <v>1089</v>
      </c>
      <c r="H1513" s="1" t="str">
        <f ca="1">IFERROR(__xludf.DUMMYFUNCTION("""COMPUTED_VALUE"""),"MTLSZ001089A20")</f>
        <v>MTLSZ001089A20</v>
      </c>
      <c r="I1513" s="2">
        <f ca="1">IFERROR(__xludf.DUMMYFUNCTION("""COMPUTED_VALUE"""),44172)</f>
        <v>44172</v>
      </c>
      <c r="J1513" s="2">
        <f ca="1">IFERROR(__xludf.DUMMYFUNCTION("""COMPUTED_VALUE"""),44536)</f>
        <v>44536</v>
      </c>
    </row>
    <row r="1514" spans="1:10" x14ac:dyDescent="0.25">
      <c r="A1514" s="1" t="str">
        <f ca="1">IFERROR(__xludf.DUMMYFUNCTION("""COMPUTED_VALUE"""),"Tisza TSE")</f>
        <v>Tisza TSE</v>
      </c>
      <c r="B1514" s="1" t="str">
        <f ca="1">IFERROR(__xludf.DUMMYFUNCTION("""COMPUTED_VALUE"""),"Kovács Gabriella")</f>
        <v>Kovács Gabriella</v>
      </c>
      <c r="C1514" s="1"/>
      <c r="D1514" s="1" t="str">
        <f ca="1">IFERROR(__xludf.DUMMYFUNCTION("""COMPUTED_VALUE"""),"Nő")</f>
        <v>Nő</v>
      </c>
      <c r="E1514" s="1"/>
      <c r="F1514" s="1">
        <f ca="1">IFERROR(__xludf.DUMMYFUNCTION("""COMPUTED_VALUE"""),1974)</f>
        <v>1974</v>
      </c>
      <c r="G1514" s="1">
        <f ca="1">IFERROR(__xludf.DUMMYFUNCTION("""COMPUTED_VALUE"""),3945)</f>
        <v>3945</v>
      </c>
      <c r="H1514" s="1" t="str">
        <f ca="1">IFERROR(__xludf.DUMMYFUNCTION("""COMPUTED_VALUE"""),"MTLSZ003945A20")</f>
        <v>MTLSZ003945A20</v>
      </c>
      <c r="I1514" s="2">
        <f ca="1">IFERROR(__xludf.DUMMYFUNCTION("""COMPUTED_VALUE"""),44172)</f>
        <v>44172</v>
      </c>
      <c r="J1514" s="2">
        <f ca="1">IFERROR(__xludf.DUMMYFUNCTION("""COMPUTED_VALUE"""),44536)</f>
        <v>44536</v>
      </c>
    </row>
    <row r="1515" spans="1:10" x14ac:dyDescent="0.25">
      <c r="A1515" s="1" t="str">
        <f ca="1">IFERROR(__xludf.DUMMYFUNCTION("""COMPUTED_VALUE"""),"Újpest TSE")</f>
        <v>Újpest TSE</v>
      </c>
      <c r="B1515" s="1" t="str">
        <f ca="1">IFERROR(__xludf.DUMMYFUNCTION("""COMPUTED_VALUE"""),"Mészáros Zoltán")</f>
        <v>Mészáros Zoltán</v>
      </c>
      <c r="C1515" s="1"/>
      <c r="D1515" s="1" t="str">
        <f ca="1">IFERROR(__xludf.DUMMYFUNCTION("""COMPUTED_VALUE"""),"Férfi")</f>
        <v>Férfi</v>
      </c>
      <c r="E1515" s="1"/>
      <c r="F1515" s="1">
        <f ca="1">IFERROR(__xludf.DUMMYFUNCTION("""COMPUTED_VALUE"""),1959)</f>
        <v>1959</v>
      </c>
      <c r="G1515" s="1">
        <f ca="1">IFERROR(__xludf.DUMMYFUNCTION("""COMPUTED_VALUE"""),3942)</f>
        <v>3942</v>
      </c>
      <c r="H1515" s="1" t="str">
        <f ca="1">IFERROR(__xludf.DUMMYFUNCTION("""COMPUTED_VALUE"""),"MTLSZ003942A20")</f>
        <v>MTLSZ003942A20</v>
      </c>
      <c r="I1515" s="2">
        <f ca="1">IFERROR(__xludf.DUMMYFUNCTION("""COMPUTED_VALUE"""),44172)</f>
        <v>44172</v>
      </c>
      <c r="J1515" s="2">
        <f ca="1">IFERROR(__xludf.DUMMYFUNCTION("""COMPUTED_VALUE"""),44536)</f>
        <v>44536</v>
      </c>
    </row>
    <row r="1516" spans="1:10" x14ac:dyDescent="0.25">
      <c r="A1516" s="1" t="str">
        <f ca="1">IFERROR(__xludf.DUMMYFUNCTION("""COMPUTED_VALUE"""),"Újpest TSE")</f>
        <v>Újpest TSE</v>
      </c>
      <c r="B1516" s="1" t="str">
        <f ca="1">IFERROR(__xludf.DUMMYFUNCTION("""COMPUTED_VALUE"""),"Szántó Imre")</f>
        <v>Szántó Imre</v>
      </c>
      <c r="C1516" s="1"/>
      <c r="D1516" s="1" t="str">
        <f ca="1">IFERROR(__xludf.DUMMYFUNCTION("""COMPUTED_VALUE"""),"Férfi")</f>
        <v>Férfi</v>
      </c>
      <c r="E1516" s="1"/>
      <c r="F1516" s="1">
        <f ca="1">IFERROR(__xludf.DUMMYFUNCTION("""COMPUTED_VALUE"""),1960)</f>
        <v>1960</v>
      </c>
      <c r="G1516" s="1">
        <f ca="1">IFERROR(__xludf.DUMMYFUNCTION("""COMPUTED_VALUE"""),3941)</f>
        <v>3941</v>
      </c>
      <c r="H1516" s="1" t="str">
        <f ca="1">IFERROR(__xludf.DUMMYFUNCTION("""COMPUTED_VALUE"""),"MTLSZ003941A20")</f>
        <v>MTLSZ003941A20</v>
      </c>
      <c r="I1516" s="2">
        <f ca="1">IFERROR(__xludf.DUMMYFUNCTION("""COMPUTED_VALUE"""),44172)</f>
        <v>44172</v>
      </c>
      <c r="J1516" s="2">
        <f ca="1">IFERROR(__xludf.DUMMYFUNCTION("""COMPUTED_VALUE"""),44536)</f>
        <v>44536</v>
      </c>
    </row>
    <row r="1517" spans="1:10" x14ac:dyDescent="0.25">
      <c r="A1517" s="1" t="str">
        <f ca="1">IFERROR(__xludf.DUMMYFUNCTION("""COMPUTED_VALUE"""),"Universitas SC")</f>
        <v>Universitas SC</v>
      </c>
      <c r="B1517" s="1" t="str">
        <f ca="1">IFERROR(__xludf.DUMMYFUNCTION("""COMPUTED_VALUE"""),"Klazsik Zsuzsanna")</f>
        <v>Klazsik Zsuzsanna</v>
      </c>
      <c r="C1517" s="1"/>
      <c r="D1517" s="1" t="str">
        <f ca="1">IFERROR(__xludf.DUMMYFUNCTION("""COMPUTED_VALUE"""),"Nő")</f>
        <v>Nő</v>
      </c>
      <c r="E1517" s="1"/>
      <c r="F1517" s="1">
        <f ca="1">IFERROR(__xludf.DUMMYFUNCTION("""COMPUTED_VALUE"""),1977)</f>
        <v>1977</v>
      </c>
      <c r="G1517" s="1">
        <f ca="1">IFERROR(__xludf.DUMMYFUNCTION("""COMPUTED_VALUE"""),1949)</f>
        <v>1949</v>
      </c>
      <c r="H1517" s="1" t="str">
        <f ca="1">IFERROR(__xludf.DUMMYFUNCTION("""COMPUTED_VALUE"""),"MTLSZ001949A20")</f>
        <v>MTLSZ001949A20</v>
      </c>
      <c r="I1517" s="2">
        <f ca="1">IFERROR(__xludf.DUMMYFUNCTION("""COMPUTED_VALUE"""),44172)</f>
        <v>44172</v>
      </c>
      <c r="J1517" s="2">
        <f ca="1">IFERROR(__xludf.DUMMYFUNCTION("""COMPUTED_VALUE"""),44536)</f>
        <v>44536</v>
      </c>
    </row>
    <row r="1518" spans="1:10" x14ac:dyDescent="0.25">
      <c r="A1518" s="1" t="str">
        <f ca="1">IFERROR(__xludf.DUMMYFUNCTION("""COMPUTED_VALUE"""),"Életmód SE")</f>
        <v>Életmód SE</v>
      </c>
      <c r="B1518" s="1" t="str">
        <f ca="1">IFERROR(__xludf.DUMMYFUNCTION("""COMPUTED_VALUE"""),"Nagy Lajos")</f>
        <v>Nagy Lajos</v>
      </c>
      <c r="C1518" s="1"/>
      <c r="D1518" s="1" t="str">
        <f ca="1">IFERROR(__xludf.DUMMYFUNCTION("""COMPUTED_VALUE"""),"Férfi")</f>
        <v>Férfi</v>
      </c>
      <c r="E1518" s="1"/>
      <c r="F1518" s="1">
        <f ca="1">IFERROR(__xludf.DUMMYFUNCTION("""COMPUTED_VALUE"""),1971)</f>
        <v>1971</v>
      </c>
      <c r="G1518" s="1">
        <f ca="1">IFERROR(__xludf.DUMMYFUNCTION("""COMPUTED_VALUE"""),3940)</f>
        <v>3940</v>
      </c>
      <c r="H1518" s="1" t="str">
        <f ca="1">IFERROR(__xludf.DUMMYFUNCTION("""COMPUTED_VALUE"""),"MTLSZ003940A20")</f>
        <v>MTLSZ003940A20</v>
      </c>
      <c r="I1518" s="2">
        <f ca="1">IFERROR(__xludf.DUMMYFUNCTION("""COMPUTED_VALUE"""),44168)</f>
        <v>44168</v>
      </c>
      <c r="J1518" s="2">
        <f ca="1">IFERROR(__xludf.DUMMYFUNCTION("""COMPUTED_VALUE"""),44532)</f>
        <v>44532</v>
      </c>
    </row>
    <row r="1519" spans="1:10" x14ac:dyDescent="0.25">
      <c r="A1519" s="1" t="str">
        <f ca="1">IFERROR(__xludf.DUMMYFUNCTION("""COMPUTED_VALUE"""),"FBSE")</f>
        <v>FBSE</v>
      </c>
      <c r="B1519" s="1" t="str">
        <f ca="1">IFERROR(__xludf.DUMMYFUNCTION("""COMPUTED_VALUE"""),"Elekes Bence")</f>
        <v>Elekes Bence</v>
      </c>
      <c r="C1519" s="1"/>
      <c r="D1519" s="1" t="str">
        <f ca="1">IFERROR(__xludf.DUMMYFUNCTION("""COMPUTED_VALUE"""),"Férfi")</f>
        <v>Férfi</v>
      </c>
      <c r="E1519" s="1"/>
      <c r="F1519" s="1">
        <f ca="1">IFERROR(__xludf.DUMMYFUNCTION("""COMPUTED_VALUE"""),2005)</f>
        <v>2005</v>
      </c>
      <c r="G1519" s="1">
        <f ca="1">IFERROR(__xludf.DUMMYFUNCTION("""COMPUTED_VALUE"""),3131)</f>
        <v>3131</v>
      </c>
      <c r="H1519" s="1" t="str">
        <f ca="1">IFERROR(__xludf.DUMMYFUNCTION("""COMPUTED_VALUE"""),"MTLSZ003131A20")</f>
        <v>MTLSZ003131A20</v>
      </c>
      <c r="I1519" s="2">
        <f ca="1">IFERROR(__xludf.DUMMYFUNCTION("""COMPUTED_VALUE"""),44168)</f>
        <v>44168</v>
      </c>
      <c r="J1519" s="2">
        <f ca="1">IFERROR(__xludf.DUMMYFUNCTION("""COMPUTED_VALUE"""),44532)</f>
        <v>44532</v>
      </c>
    </row>
    <row r="1520" spans="1:10" x14ac:dyDescent="0.25">
      <c r="A1520" s="1" t="str">
        <f ca="1">IFERROR(__xludf.DUMMYFUNCTION("""COMPUTED_VALUE"""),"Kék Sólymok SE")</f>
        <v>Kék Sólymok SE</v>
      </c>
      <c r="B1520" s="1" t="str">
        <f ca="1">IFERROR(__xludf.DUMMYFUNCTION("""COMPUTED_VALUE"""),"Egyed Kata")</f>
        <v>Egyed Kata</v>
      </c>
      <c r="C1520" s="1"/>
      <c r="D1520" s="1" t="str">
        <f ca="1">IFERROR(__xludf.DUMMYFUNCTION("""COMPUTED_VALUE"""),"Nő")</f>
        <v>Nő</v>
      </c>
      <c r="E1520" s="1"/>
      <c r="F1520" s="1">
        <f ca="1">IFERROR(__xludf.DUMMYFUNCTION("""COMPUTED_VALUE"""),1971)</f>
        <v>1971</v>
      </c>
      <c r="G1520" s="1">
        <f ca="1">IFERROR(__xludf.DUMMYFUNCTION("""COMPUTED_VALUE"""),3336)</f>
        <v>3336</v>
      </c>
      <c r="H1520" s="1" t="str">
        <f ca="1">IFERROR(__xludf.DUMMYFUNCTION("""COMPUTED_VALUE"""),"MTLSZ003336A20")</f>
        <v>MTLSZ003336A20</v>
      </c>
      <c r="I1520" s="2">
        <f ca="1">IFERROR(__xludf.DUMMYFUNCTION("""COMPUTED_VALUE"""),44168)</f>
        <v>44168</v>
      </c>
      <c r="J1520" s="2">
        <f ca="1">IFERROR(__xludf.DUMMYFUNCTION("""COMPUTED_VALUE"""),44532)</f>
        <v>44532</v>
      </c>
    </row>
    <row r="1521" spans="1:10" x14ac:dyDescent="0.25">
      <c r="A1521" s="1" t="str">
        <f ca="1">IFERROR(__xludf.DUMMYFUNCTION("""COMPUTED_VALUE"""),"Kék Sólymok SE")</f>
        <v>Kék Sólymok SE</v>
      </c>
      <c r="B1521" s="1"/>
      <c r="C1521" s="1"/>
      <c r="D1521" s="1"/>
      <c r="E1521" s="1"/>
      <c r="F1521" s="1">
        <f ca="1">IFERROR(__xludf.DUMMYFUNCTION("""COMPUTED_VALUE"""),1899)</f>
        <v>1899</v>
      </c>
      <c r="G1521" s="1">
        <f ca="1">IFERROR(__xludf.DUMMYFUNCTION("""COMPUTED_VALUE"""),3939)</f>
        <v>3939</v>
      </c>
      <c r="H1521" s="1"/>
      <c r="I1521" s="2">
        <f ca="1">IFERROR(__xludf.DUMMYFUNCTION("""COMPUTED_VALUE"""),44168)</f>
        <v>44168</v>
      </c>
      <c r="J1521" s="2">
        <f ca="1">IFERROR(__xludf.DUMMYFUNCTION("""COMPUTED_VALUE"""),44532)</f>
        <v>44532</v>
      </c>
    </row>
    <row r="1522" spans="1:10" x14ac:dyDescent="0.25">
      <c r="A1522" s="1" t="str">
        <f ca="1">IFERROR(__xludf.DUMMYFUNCTION("""COMPUTED_VALUE"""),"Talentum TSE")</f>
        <v>Talentum TSE</v>
      </c>
      <c r="B1522" s="1" t="str">
        <f ca="1">IFERROR(__xludf.DUMMYFUNCTION("""COMPUTED_VALUE"""),"Fodor Benedek")</f>
        <v>Fodor Benedek</v>
      </c>
      <c r="C1522" s="1"/>
      <c r="D1522" s="1" t="str">
        <f ca="1">IFERROR(__xludf.DUMMYFUNCTION("""COMPUTED_VALUE"""),"Férfi")</f>
        <v>Férfi</v>
      </c>
      <c r="E1522" s="1"/>
      <c r="F1522" s="1">
        <f ca="1">IFERROR(__xludf.DUMMYFUNCTION("""COMPUTED_VALUE"""),1999)</f>
        <v>1999</v>
      </c>
      <c r="G1522" s="1">
        <f ca="1">IFERROR(__xludf.DUMMYFUNCTION("""COMPUTED_VALUE"""),2923)</f>
        <v>2923</v>
      </c>
      <c r="H1522" s="1" t="str">
        <f ca="1">IFERROR(__xludf.DUMMYFUNCTION("""COMPUTED_VALUE"""),"MTLSZ002923A20")</f>
        <v>MTLSZ002923A20</v>
      </c>
      <c r="I1522" s="2">
        <f ca="1">IFERROR(__xludf.DUMMYFUNCTION("""COMPUTED_VALUE"""),44168)</f>
        <v>44168</v>
      </c>
      <c r="J1522" s="2">
        <f ca="1">IFERROR(__xludf.DUMMYFUNCTION("""COMPUTED_VALUE"""),44532)</f>
        <v>44532</v>
      </c>
    </row>
    <row r="1523" spans="1:10" x14ac:dyDescent="0.25">
      <c r="A1523" s="1" t="str">
        <f ca="1">IFERROR(__xludf.DUMMYFUNCTION("""COMPUTED_VALUE"""),"Talentum TSE")</f>
        <v>Talentum TSE</v>
      </c>
      <c r="B1523" s="1" t="str">
        <f ca="1">IFERROR(__xludf.DUMMYFUNCTION("""COMPUTED_VALUE"""),"Ilcsik Csaba")</f>
        <v>Ilcsik Csaba</v>
      </c>
      <c r="C1523" s="1"/>
      <c r="D1523" s="1" t="str">
        <f ca="1">IFERROR(__xludf.DUMMYFUNCTION("""COMPUTED_VALUE"""),"Férfi")</f>
        <v>Férfi</v>
      </c>
      <c r="E1523" s="1"/>
      <c r="F1523" s="1">
        <f ca="1">IFERROR(__xludf.DUMMYFUNCTION("""COMPUTED_VALUE"""),1972)</f>
        <v>1972</v>
      </c>
      <c r="G1523" s="1">
        <f ca="1">IFERROR(__xludf.DUMMYFUNCTION("""COMPUTED_VALUE"""),3937)</f>
        <v>3937</v>
      </c>
      <c r="H1523" s="1" t="str">
        <f ca="1">IFERROR(__xludf.DUMMYFUNCTION("""COMPUTED_VALUE"""),"MTLSZ003937A20")</f>
        <v>MTLSZ003937A20</v>
      </c>
      <c r="I1523" s="2">
        <f ca="1">IFERROR(__xludf.DUMMYFUNCTION("""COMPUTED_VALUE"""),44168)</f>
        <v>44168</v>
      </c>
      <c r="J1523" s="2">
        <f ca="1">IFERROR(__xludf.DUMMYFUNCTION("""COMPUTED_VALUE"""),44532)</f>
        <v>44532</v>
      </c>
    </row>
    <row r="1524" spans="1:10" x14ac:dyDescent="0.25">
      <c r="A1524" s="1" t="str">
        <f ca="1">IFERROR(__xludf.DUMMYFUNCTION("""COMPUTED_VALUE"""),"Újpest TSE")</f>
        <v>Újpest TSE</v>
      </c>
      <c r="B1524" s="1" t="str">
        <f ca="1">IFERROR(__xludf.DUMMYFUNCTION("""COMPUTED_VALUE"""),"Hollósi László")</f>
        <v>Hollósi László</v>
      </c>
      <c r="C1524" s="1"/>
      <c r="D1524" s="1" t="str">
        <f ca="1">IFERROR(__xludf.DUMMYFUNCTION("""COMPUTED_VALUE"""),"Férfi")</f>
        <v>Férfi</v>
      </c>
      <c r="E1524" s="1"/>
      <c r="F1524" s="1">
        <f ca="1">IFERROR(__xludf.DUMMYFUNCTION("""COMPUTED_VALUE"""),1975)</f>
        <v>1975</v>
      </c>
      <c r="G1524" s="1">
        <f ca="1">IFERROR(__xludf.DUMMYFUNCTION("""COMPUTED_VALUE"""),3938)</f>
        <v>3938</v>
      </c>
      <c r="H1524" s="1" t="str">
        <f ca="1">IFERROR(__xludf.DUMMYFUNCTION("""COMPUTED_VALUE"""),"MTLSZ003938A20")</f>
        <v>MTLSZ003938A20</v>
      </c>
      <c r="I1524" s="2">
        <f ca="1">IFERROR(__xludf.DUMMYFUNCTION("""COMPUTED_VALUE"""),44168)</f>
        <v>44168</v>
      </c>
      <c r="J1524" s="2">
        <f ca="1">IFERROR(__xludf.DUMMYFUNCTION("""COMPUTED_VALUE"""),44532)</f>
        <v>44532</v>
      </c>
    </row>
    <row r="1525" spans="1:10" x14ac:dyDescent="0.25">
      <c r="A1525" s="1" t="str">
        <f ca="1">IFERROR(__xludf.DUMMYFUNCTION("""COMPUTED_VALUE"""),"BTBK")</f>
        <v>BTBK</v>
      </c>
      <c r="B1525" s="1" t="str">
        <f ca="1">IFERROR(__xludf.DUMMYFUNCTION("""COMPUTED_VALUE"""),"Vécsei Balázs")</f>
        <v>Vécsei Balázs</v>
      </c>
      <c r="C1525" s="1"/>
      <c r="D1525" s="1" t="str">
        <f ca="1">IFERROR(__xludf.DUMMYFUNCTION("""COMPUTED_VALUE"""),"Férfi")</f>
        <v>Férfi</v>
      </c>
      <c r="E1525" s="1"/>
      <c r="F1525" s="1">
        <f ca="1">IFERROR(__xludf.DUMMYFUNCTION("""COMPUTED_VALUE"""),2000)</f>
        <v>2000</v>
      </c>
      <c r="G1525" s="1">
        <f ca="1">IFERROR(__xludf.DUMMYFUNCTION("""COMPUTED_VALUE"""),3935)</f>
        <v>3935</v>
      </c>
      <c r="H1525" s="1" t="str">
        <f ca="1">IFERROR(__xludf.DUMMYFUNCTION("""COMPUTED_VALUE"""),"MTLSZ003935A20")</f>
        <v>MTLSZ003935A20</v>
      </c>
      <c r="I1525" s="2">
        <f ca="1">IFERROR(__xludf.DUMMYFUNCTION("""COMPUTED_VALUE"""),44167)</f>
        <v>44167</v>
      </c>
      <c r="J1525" s="2">
        <f ca="1">IFERROR(__xludf.DUMMYFUNCTION("""COMPUTED_VALUE"""),44531)</f>
        <v>44531</v>
      </c>
    </row>
    <row r="1526" spans="1:10" x14ac:dyDescent="0.25">
      <c r="A1526" s="1" t="str">
        <f ca="1">IFERROR(__xludf.DUMMYFUNCTION("""COMPUTED_VALUE"""),"Dunakanyar TSE")</f>
        <v>Dunakanyar TSE</v>
      </c>
      <c r="B1526" s="1" t="str">
        <f ca="1">IFERROR(__xludf.DUMMYFUNCTION("""COMPUTED_VALUE"""),"Németh Endre")</f>
        <v>Németh Endre</v>
      </c>
      <c r="C1526" s="1"/>
      <c r="D1526" s="1" t="str">
        <f ca="1">IFERROR(__xludf.DUMMYFUNCTION("""COMPUTED_VALUE"""),"Férfi")</f>
        <v>Férfi</v>
      </c>
      <c r="E1526" s="1"/>
      <c r="F1526" s="1">
        <f ca="1">IFERROR(__xludf.DUMMYFUNCTION("""COMPUTED_VALUE"""),1972)</f>
        <v>1972</v>
      </c>
      <c r="G1526" s="1">
        <f ca="1">IFERROR(__xludf.DUMMYFUNCTION("""COMPUTED_VALUE"""),3936)</f>
        <v>3936</v>
      </c>
      <c r="H1526" s="1" t="str">
        <f ca="1">IFERROR(__xludf.DUMMYFUNCTION("""COMPUTED_VALUE"""),"MTLSZ003936A20")</f>
        <v>MTLSZ003936A20</v>
      </c>
      <c r="I1526" s="2">
        <f ca="1">IFERROR(__xludf.DUMMYFUNCTION("""COMPUTED_VALUE"""),44167)</f>
        <v>44167</v>
      </c>
      <c r="J1526" s="2">
        <f ca="1">IFERROR(__xludf.DUMMYFUNCTION("""COMPUTED_VALUE"""),44531)</f>
        <v>44531</v>
      </c>
    </row>
    <row r="1527" spans="1:10" x14ac:dyDescent="0.25">
      <c r="A1527" s="1" t="str">
        <f ca="1">IFERROR(__xludf.DUMMYFUNCTION("""COMPUTED_VALUE"""),"Életmód SE")</f>
        <v>Életmód SE</v>
      </c>
      <c r="B1527" s="1" t="str">
        <f ca="1">IFERROR(__xludf.DUMMYFUNCTION("""COMPUTED_VALUE"""),"Balaska Attila")</f>
        <v>Balaska Attila</v>
      </c>
      <c r="C1527" s="1"/>
      <c r="D1527" s="1" t="str">
        <f ca="1">IFERROR(__xludf.DUMMYFUNCTION("""COMPUTED_VALUE"""),"Férfi")</f>
        <v>Férfi</v>
      </c>
      <c r="E1527" s="1"/>
      <c r="F1527" s="1">
        <f ca="1">IFERROR(__xludf.DUMMYFUNCTION("""COMPUTED_VALUE"""),2009)</f>
        <v>2009</v>
      </c>
      <c r="G1527" s="1">
        <f ca="1">IFERROR(__xludf.DUMMYFUNCTION("""COMPUTED_VALUE"""),3918)</f>
        <v>3918</v>
      </c>
      <c r="H1527" s="1" t="str">
        <f ca="1">IFERROR(__xludf.DUMMYFUNCTION("""COMPUTED_VALUE"""),"MTLSZ003918A20")</f>
        <v>MTLSZ003918A20</v>
      </c>
      <c r="I1527" s="2">
        <f ca="1">IFERROR(__xludf.DUMMYFUNCTION("""COMPUTED_VALUE"""),44167)</f>
        <v>44167</v>
      </c>
      <c r="J1527" s="2">
        <f ca="1">IFERROR(__xludf.DUMMYFUNCTION("""COMPUTED_VALUE"""),44531)</f>
        <v>44531</v>
      </c>
    </row>
    <row r="1528" spans="1:10" x14ac:dyDescent="0.25">
      <c r="A1528" s="1" t="str">
        <f ca="1">IFERROR(__xludf.DUMMYFUNCTION("""COMPUTED_VALUE"""),"Életmód SE")</f>
        <v>Életmód SE</v>
      </c>
      <c r="B1528" s="1" t="str">
        <f ca="1">IFERROR(__xludf.DUMMYFUNCTION("""COMPUTED_VALUE"""),"Balla Anita")</f>
        <v>Balla Anita</v>
      </c>
      <c r="C1528" s="1"/>
      <c r="D1528" s="1" t="str">
        <f ca="1">IFERROR(__xludf.DUMMYFUNCTION("""COMPUTED_VALUE"""),"Nő")</f>
        <v>Nő</v>
      </c>
      <c r="E1528" s="1"/>
      <c r="F1528" s="1">
        <f ca="1">IFERROR(__xludf.DUMMYFUNCTION("""COMPUTED_VALUE"""),1981)</f>
        <v>1981</v>
      </c>
      <c r="G1528" s="1">
        <f ca="1">IFERROR(__xludf.DUMMYFUNCTION("""COMPUTED_VALUE"""),3921)</f>
        <v>3921</v>
      </c>
      <c r="H1528" s="1" t="str">
        <f ca="1">IFERROR(__xludf.DUMMYFUNCTION("""COMPUTED_VALUE"""),"MTLSZ003921A20")</f>
        <v>MTLSZ003921A20</v>
      </c>
      <c r="I1528" s="2">
        <f ca="1">IFERROR(__xludf.DUMMYFUNCTION("""COMPUTED_VALUE"""),44167)</f>
        <v>44167</v>
      </c>
      <c r="J1528" s="2">
        <f ca="1">IFERROR(__xludf.DUMMYFUNCTION("""COMPUTED_VALUE"""),44531)</f>
        <v>44531</v>
      </c>
    </row>
    <row r="1529" spans="1:10" x14ac:dyDescent="0.25">
      <c r="A1529" s="1" t="str">
        <f ca="1">IFERROR(__xludf.DUMMYFUNCTION("""COMPUTED_VALUE"""),"Életmód SE")</f>
        <v>Életmód SE</v>
      </c>
      <c r="B1529" s="1" t="str">
        <f ca="1">IFERROR(__xludf.DUMMYFUNCTION("""COMPUTED_VALUE"""),"Benke József")</f>
        <v>Benke József</v>
      </c>
      <c r="C1529" s="1"/>
      <c r="D1529" s="1" t="str">
        <f ca="1">IFERROR(__xludf.DUMMYFUNCTION("""COMPUTED_VALUE"""),"Férfi")</f>
        <v>Férfi</v>
      </c>
      <c r="E1529" s="1"/>
      <c r="F1529" s="1">
        <f ca="1">IFERROR(__xludf.DUMMYFUNCTION("""COMPUTED_VALUE"""),1967)</f>
        <v>1967</v>
      </c>
      <c r="G1529" s="1">
        <f ca="1">IFERROR(__xludf.DUMMYFUNCTION("""COMPUTED_VALUE"""),73)</f>
        <v>73</v>
      </c>
      <c r="H1529" s="1" t="str">
        <f ca="1">IFERROR(__xludf.DUMMYFUNCTION("""COMPUTED_VALUE"""),"MTLSZ000073A20")</f>
        <v>MTLSZ000073A20</v>
      </c>
      <c r="I1529" s="2">
        <f ca="1">IFERROR(__xludf.DUMMYFUNCTION("""COMPUTED_VALUE"""),44167)</f>
        <v>44167</v>
      </c>
      <c r="J1529" s="2">
        <f ca="1">IFERROR(__xludf.DUMMYFUNCTION("""COMPUTED_VALUE"""),44531)</f>
        <v>44531</v>
      </c>
    </row>
    <row r="1530" spans="1:10" x14ac:dyDescent="0.25">
      <c r="A1530" s="1" t="str">
        <f ca="1">IFERROR(__xludf.DUMMYFUNCTION("""COMPUTED_VALUE"""),"Életmód SE")</f>
        <v>Életmód SE</v>
      </c>
      <c r="B1530" s="1" t="str">
        <f ca="1">IFERROR(__xludf.DUMMYFUNCTION("""COMPUTED_VALUE"""),"Kenyeres Attila")</f>
        <v>Kenyeres Attila</v>
      </c>
      <c r="C1530" s="1"/>
      <c r="D1530" s="1" t="str">
        <f ca="1">IFERROR(__xludf.DUMMYFUNCTION("""COMPUTED_VALUE"""),"Férfi")</f>
        <v>Férfi</v>
      </c>
      <c r="E1530" s="1"/>
      <c r="F1530" s="1">
        <f ca="1">IFERROR(__xludf.DUMMYFUNCTION("""COMPUTED_VALUE"""),1973)</f>
        <v>1973</v>
      </c>
      <c r="G1530" s="1">
        <f ca="1">IFERROR(__xludf.DUMMYFUNCTION("""COMPUTED_VALUE"""),3917)</f>
        <v>3917</v>
      </c>
      <c r="H1530" s="1" t="str">
        <f ca="1">IFERROR(__xludf.DUMMYFUNCTION("""COMPUTED_VALUE"""),"MTLSZ003917A20")</f>
        <v>MTLSZ003917A20</v>
      </c>
      <c r="I1530" s="2">
        <f ca="1">IFERROR(__xludf.DUMMYFUNCTION("""COMPUTED_VALUE"""),44167)</f>
        <v>44167</v>
      </c>
      <c r="J1530" s="2">
        <f ca="1">IFERROR(__xludf.DUMMYFUNCTION("""COMPUTED_VALUE"""),44531)</f>
        <v>44531</v>
      </c>
    </row>
    <row r="1531" spans="1:10" x14ac:dyDescent="0.25">
      <c r="A1531" s="1" t="str">
        <f ca="1">IFERROR(__xludf.DUMMYFUNCTION("""COMPUTED_VALUE"""),"Életmód SE")</f>
        <v>Életmód SE</v>
      </c>
      <c r="B1531" s="1" t="str">
        <f ca="1">IFERROR(__xludf.DUMMYFUNCTION("""COMPUTED_VALUE"""),"Mészáros Péter Győző")</f>
        <v>Mészáros Péter Győző</v>
      </c>
      <c r="C1531" s="1"/>
      <c r="D1531" s="1" t="str">
        <f ca="1">IFERROR(__xludf.DUMMYFUNCTION("""COMPUTED_VALUE"""),"Férfi")</f>
        <v>Férfi</v>
      </c>
      <c r="E1531" s="1"/>
      <c r="F1531" s="1">
        <f ca="1">IFERROR(__xludf.DUMMYFUNCTION("""COMPUTED_VALUE"""),1993)</f>
        <v>1993</v>
      </c>
      <c r="G1531" s="1">
        <f ca="1">IFERROR(__xludf.DUMMYFUNCTION("""COMPUTED_VALUE"""),3914)</f>
        <v>3914</v>
      </c>
      <c r="H1531" s="1" t="str">
        <f ca="1">IFERROR(__xludf.DUMMYFUNCTION("""COMPUTED_VALUE"""),"MTLSZ003914A20")</f>
        <v>MTLSZ003914A20</v>
      </c>
      <c r="I1531" s="2">
        <f ca="1">IFERROR(__xludf.DUMMYFUNCTION("""COMPUTED_VALUE"""),44167)</f>
        <v>44167</v>
      </c>
      <c r="J1531" s="2">
        <f ca="1">IFERROR(__xludf.DUMMYFUNCTION("""COMPUTED_VALUE"""),44531)</f>
        <v>44531</v>
      </c>
    </row>
    <row r="1532" spans="1:10" x14ac:dyDescent="0.25">
      <c r="A1532" s="1" t="str">
        <f ca="1">IFERROR(__xludf.DUMMYFUNCTION("""COMPUTED_VALUE"""),"Életmód SE")</f>
        <v>Életmód SE</v>
      </c>
      <c r="B1532" s="1" t="str">
        <f ca="1">IFERROR(__xludf.DUMMYFUNCTION("""COMPUTED_VALUE"""),"Pádár Imre")</f>
        <v>Pádár Imre</v>
      </c>
      <c r="C1532" s="1"/>
      <c r="D1532" s="1" t="str">
        <f ca="1">IFERROR(__xludf.DUMMYFUNCTION("""COMPUTED_VALUE"""),"Férfi")</f>
        <v>Férfi</v>
      </c>
      <c r="E1532" s="1"/>
      <c r="F1532" s="1">
        <f ca="1">IFERROR(__xludf.DUMMYFUNCTION("""COMPUTED_VALUE"""),1979)</f>
        <v>1979</v>
      </c>
      <c r="G1532" s="1">
        <f ca="1">IFERROR(__xludf.DUMMYFUNCTION("""COMPUTED_VALUE"""),3913)</f>
        <v>3913</v>
      </c>
      <c r="H1532" s="1" t="str">
        <f ca="1">IFERROR(__xludf.DUMMYFUNCTION("""COMPUTED_VALUE"""),"MTLSZ003913A20")</f>
        <v>MTLSZ003913A20</v>
      </c>
      <c r="I1532" s="2">
        <f ca="1">IFERROR(__xludf.DUMMYFUNCTION("""COMPUTED_VALUE"""),44167)</f>
        <v>44167</v>
      </c>
      <c r="J1532" s="2">
        <f ca="1">IFERROR(__xludf.DUMMYFUNCTION("""COMPUTED_VALUE"""),44531)</f>
        <v>44531</v>
      </c>
    </row>
    <row r="1533" spans="1:10" x14ac:dyDescent="0.25">
      <c r="A1533" s="1" t="str">
        <f ca="1">IFERROR(__xludf.DUMMYFUNCTION("""COMPUTED_VALUE"""),"Életmód SE")</f>
        <v>Életmód SE</v>
      </c>
      <c r="B1533" s="1" t="str">
        <f ca="1">IFERROR(__xludf.DUMMYFUNCTION("""COMPUTED_VALUE"""),"Pipicz Ádám")</f>
        <v>Pipicz Ádám</v>
      </c>
      <c r="C1533" s="1"/>
      <c r="D1533" s="1" t="str">
        <f ca="1">IFERROR(__xludf.DUMMYFUNCTION("""COMPUTED_VALUE"""),"Férfi")</f>
        <v>Férfi</v>
      </c>
      <c r="E1533" s="1"/>
      <c r="F1533" s="1">
        <f ca="1">IFERROR(__xludf.DUMMYFUNCTION("""COMPUTED_VALUE"""),2001)</f>
        <v>2001</v>
      </c>
      <c r="G1533" s="1">
        <f ca="1">IFERROR(__xludf.DUMMYFUNCTION("""COMPUTED_VALUE"""),3920)</f>
        <v>3920</v>
      </c>
      <c r="H1533" s="1" t="str">
        <f ca="1">IFERROR(__xludf.DUMMYFUNCTION("""COMPUTED_VALUE"""),"MTLSZ003920A20")</f>
        <v>MTLSZ003920A20</v>
      </c>
      <c r="I1533" s="2">
        <f ca="1">IFERROR(__xludf.DUMMYFUNCTION("""COMPUTED_VALUE"""),44167)</f>
        <v>44167</v>
      </c>
      <c r="J1533" s="2">
        <f ca="1">IFERROR(__xludf.DUMMYFUNCTION("""COMPUTED_VALUE"""),44531)</f>
        <v>44531</v>
      </c>
    </row>
    <row r="1534" spans="1:10" x14ac:dyDescent="0.25">
      <c r="A1534" s="1" t="str">
        <f ca="1">IFERROR(__xludf.DUMMYFUNCTION("""COMPUTED_VALUE"""),"Életmód SE")</f>
        <v>Életmód SE</v>
      </c>
      <c r="B1534" s="1" t="str">
        <f ca="1">IFERROR(__xludf.DUMMYFUNCTION("""COMPUTED_VALUE"""),"Pipicz Adél")</f>
        <v>Pipicz Adél</v>
      </c>
      <c r="C1534" s="1"/>
      <c r="D1534" s="1" t="str">
        <f ca="1">IFERROR(__xludf.DUMMYFUNCTION("""COMPUTED_VALUE"""),"Nő")</f>
        <v>Nő</v>
      </c>
      <c r="E1534" s="1"/>
      <c r="F1534" s="1">
        <f ca="1">IFERROR(__xludf.DUMMYFUNCTION("""COMPUTED_VALUE"""),1998)</f>
        <v>1998</v>
      </c>
      <c r="G1534" s="1">
        <f ca="1">IFERROR(__xludf.DUMMYFUNCTION("""COMPUTED_VALUE"""),3919)</f>
        <v>3919</v>
      </c>
      <c r="H1534" s="1" t="str">
        <f ca="1">IFERROR(__xludf.DUMMYFUNCTION("""COMPUTED_VALUE"""),"MTLSZ003919A20")</f>
        <v>MTLSZ003919A20</v>
      </c>
      <c r="I1534" s="2">
        <f ca="1">IFERROR(__xludf.DUMMYFUNCTION("""COMPUTED_VALUE"""),44167)</f>
        <v>44167</v>
      </c>
      <c r="J1534" s="2">
        <f ca="1">IFERROR(__xludf.DUMMYFUNCTION("""COMPUTED_VALUE"""),44531)</f>
        <v>44531</v>
      </c>
    </row>
    <row r="1535" spans="1:10" x14ac:dyDescent="0.25">
      <c r="A1535" s="1" t="str">
        <f ca="1">IFERROR(__xludf.DUMMYFUNCTION("""COMPUTED_VALUE"""),"Életmód SE")</f>
        <v>Életmód SE</v>
      </c>
      <c r="B1535" s="1" t="str">
        <f ca="1">IFERROR(__xludf.DUMMYFUNCTION("""COMPUTED_VALUE"""),"Sátai Viktória")</f>
        <v>Sátai Viktória</v>
      </c>
      <c r="C1535" s="1"/>
      <c r="D1535" s="1" t="str">
        <f ca="1">IFERROR(__xludf.DUMMYFUNCTION("""COMPUTED_VALUE"""),"Nő")</f>
        <v>Nő</v>
      </c>
      <c r="E1535" s="1"/>
      <c r="F1535" s="1">
        <f ca="1">IFERROR(__xludf.DUMMYFUNCTION("""COMPUTED_VALUE"""),2002)</f>
        <v>2002</v>
      </c>
      <c r="G1535" s="1">
        <f ca="1">IFERROR(__xludf.DUMMYFUNCTION("""COMPUTED_VALUE"""),3923)</f>
        <v>3923</v>
      </c>
      <c r="H1535" s="1" t="str">
        <f ca="1">IFERROR(__xludf.DUMMYFUNCTION("""COMPUTED_VALUE"""),"MTLSZ003923A20")</f>
        <v>MTLSZ003923A20</v>
      </c>
      <c r="I1535" s="2">
        <f ca="1">IFERROR(__xludf.DUMMYFUNCTION("""COMPUTED_VALUE"""),44167)</f>
        <v>44167</v>
      </c>
      <c r="J1535" s="2">
        <f ca="1">IFERROR(__xludf.DUMMYFUNCTION("""COMPUTED_VALUE"""),44531)</f>
        <v>44531</v>
      </c>
    </row>
    <row r="1536" spans="1:10" x14ac:dyDescent="0.25">
      <c r="A1536" s="1" t="str">
        <f ca="1">IFERROR(__xludf.DUMMYFUNCTION("""COMPUTED_VALUE"""),"Életmód SE")</f>
        <v>Életmód SE</v>
      </c>
      <c r="B1536" s="1" t="str">
        <f ca="1">IFERROR(__xludf.DUMMYFUNCTION("""COMPUTED_VALUE"""),"Szunyog Tamás")</f>
        <v>Szunyog Tamás</v>
      </c>
      <c r="C1536" s="1"/>
      <c r="D1536" s="1" t="str">
        <f ca="1">IFERROR(__xludf.DUMMYFUNCTION("""COMPUTED_VALUE"""),"Férfi")</f>
        <v>Férfi</v>
      </c>
      <c r="E1536" s="1"/>
      <c r="F1536" s="1">
        <f ca="1">IFERROR(__xludf.DUMMYFUNCTION("""COMPUTED_VALUE"""),1984)</f>
        <v>1984</v>
      </c>
      <c r="G1536" s="1">
        <f ca="1">IFERROR(__xludf.DUMMYFUNCTION("""COMPUTED_VALUE"""),3916)</f>
        <v>3916</v>
      </c>
      <c r="H1536" s="1" t="str">
        <f ca="1">IFERROR(__xludf.DUMMYFUNCTION("""COMPUTED_VALUE"""),"MTLSZ003916A20")</f>
        <v>MTLSZ003916A20</v>
      </c>
      <c r="I1536" s="2">
        <f ca="1">IFERROR(__xludf.DUMMYFUNCTION("""COMPUTED_VALUE"""),44167)</f>
        <v>44167</v>
      </c>
      <c r="J1536" s="2">
        <f ca="1">IFERROR(__xludf.DUMMYFUNCTION("""COMPUTED_VALUE"""),44531)</f>
        <v>44531</v>
      </c>
    </row>
    <row r="1537" spans="1:10" x14ac:dyDescent="0.25">
      <c r="A1537" s="1" t="str">
        <f ca="1">IFERROR(__xludf.DUMMYFUNCTION("""COMPUTED_VALUE"""),"Életmód SE")</f>
        <v>Életmód SE</v>
      </c>
      <c r="B1537" s="1" t="str">
        <f ca="1">IFERROR(__xludf.DUMMYFUNCTION("""COMPUTED_VALUE"""),"Vidra Sándor")</f>
        <v>Vidra Sándor</v>
      </c>
      <c r="C1537" s="1"/>
      <c r="D1537" s="1" t="str">
        <f ca="1">IFERROR(__xludf.DUMMYFUNCTION("""COMPUTED_VALUE"""),"Férfi")</f>
        <v>Férfi</v>
      </c>
      <c r="E1537" s="1"/>
      <c r="F1537" s="1">
        <f ca="1">IFERROR(__xludf.DUMMYFUNCTION("""COMPUTED_VALUE"""),1955)</f>
        <v>1955</v>
      </c>
      <c r="G1537" s="1">
        <f ca="1">IFERROR(__xludf.DUMMYFUNCTION("""COMPUTED_VALUE"""),3912)</f>
        <v>3912</v>
      </c>
      <c r="H1537" s="1" t="str">
        <f ca="1">IFERROR(__xludf.DUMMYFUNCTION("""COMPUTED_VALUE"""),"MTLSZ003912A20")</f>
        <v>MTLSZ003912A20</v>
      </c>
      <c r="I1537" s="2">
        <f ca="1">IFERROR(__xludf.DUMMYFUNCTION("""COMPUTED_VALUE"""),44167)</f>
        <v>44167</v>
      </c>
      <c r="J1537" s="2">
        <f ca="1">IFERROR(__xludf.DUMMYFUNCTION("""COMPUTED_VALUE"""),44531)</f>
        <v>44531</v>
      </c>
    </row>
    <row r="1538" spans="1:10" x14ac:dyDescent="0.25">
      <c r="A1538" s="1" t="str">
        <f ca="1">IFERROR(__xludf.DUMMYFUNCTION("""COMPUTED_VALUE"""),"Életmód SE")</f>
        <v>Életmód SE</v>
      </c>
      <c r="B1538" s="1" t="str">
        <f ca="1">IFERROR(__xludf.DUMMYFUNCTION("""COMPUTED_VALUE"""),"Vígh Árpád")</f>
        <v>Vígh Árpád</v>
      </c>
      <c r="C1538" s="1"/>
      <c r="D1538" s="1" t="str">
        <f ca="1">IFERROR(__xludf.DUMMYFUNCTION("""COMPUTED_VALUE"""),"Férfi")</f>
        <v>Férfi</v>
      </c>
      <c r="E1538" s="1"/>
      <c r="F1538" s="1">
        <f ca="1">IFERROR(__xludf.DUMMYFUNCTION("""COMPUTED_VALUE"""),1986)</f>
        <v>1986</v>
      </c>
      <c r="G1538" s="1">
        <f ca="1">IFERROR(__xludf.DUMMYFUNCTION("""COMPUTED_VALUE"""),3915)</f>
        <v>3915</v>
      </c>
      <c r="H1538" s="1" t="str">
        <f ca="1">IFERROR(__xludf.DUMMYFUNCTION("""COMPUTED_VALUE"""),"MTLSZ003915A20")</f>
        <v>MTLSZ003915A20</v>
      </c>
      <c r="I1538" s="2">
        <f ca="1">IFERROR(__xludf.DUMMYFUNCTION("""COMPUTED_VALUE"""),44167)</f>
        <v>44167</v>
      </c>
      <c r="J1538" s="2">
        <f ca="1">IFERROR(__xludf.DUMMYFUNCTION("""COMPUTED_VALUE"""),44531)</f>
        <v>44531</v>
      </c>
    </row>
    <row r="1539" spans="1:10" x14ac:dyDescent="0.25">
      <c r="A1539" s="1" t="str">
        <f ca="1">IFERROR(__xludf.DUMMYFUNCTION("""COMPUTED_VALUE"""),"Főtaxi SC")</f>
        <v>Főtaxi SC</v>
      </c>
      <c r="B1539" s="1" t="str">
        <f ca="1">IFERROR(__xludf.DUMMYFUNCTION("""COMPUTED_VALUE"""),"Kádár Péter Dr.")</f>
        <v>Kádár Péter Dr.</v>
      </c>
      <c r="C1539" s="1"/>
      <c r="D1539" s="1" t="str">
        <f ca="1">IFERROR(__xludf.DUMMYFUNCTION("""COMPUTED_VALUE"""),"Férfi")</f>
        <v>Férfi</v>
      </c>
      <c r="E1539" s="1"/>
      <c r="F1539" s="1">
        <f ca="1">IFERROR(__xludf.DUMMYFUNCTION("""COMPUTED_VALUE"""),1967)</f>
        <v>1967</v>
      </c>
      <c r="G1539" s="1">
        <f ca="1">IFERROR(__xludf.DUMMYFUNCTION("""COMPUTED_VALUE"""),3927)</f>
        <v>3927</v>
      </c>
      <c r="H1539" s="1" t="str">
        <f ca="1">IFERROR(__xludf.DUMMYFUNCTION("""COMPUTED_VALUE"""),"MTLSZ003927A20")</f>
        <v>MTLSZ003927A20</v>
      </c>
      <c r="I1539" s="2">
        <f ca="1">IFERROR(__xludf.DUMMYFUNCTION("""COMPUTED_VALUE"""),44167)</f>
        <v>44167</v>
      </c>
      <c r="J1539" s="2">
        <f ca="1">IFERROR(__xludf.DUMMYFUNCTION("""COMPUTED_VALUE"""),44531)</f>
        <v>44531</v>
      </c>
    </row>
    <row r="1540" spans="1:10" x14ac:dyDescent="0.25">
      <c r="A1540" s="1" t="str">
        <f ca="1">IFERROR(__xludf.DUMMYFUNCTION("""COMPUTED_VALUE"""),"Főtaxi SC")</f>
        <v>Főtaxi SC</v>
      </c>
      <c r="B1540" s="1" t="str">
        <f ca="1">IFERROR(__xludf.DUMMYFUNCTION("""COMPUTED_VALUE"""),"Kökény Zoltán Dr.")</f>
        <v>Kökény Zoltán Dr.</v>
      </c>
      <c r="C1540" s="1"/>
      <c r="D1540" s="1" t="str">
        <f ca="1">IFERROR(__xludf.DUMMYFUNCTION("""COMPUTED_VALUE"""),"Férfi")</f>
        <v>Férfi</v>
      </c>
      <c r="E1540" s="1"/>
      <c r="F1540" s="1">
        <f ca="1">IFERROR(__xludf.DUMMYFUNCTION("""COMPUTED_VALUE"""),1965)</f>
        <v>1965</v>
      </c>
      <c r="G1540" s="1">
        <f ca="1">IFERROR(__xludf.DUMMYFUNCTION("""COMPUTED_VALUE"""),3726)</f>
        <v>3726</v>
      </c>
      <c r="H1540" s="1" t="str">
        <f ca="1">IFERROR(__xludf.DUMMYFUNCTION("""COMPUTED_VALUE"""),"MTLSZ003726A20")</f>
        <v>MTLSZ003726A20</v>
      </c>
      <c r="I1540" s="2">
        <f ca="1">IFERROR(__xludf.DUMMYFUNCTION("""COMPUTED_VALUE"""),44167)</f>
        <v>44167</v>
      </c>
      <c r="J1540" s="2">
        <f ca="1">IFERROR(__xludf.DUMMYFUNCTION("""COMPUTED_VALUE"""),44531)</f>
        <v>44531</v>
      </c>
    </row>
    <row r="1541" spans="1:10" x14ac:dyDescent="0.25">
      <c r="A1541" s="1" t="str">
        <f ca="1">IFERROR(__xludf.DUMMYFUNCTION("""COMPUTED_VALUE"""),"Főtaxi SC")</f>
        <v>Főtaxi SC</v>
      </c>
      <c r="B1541" s="1" t="str">
        <f ca="1">IFERROR(__xludf.DUMMYFUNCTION("""COMPUTED_VALUE"""),"Szulyovszki Lilla")</f>
        <v>Szulyovszki Lilla</v>
      </c>
      <c r="C1541" s="1"/>
      <c r="D1541" s="1" t="str">
        <f ca="1">IFERROR(__xludf.DUMMYFUNCTION("""COMPUTED_VALUE"""),"Nő")</f>
        <v>Nő</v>
      </c>
      <c r="E1541" s="1"/>
      <c r="F1541" s="1">
        <f ca="1">IFERROR(__xludf.DUMMYFUNCTION("""COMPUTED_VALUE"""),1990)</f>
        <v>1990</v>
      </c>
      <c r="G1541" s="1">
        <f ca="1">IFERROR(__xludf.DUMMYFUNCTION("""COMPUTED_VALUE"""),3932)</f>
        <v>3932</v>
      </c>
      <c r="H1541" s="1" t="str">
        <f ca="1">IFERROR(__xludf.DUMMYFUNCTION("""COMPUTED_VALUE"""),"MTLSZ003932A20")</f>
        <v>MTLSZ003932A20</v>
      </c>
      <c r="I1541" s="2">
        <f ca="1">IFERROR(__xludf.DUMMYFUNCTION("""COMPUTED_VALUE"""),44167)</f>
        <v>44167</v>
      </c>
      <c r="J1541" s="2">
        <f ca="1">IFERROR(__xludf.DUMMYFUNCTION("""COMPUTED_VALUE"""),44531)</f>
        <v>44531</v>
      </c>
    </row>
    <row r="1542" spans="1:10" x14ac:dyDescent="0.25">
      <c r="A1542" s="1" t="str">
        <f ca="1">IFERROR(__xludf.DUMMYFUNCTION("""COMPUTED_VALUE"""),"Főtaxi SC")</f>
        <v>Főtaxi SC</v>
      </c>
      <c r="B1542" s="1" t="str">
        <f ca="1">IFERROR(__xludf.DUMMYFUNCTION("""COMPUTED_VALUE"""),"Tarale Aditya")</f>
        <v>Tarale Aditya</v>
      </c>
      <c r="C1542" s="1"/>
      <c r="D1542" s="1" t="str">
        <f ca="1">IFERROR(__xludf.DUMMYFUNCTION("""COMPUTED_VALUE"""),"Férfi")</f>
        <v>Férfi</v>
      </c>
      <c r="E1542" s="1"/>
      <c r="F1542" s="1">
        <f ca="1">IFERROR(__xludf.DUMMYFUNCTION("""COMPUTED_VALUE"""),1996)</f>
        <v>1996</v>
      </c>
      <c r="G1542" s="1">
        <f ca="1">IFERROR(__xludf.DUMMYFUNCTION("""COMPUTED_VALUE"""),3933)</f>
        <v>3933</v>
      </c>
      <c r="H1542" s="1" t="str">
        <f ca="1">IFERROR(__xludf.DUMMYFUNCTION("""COMPUTED_VALUE"""),"MTLSZ003933A20")</f>
        <v>MTLSZ003933A20</v>
      </c>
      <c r="I1542" s="2">
        <f ca="1">IFERROR(__xludf.DUMMYFUNCTION("""COMPUTED_VALUE"""),44167)</f>
        <v>44167</v>
      </c>
      <c r="J1542" s="2">
        <f ca="1">IFERROR(__xludf.DUMMYFUNCTION("""COMPUTED_VALUE"""),44531)</f>
        <v>44531</v>
      </c>
    </row>
    <row r="1543" spans="1:10" x14ac:dyDescent="0.25">
      <c r="A1543" s="1" t="str">
        <f ca="1">IFERROR(__xludf.DUMMYFUNCTION("""COMPUTED_VALUE"""),"Főtaxi SC")</f>
        <v>Főtaxi SC</v>
      </c>
      <c r="B1543" s="1" t="str">
        <f ca="1">IFERROR(__xludf.DUMMYFUNCTION("""COMPUTED_VALUE"""),"Ves Paw")</f>
        <v>Ves Paw</v>
      </c>
      <c r="C1543" s="1"/>
      <c r="D1543" s="1" t="str">
        <f ca="1">IFERROR(__xludf.DUMMYFUNCTION("""COMPUTED_VALUE"""),"Férfi")</f>
        <v>Férfi</v>
      </c>
      <c r="E1543" s="1"/>
      <c r="F1543" s="1">
        <f ca="1">IFERROR(__xludf.DUMMYFUNCTION("""COMPUTED_VALUE"""),1995)</f>
        <v>1995</v>
      </c>
      <c r="G1543" s="1">
        <f ca="1">IFERROR(__xludf.DUMMYFUNCTION("""COMPUTED_VALUE"""),3930)</f>
        <v>3930</v>
      </c>
      <c r="H1543" s="1" t="str">
        <f ca="1">IFERROR(__xludf.DUMMYFUNCTION("""COMPUTED_VALUE"""),"MTLSZ003930A20")</f>
        <v>MTLSZ003930A20</v>
      </c>
      <c r="I1543" s="2">
        <f ca="1">IFERROR(__xludf.DUMMYFUNCTION("""COMPUTED_VALUE"""),44167)</f>
        <v>44167</v>
      </c>
      <c r="J1543" s="2">
        <f ca="1">IFERROR(__xludf.DUMMYFUNCTION("""COMPUTED_VALUE"""),44531)</f>
        <v>44531</v>
      </c>
    </row>
    <row r="1544" spans="1:10" x14ac:dyDescent="0.25">
      <c r="A1544" s="1" t="str">
        <f ca="1">IFERROR(__xludf.DUMMYFUNCTION("""COMPUTED_VALUE"""),"Kék Sólymok SE")</f>
        <v>Kék Sólymok SE</v>
      </c>
      <c r="B1544" s="1" t="str">
        <f ca="1">IFERROR(__xludf.DUMMYFUNCTION("""COMPUTED_VALUE"""),"Bódi Zsuzsanna")</f>
        <v>Bódi Zsuzsanna</v>
      </c>
      <c r="C1544" s="1"/>
      <c r="D1544" s="1" t="str">
        <f ca="1">IFERROR(__xludf.DUMMYFUNCTION("""COMPUTED_VALUE"""),"Nő")</f>
        <v>Nő</v>
      </c>
      <c r="E1544" s="1"/>
      <c r="F1544" s="1">
        <f ca="1">IFERROR(__xludf.DUMMYFUNCTION("""COMPUTED_VALUE"""),1979)</f>
        <v>1979</v>
      </c>
      <c r="G1544" s="1">
        <f ca="1">IFERROR(__xludf.DUMMYFUNCTION("""COMPUTED_VALUE"""),3430)</f>
        <v>3430</v>
      </c>
      <c r="H1544" s="1" t="str">
        <f ca="1">IFERROR(__xludf.DUMMYFUNCTION("""COMPUTED_VALUE"""),"MTLSZ003430A20")</f>
        <v>MTLSZ003430A20</v>
      </c>
      <c r="I1544" s="2">
        <f ca="1">IFERROR(__xludf.DUMMYFUNCTION("""COMPUTED_VALUE"""),44167)</f>
        <v>44167</v>
      </c>
      <c r="J1544" s="2">
        <f ca="1">IFERROR(__xludf.DUMMYFUNCTION("""COMPUTED_VALUE"""),44531)</f>
        <v>44531</v>
      </c>
    </row>
    <row r="1545" spans="1:10" x14ac:dyDescent="0.25">
      <c r="A1545" s="1" t="str">
        <f ca="1">IFERROR(__xludf.DUMMYFUNCTION("""COMPUTED_VALUE"""),"Kék Sólymok SE")</f>
        <v>Kék Sólymok SE</v>
      </c>
      <c r="B1545" s="1" t="str">
        <f ca="1">IFERROR(__xludf.DUMMYFUNCTION("""COMPUTED_VALUE"""),"Lőrinczi Mónika")</f>
        <v>Lőrinczi Mónika</v>
      </c>
      <c r="C1545" s="1"/>
      <c r="D1545" s="1" t="str">
        <f ca="1">IFERROR(__xludf.DUMMYFUNCTION("""COMPUTED_VALUE"""),"Nő")</f>
        <v>Nő</v>
      </c>
      <c r="E1545" s="1"/>
      <c r="F1545" s="1">
        <f ca="1">IFERROR(__xludf.DUMMYFUNCTION("""COMPUTED_VALUE"""),1981)</f>
        <v>1981</v>
      </c>
      <c r="G1545" s="1">
        <f ca="1">IFERROR(__xludf.DUMMYFUNCTION("""COMPUTED_VALUE"""),3431)</f>
        <v>3431</v>
      </c>
      <c r="H1545" s="1" t="str">
        <f ca="1">IFERROR(__xludf.DUMMYFUNCTION("""COMPUTED_VALUE"""),"MTLSZ003431A20")</f>
        <v>MTLSZ003431A20</v>
      </c>
      <c r="I1545" s="2">
        <f ca="1">IFERROR(__xludf.DUMMYFUNCTION("""COMPUTED_VALUE"""),44167)</f>
        <v>44167</v>
      </c>
      <c r="J1545" s="2">
        <f ca="1">IFERROR(__xludf.DUMMYFUNCTION("""COMPUTED_VALUE"""),44531)</f>
        <v>44531</v>
      </c>
    </row>
    <row r="1546" spans="1:10" x14ac:dyDescent="0.25">
      <c r="A1546" s="1" t="str">
        <f ca="1">IFERROR(__xludf.DUMMYFUNCTION("""COMPUTED_VALUE"""),"Kék Sólymok SE")</f>
        <v>Kék Sólymok SE</v>
      </c>
      <c r="B1546" s="1" t="str">
        <f ca="1">IFERROR(__xludf.DUMMYFUNCTION("""COMPUTED_VALUE"""),"Pozsonyi Levente")</f>
        <v>Pozsonyi Levente</v>
      </c>
      <c r="C1546" s="1"/>
      <c r="D1546" s="1" t="str">
        <f ca="1">IFERROR(__xludf.DUMMYFUNCTION("""COMPUTED_VALUE"""),"Férfi")</f>
        <v>Férfi</v>
      </c>
      <c r="E1546" s="1"/>
      <c r="F1546" s="1">
        <f ca="1">IFERROR(__xludf.DUMMYFUNCTION("""COMPUTED_VALUE"""),1975)</f>
        <v>1975</v>
      </c>
      <c r="G1546" s="1">
        <f ca="1">IFERROR(__xludf.DUMMYFUNCTION("""COMPUTED_VALUE"""),3387)</f>
        <v>3387</v>
      </c>
      <c r="H1546" s="1" t="str">
        <f ca="1">IFERROR(__xludf.DUMMYFUNCTION("""COMPUTED_VALUE"""),"MTLSZ003387A20")</f>
        <v>MTLSZ003387A20</v>
      </c>
      <c r="I1546" s="2">
        <f ca="1">IFERROR(__xludf.DUMMYFUNCTION("""COMPUTED_VALUE"""),44167)</f>
        <v>44167</v>
      </c>
      <c r="J1546" s="2">
        <f ca="1">IFERROR(__xludf.DUMMYFUNCTION("""COMPUTED_VALUE"""),44531)</f>
        <v>44531</v>
      </c>
    </row>
    <row r="1547" spans="1:10" x14ac:dyDescent="0.25">
      <c r="A1547" s="1" t="str">
        <f ca="1">IFERROR(__xludf.DUMMYFUNCTION("""COMPUTED_VALUE"""),"Pillangó TK")</f>
        <v>Pillangó TK</v>
      </c>
      <c r="B1547" s="1" t="str">
        <f ca="1">IFERROR(__xludf.DUMMYFUNCTION("""COMPUTED_VALUE"""),"Németh Milán")</f>
        <v>Németh Milán</v>
      </c>
      <c r="C1547" s="1"/>
      <c r="D1547" s="1" t="str">
        <f ca="1">IFERROR(__xludf.DUMMYFUNCTION("""COMPUTED_VALUE"""),"Férfi")</f>
        <v>Férfi</v>
      </c>
      <c r="E1547" s="1"/>
      <c r="F1547" s="1">
        <f ca="1">IFERROR(__xludf.DUMMYFUNCTION("""COMPUTED_VALUE"""),2012)</f>
        <v>2012</v>
      </c>
      <c r="G1547" s="1">
        <f ca="1">IFERROR(__xludf.DUMMYFUNCTION("""COMPUTED_VALUE"""),3934)</f>
        <v>3934</v>
      </c>
      <c r="H1547" s="1" t="str">
        <f ca="1">IFERROR(__xludf.DUMMYFUNCTION("""COMPUTED_VALUE"""),"MTLSZ003934A20")</f>
        <v>MTLSZ003934A20</v>
      </c>
      <c r="I1547" s="2">
        <f ca="1">IFERROR(__xludf.DUMMYFUNCTION("""COMPUTED_VALUE"""),44167)</f>
        <v>44167</v>
      </c>
      <c r="J1547" s="2">
        <f ca="1">IFERROR(__xludf.DUMMYFUNCTION("""COMPUTED_VALUE"""),44531)</f>
        <v>44531</v>
      </c>
    </row>
    <row r="1548" spans="1:10" x14ac:dyDescent="0.25">
      <c r="A1548" s="1" t="str">
        <f ca="1">IFERROR(__xludf.DUMMYFUNCTION("""COMPUTED_VALUE"""),"T(r)ollas SE")</f>
        <v>T(r)ollas SE</v>
      </c>
      <c r="B1548" s="1" t="str">
        <f ca="1">IFERROR(__xludf.DUMMYFUNCTION("""COMPUTED_VALUE"""),"Győrfi András")</f>
        <v>Győrfi András</v>
      </c>
      <c r="C1548" s="1"/>
      <c r="D1548" s="1" t="str">
        <f ca="1">IFERROR(__xludf.DUMMYFUNCTION("""COMPUTED_VALUE"""),"Férfi")</f>
        <v>Férfi</v>
      </c>
      <c r="E1548" s="1"/>
      <c r="F1548" s="1">
        <f ca="1">IFERROR(__xludf.DUMMYFUNCTION("""COMPUTED_VALUE"""),2002)</f>
        <v>2002</v>
      </c>
      <c r="G1548" s="1">
        <f ca="1">IFERROR(__xludf.DUMMYFUNCTION("""COMPUTED_VALUE"""),3396)</f>
        <v>3396</v>
      </c>
      <c r="H1548" s="1" t="str">
        <f ca="1">IFERROR(__xludf.DUMMYFUNCTION("""COMPUTED_VALUE"""),"MTLSZ003396A20")</f>
        <v>MTLSZ003396A20</v>
      </c>
      <c r="I1548" s="2">
        <f ca="1">IFERROR(__xludf.DUMMYFUNCTION("""COMPUTED_VALUE"""),44167)</f>
        <v>44167</v>
      </c>
      <c r="J1548" s="2">
        <f ca="1">IFERROR(__xludf.DUMMYFUNCTION("""COMPUTED_VALUE"""),44531)</f>
        <v>44531</v>
      </c>
    </row>
    <row r="1549" spans="1:10" x14ac:dyDescent="0.25">
      <c r="A1549" s="1" t="str">
        <f ca="1">IFERROR(__xludf.DUMMYFUNCTION("""COMPUTED_VALUE"""),"T(r)ollas SE")</f>
        <v>T(r)ollas SE</v>
      </c>
      <c r="B1549" s="1" t="str">
        <f ca="1">IFERROR(__xludf.DUMMYFUNCTION("""COMPUTED_VALUE"""),"Jeevan K.S.")</f>
        <v>Jeevan K.S.</v>
      </c>
      <c r="C1549" s="1"/>
      <c r="D1549" s="1" t="str">
        <f ca="1">IFERROR(__xludf.DUMMYFUNCTION("""COMPUTED_VALUE"""),"Férfi")</f>
        <v>Férfi</v>
      </c>
      <c r="E1549" s="1"/>
      <c r="F1549" s="1">
        <f ca="1">IFERROR(__xludf.DUMMYFUNCTION("""COMPUTED_VALUE"""),1980)</f>
        <v>1980</v>
      </c>
      <c r="G1549" s="1">
        <f ca="1">IFERROR(__xludf.DUMMYFUNCTION("""COMPUTED_VALUE"""),3928)</f>
        <v>3928</v>
      </c>
      <c r="H1549" s="1" t="str">
        <f ca="1">IFERROR(__xludf.DUMMYFUNCTION("""COMPUTED_VALUE"""),"MTLSZ003928A20")</f>
        <v>MTLSZ003928A20</v>
      </c>
      <c r="I1549" s="2">
        <f ca="1">IFERROR(__xludf.DUMMYFUNCTION("""COMPUTED_VALUE"""),44167)</f>
        <v>44167</v>
      </c>
      <c r="J1549" s="2">
        <f ca="1">IFERROR(__xludf.DUMMYFUNCTION("""COMPUTED_VALUE"""),44531)</f>
        <v>44531</v>
      </c>
    </row>
    <row r="1550" spans="1:10" x14ac:dyDescent="0.25">
      <c r="A1550" s="1" t="str">
        <f ca="1">IFERROR(__xludf.DUMMYFUNCTION("""COMPUTED_VALUE"""),"T(r)ollas SE")</f>
        <v>T(r)ollas SE</v>
      </c>
      <c r="B1550" s="1" t="str">
        <f ca="1">IFERROR(__xludf.DUMMYFUNCTION("""COMPUTED_VALUE"""),"Murali Prakash P.N.")</f>
        <v>Murali Prakash P.N.</v>
      </c>
      <c r="C1550" s="1"/>
      <c r="D1550" s="1" t="str">
        <f ca="1">IFERROR(__xludf.DUMMYFUNCTION("""COMPUTED_VALUE"""),"Férfi")</f>
        <v>Férfi</v>
      </c>
      <c r="E1550" s="1"/>
      <c r="F1550" s="1">
        <f ca="1">IFERROR(__xludf.DUMMYFUNCTION("""COMPUTED_VALUE"""),1992)</f>
        <v>1992</v>
      </c>
      <c r="G1550" s="1">
        <f ca="1">IFERROR(__xludf.DUMMYFUNCTION("""COMPUTED_VALUE"""),3929)</f>
        <v>3929</v>
      </c>
      <c r="H1550" s="1" t="str">
        <f ca="1">IFERROR(__xludf.DUMMYFUNCTION("""COMPUTED_VALUE"""),"MTLSZ003929A20")</f>
        <v>MTLSZ003929A20</v>
      </c>
      <c r="I1550" s="2">
        <f ca="1">IFERROR(__xludf.DUMMYFUNCTION("""COMPUTED_VALUE"""),44167)</f>
        <v>44167</v>
      </c>
      <c r="J1550" s="2">
        <f ca="1">IFERROR(__xludf.DUMMYFUNCTION("""COMPUTED_VALUE"""),44531)</f>
        <v>44531</v>
      </c>
    </row>
    <row r="1551" spans="1:10" x14ac:dyDescent="0.25">
      <c r="A1551" s="1" t="str">
        <f ca="1">IFERROR(__xludf.DUMMYFUNCTION("""COMPUTED_VALUE"""),"T(r)ollas SE")</f>
        <v>T(r)ollas SE</v>
      </c>
      <c r="B1551" s="1" t="str">
        <f ca="1">IFERROR(__xludf.DUMMYFUNCTION("""COMPUTED_VALUE"""),"Satish Nakoti")</f>
        <v>Satish Nakoti</v>
      </c>
      <c r="C1551" s="1"/>
      <c r="D1551" s="1" t="str">
        <f ca="1">IFERROR(__xludf.DUMMYFUNCTION("""COMPUTED_VALUE"""),"Férfi")</f>
        <v>Férfi</v>
      </c>
      <c r="E1551" s="1"/>
      <c r="F1551" s="1">
        <f ca="1">IFERROR(__xludf.DUMMYFUNCTION("""COMPUTED_VALUE"""),1989)</f>
        <v>1989</v>
      </c>
      <c r="G1551" s="1">
        <f ca="1">IFERROR(__xludf.DUMMYFUNCTION("""COMPUTED_VALUE"""),3925)</f>
        <v>3925</v>
      </c>
      <c r="H1551" s="1" t="str">
        <f ca="1">IFERROR(__xludf.DUMMYFUNCTION("""COMPUTED_VALUE"""),"MTLSZ003925A20")</f>
        <v>MTLSZ003925A20</v>
      </c>
      <c r="I1551" s="2">
        <f ca="1">IFERROR(__xludf.DUMMYFUNCTION("""COMPUTED_VALUE"""),44167)</f>
        <v>44167</v>
      </c>
      <c r="J1551" s="2">
        <f ca="1">IFERROR(__xludf.DUMMYFUNCTION("""COMPUTED_VALUE"""),44531)</f>
        <v>44531</v>
      </c>
    </row>
    <row r="1552" spans="1:10" x14ac:dyDescent="0.25">
      <c r="A1552" s="1" t="str">
        <f ca="1">IFERROR(__xludf.DUMMYFUNCTION("""COMPUTED_VALUE"""),"Dunakanyar TSE")</f>
        <v>Dunakanyar TSE</v>
      </c>
      <c r="B1552" s="1" t="str">
        <f ca="1">IFERROR(__xludf.DUMMYFUNCTION("""COMPUTED_VALUE"""),"Karádi László")</f>
        <v>Karádi László</v>
      </c>
      <c r="C1552" s="1"/>
      <c r="D1552" s="1" t="str">
        <f ca="1">IFERROR(__xludf.DUMMYFUNCTION("""COMPUTED_VALUE"""),"Férfi")</f>
        <v>Férfi</v>
      </c>
      <c r="E1552" s="1"/>
      <c r="F1552" s="1">
        <f ca="1">IFERROR(__xludf.DUMMYFUNCTION("""COMPUTED_VALUE"""),1969)</f>
        <v>1969</v>
      </c>
      <c r="G1552" s="1">
        <f ca="1">IFERROR(__xludf.DUMMYFUNCTION("""COMPUTED_VALUE"""),3909)</f>
        <v>3909</v>
      </c>
      <c r="H1552" s="1" t="str">
        <f ca="1">IFERROR(__xludf.DUMMYFUNCTION("""COMPUTED_VALUE"""),"MTLSZ003909A20")</f>
        <v>MTLSZ003909A20</v>
      </c>
      <c r="I1552" s="2">
        <f ca="1">IFERROR(__xludf.DUMMYFUNCTION("""COMPUTED_VALUE"""),44165)</f>
        <v>44165</v>
      </c>
      <c r="J1552" s="2">
        <f ca="1">IFERROR(__xludf.DUMMYFUNCTION("""COMPUTED_VALUE"""),44529)</f>
        <v>44529</v>
      </c>
    </row>
    <row r="1553" spans="1:10" x14ac:dyDescent="0.25">
      <c r="A1553" s="1" t="str">
        <f ca="1">IFERROR(__xludf.DUMMYFUNCTION("""COMPUTED_VALUE"""),"Dunakanyar TSE")</f>
        <v>Dunakanyar TSE</v>
      </c>
      <c r="B1553" s="1" t="str">
        <f ca="1">IFERROR(__xludf.DUMMYFUNCTION("""COMPUTED_VALUE"""),"Stember János")</f>
        <v>Stember János</v>
      </c>
      <c r="C1553" s="1"/>
      <c r="D1553" s="1" t="str">
        <f ca="1">IFERROR(__xludf.DUMMYFUNCTION("""COMPUTED_VALUE"""),"Férfi")</f>
        <v>Férfi</v>
      </c>
      <c r="E1553" s="1"/>
      <c r="F1553" s="1">
        <f ca="1">IFERROR(__xludf.DUMMYFUNCTION("""COMPUTED_VALUE"""),1968)</f>
        <v>1968</v>
      </c>
      <c r="G1553" s="1">
        <f ca="1">IFERROR(__xludf.DUMMYFUNCTION("""COMPUTED_VALUE"""),3910)</f>
        <v>3910</v>
      </c>
      <c r="H1553" s="1" t="str">
        <f ca="1">IFERROR(__xludf.DUMMYFUNCTION("""COMPUTED_VALUE"""),"MTLSZ003910A20")</f>
        <v>MTLSZ003910A20</v>
      </c>
      <c r="I1553" s="2">
        <f ca="1">IFERROR(__xludf.DUMMYFUNCTION("""COMPUTED_VALUE"""),44165)</f>
        <v>44165</v>
      </c>
      <c r="J1553" s="2">
        <f ca="1">IFERROR(__xludf.DUMMYFUNCTION("""COMPUTED_VALUE"""),44529)</f>
        <v>44529</v>
      </c>
    </row>
    <row r="1554" spans="1:10" x14ac:dyDescent="0.25">
      <c r="A1554" s="1" t="str">
        <f ca="1">IFERROR(__xludf.DUMMYFUNCTION("""COMPUTED_VALUE"""),"Kék Sólymok SE")</f>
        <v>Kék Sólymok SE</v>
      </c>
      <c r="B1554" s="1" t="str">
        <f ca="1">IFERROR(__xludf.DUMMYFUNCTION("""COMPUTED_VALUE"""),"Szalai Péter")</f>
        <v>Szalai Péter</v>
      </c>
      <c r="C1554" s="1"/>
      <c r="D1554" s="1" t="str">
        <f ca="1">IFERROR(__xludf.DUMMYFUNCTION("""COMPUTED_VALUE"""),"Férfi")</f>
        <v>Férfi</v>
      </c>
      <c r="E1554" s="1"/>
      <c r="F1554" s="1">
        <f ca="1">IFERROR(__xludf.DUMMYFUNCTION("""COMPUTED_VALUE"""),1964)</f>
        <v>1964</v>
      </c>
      <c r="G1554" s="1">
        <f ca="1">IFERROR(__xludf.DUMMYFUNCTION("""COMPUTED_VALUE"""),3385)</f>
        <v>3385</v>
      </c>
      <c r="H1554" s="1" t="str">
        <f ca="1">IFERROR(__xludf.DUMMYFUNCTION("""COMPUTED_VALUE"""),"MTLSZ003385A20")</f>
        <v>MTLSZ003385A20</v>
      </c>
      <c r="I1554" s="2">
        <f ca="1">IFERROR(__xludf.DUMMYFUNCTION("""COMPUTED_VALUE"""),44165)</f>
        <v>44165</v>
      </c>
      <c r="J1554" s="2">
        <f ca="1">IFERROR(__xludf.DUMMYFUNCTION("""COMPUTED_VALUE"""),44529)</f>
        <v>44529</v>
      </c>
    </row>
    <row r="1555" spans="1:10" x14ac:dyDescent="0.25">
      <c r="A1555" s="1" t="str">
        <f ca="1">IFERROR(__xludf.DUMMYFUNCTION("""COMPUTED_VALUE"""),"Tisza TSE")</f>
        <v>Tisza TSE</v>
      </c>
      <c r="B1555" s="1" t="str">
        <f ca="1">IFERROR(__xludf.DUMMYFUNCTION("""COMPUTED_VALUE"""),"Bőhm Zoltán")</f>
        <v>Bőhm Zoltán</v>
      </c>
      <c r="C1555" s="1"/>
      <c r="D1555" s="1" t="str">
        <f ca="1">IFERROR(__xludf.DUMMYFUNCTION("""COMPUTED_VALUE"""),"Férfi")</f>
        <v>Férfi</v>
      </c>
      <c r="E1555" s="1"/>
      <c r="F1555" s="1">
        <f ca="1">IFERROR(__xludf.DUMMYFUNCTION("""COMPUTED_VALUE"""),1983)</f>
        <v>1983</v>
      </c>
      <c r="G1555" s="1">
        <f ca="1">IFERROR(__xludf.DUMMYFUNCTION("""COMPUTED_VALUE"""),3902)</f>
        <v>3902</v>
      </c>
      <c r="H1555" s="1" t="str">
        <f ca="1">IFERROR(__xludf.DUMMYFUNCTION("""COMPUTED_VALUE"""),"MTLSZ003902A20")</f>
        <v>MTLSZ003902A20</v>
      </c>
      <c r="I1555" s="2">
        <f ca="1">IFERROR(__xludf.DUMMYFUNCTION("""COMPUTED_VALUE"""),44165)</f>
        <v>44165</v>
      </c>
      <c r="J1555" s="2">
        <f ca="1">IFERROR(__xludf.DUMMYFUNCTION("""COMPUTED_VALUE"""),44529)</f>
        <v>44529</v>
      </c>
    </row>
    <row r="1556" spans="1:10" x14ac:dyDescent="0.25">
      <c r="A1556" s="1" t="str">
        <f ca="1">IFERROR(__xludf.DUMMYFUNCTION("""COMPUTED_VALUE"""),"Tisza TSE")</f>
        <v>Tisza TSE</v>
      </c>
      <c r="B1556" s="1" t="str">
        <f ca="1">IFERROR(__xludf.DUMMYFUNCTION("""COMPUTED_VALUE"""),"Dömötör Renáta")</f>
        <v>Dömötör Renáta</v>
      </c>
      <c r="C1556" s="1"/>
      <c r="D1556" s="1" t="str">
        <f ca="1">IFERROR(__xludf.DUMMYFUNCTION("""COMPUTED_VALUE"""),"Nő")</f>
        <v>Nő</v>
      </c>
      <c r="E1556" s="1"/>
      <c r="F1556" s="1">
        <f ca="1">IFERROR(__xludf.DUMMYFUNCTION("""COMPUTED_VALUE"""),1992)</f>
        <v>1992</v>
      </c>
      <c r="G1556" s="1">
        <f ca="1">IFERROR(__xludf.DUMMYFUNCTION("""COMPUTED_VALUE"""),3907)</f>
        <v>3907</v>
      </c>
      <c r="H1556" s="1" t="str">
        <f ca="1">IFERROR(__xludf.DUMMYFUNCTION("""COMPUTED_VALUE"""),"MTLSZ003907A20")</f>
        <v>MTLSZ003907A20</v>
      </c>
      <c r="I1556" s="2">
        <f ca="1">IFERROR(__xludf.DUMMYFUNCTION("""COMPUTED_VALUE"""),44165)</f>
        <v>44165</v>
      </c>
      <c r="J1556" s="2">
        <f ca="1">IFERROR(__xludf.DUMMYFUNCTION("""COMPUTED_VALUE"""),44529)</f>
        <v>44529</v>
      </c>
    </row>
    <row r="1557" spans="1:10" x14ac:dyDescent="0.25">
      <c r="A1557" s="1" t="str">
        <f ca="1">IFERROR(__xludf.DUMMYFUNCTION("""COMPUTED_VALUE"""),"Tisza TSE")</f>
        <v>Tisza TSE</v>
      </c>
      <c r="B1557" s="1" t="str">
        <f ca="1">IFERROR(__xludf.DUMMYFUNCTION("""COMPUTED_VALUE"""),"Felsőbüky Klára")</f>
        <v>Felsőbüky Klára</v>
      </c>
      <c r="C1557" s="1"/>
      <c r="D1557" s="1" t="str">
        <f ca="1">IFERROR(__xludf.DUMMYFUNCTION("""COMPUTED_VALUE"""),"Nő")</f>
        <v>Nő</v>
      </c>
      <c r="E1557" s="1"/>
      <c r="F1557" s="1">
        <f ca="1">IFERROR(__xludf.DUMMYFUNCTION("""COMPUTED_VALUE"""),1962)</f>
        <v>1962</v>
      </c>
      <c r="G1557" s="1">
        <f ca="1">IFERROR(__xludf.DUMMYFUNCTION("""COMPUTED_VALUE"""),3901)</f>
        <v>3901</v>
      </c>
      <c r="H1557" s="1" t="str">
        <f ca="1">IFERROR(__xludf.DUMMYFUNCTION("""COMPUTED_VALUE"""),"MTLSZ003901A20")</f>
        <v>MTLSZ003901A20</v>
      </c>
      <c r="I1557" s="2">
        <f ca="1">IFERROR(__xludf.DUMMYFUNCTION("""COMPUTED_VALUE"""),44165)</f>
        <v>44165</v>
      </c>
      <c r="J1557" s="2">
        <f ca="1">IFERROR(__xludf.DUMMYFUNCTION("""COMPUTED_VALUE"""),44529)</f>
        <v>44529</v>
      </c>
    </row>
    <row r="1558" spans="1:10" x14ac:dyDescent="0.25">
      <c r="A1558" s="1" t="str">
        <f ca="1">IFERROR(__xludf.DUMMYFUNCTION("""COMPUTED_VALUE"""),"Tisza TSE")</f>
        <v>Tisza TSE</v>
      </c>
      <c r="B1558" s="1" t="str">
        <f ca="1">IFERROR(__xludf.DUMMYFUNCTION("""COMPUTED_VALUE"""),"Ferenczi Zoltán")</f>
        <v>Ferenczi Zoltán</v>
      </c>
      <c r="C1558" s="1"/>
      <c r="D1558" s="1" t="str">
        <f ca="1">IFERROR(__xludf.DUMMYFUNCTION("""COMPUTED_VALUE"""),"Férfi")</f>
        <v>Férfi</v>
      </c>
      <c r="E1558" s="1"/>
      <c r="F1558" s="1">
        <f ca="1">IFERROR(__xludf.DUMMYFUNCTION("""COMPUTED_VALUE"""),1968)</f>
        <v>1968</v>
      </c>
      <c r="G1558" s="1">
        <f ca="1">IFERROR(__xludf.DUMMYFUNCTION("""COMPUTED_VALUE"""),3899)</f>
        <v>3899</v>
      </c>
      <c r="H1558" s="1" t="str">
        <f ca="1">IFERROR(__xludf.DUMMYFUNCTION("""COMPUTED_VALUE"""),"MTLSZ003899A20")</f>
        <v>MTLSZ003899A20</v>
      </c>
      <c r="I1558" s="2">
        <f ca="1">IFERROR(__xludf.DUMMYFUNCTION("""COMPUTED_VALUE"""),44165)</f>
        <v>44165</v>
      </c>
      <c r="J1558" s="2">
        <f ca="1">IFERROR(__xludf.DUMMYFUNCTION("""COMPUTED_VALUE"""),44529)</f>
        <v>44529</v>
      </c>
    </row>
    <row r="1559" spans="1:10" x14ac:dyDescent="0.25">
      <c r="A1559" s="1" t="str">
        <f ca="1">IFERROR(__xludf.DUMMYFUNCTION("""COMPUTED_VALUE"""),"Tisza TSE")</f>
        <v>Tisza TSE</v>
      </c>
      <c r="B1559" s="1" t="str">
        <f ca="1">IFERROR(__xludf.DUMMYFUNCTION("""COMPUTED_VALUE"""),"Hódi Marianna")</f>
        <v>Hódi Marianna</v>
      </c>
      <c r="C1559" s="1"/>
      <c r="D1559" s="1" t="str">
        <f ca="1">IFERROR(__xludf.DUMMYFUNCTION("""COMPUTED_VALUE"""),"Nő")</f>
        <v>Nő</v>
      </c>
      <c r="E1559" s="1"/>
      <c r="F1559" s="1">
        <f ca="1">IFERROR(__xludf.DUMMYFUNCTION("""COMPUTED_VALUE"""),1966)</f>
        <v>1966</v>
      </c>
      <c r="G1559" s="1">
        <f ca="1">IFERROR(__xludf.DUMMYFUNCTION("""COMPUTED_VALUE"""),3267)</f>
        <v>3267</v>
      </c>
      <c r="H1559" s="1" t="str">
        <f ca="1">IFERROR(__xludf.DUMMYFUNCTION("""COMPUTED_VALUE"""),"MTLSZ003267A20")</f>
        <v>MTLSZ003267A20</v>
      </c>
      <c r="I1559" s="2">
        <f ca="1">IFERROR(__xludf.DUMMYFUNCTION("""COMPUTED_VALUE"""),44165)</f>
        <v>44165</v>
      </c>
      <c r="J1559" s="2">
        <f ca="1">IFERROR(__xludf.DUMMYFUNCTION("""COMPUTED_VALUE"""),44529)</f>
        <v>44529</v>
      </c>
    </row>
    <row r="1560" spans="1:10" x14ac:dyDescent="0.25">
      <c r="A1560" s="1" t="str">
        <f ca="1">IFERROR(__xludf.DUMMYFUNCTION("""COMPUTED_VALUE"""),"Tisza TSE")</f>
        <v>Tisza TSE</v>
      </c>
      <c r="B1560" s="1" t="str">
        <f ca="1">IFERROR(__xludf.DUMMYFUNCTION("""COMPUTED_VALUE"""),"Jármer Erika")</f>
        <v>Jármer Erika</v>
      </c>
      <c r="C1560" s="1"/>
      <c r="D1560" s="1" t="str">
        <f ca="1">IFERROR(__xludf.DUMMYFUNCTION("""COMPUTED_VALUE"""),"Nő")</f>
        <v>Nő</v>
      </c>
      <c r="E1560" s="1"/>
      <c r="F1560" s="1">
        <f ca="1">IFERROR(__xludf.DUMMYFUNCTION("""COMPUTED_VALUE"""),1971)</f>
        <v>1971</v>
      </c>
      <c r="G1560" s="1">
        <f ca="1">IFERROR(__xludf.DUMMYFUNCTION("""COMPUTED_VALUE"""),3900)</f>
        <v>3900</v>
      </c>
      <c r="H1560" s="1" t="str">
        <f ca="1">IFERROR(__xludf.DUMMYFUNCTION("""COMPUTED_VALUE"""),"MTLSZ003900A20")</f>
        <v>MTLSZ003900A20</v>
      </c>
      <c r="I1560" s="2">
        <f ca="1">IFERROR(__xludf.DUMMYFUNCTION("""COMPUTED_VALUE"""),44165)</f>
        <v>44165</v>
      </c>
      <c r="J1560" s="2">
        <f ca="1">IFERROR(__xludf.DUMMYFUNCTION("""COMPUTED_VALUE"""),44529)</f>
        <v>44529</v>
      </c>
    </row>
    <row r="1561" spans="1:10" x14ac:dyDescent="0.25">
      <c r="A1561" s="1" t="str">
        <f ca="1">IFERROR(__xludf.DUMMYFUNCTION("""COMPUTED_VALUE"""),"Tisza TSE")</f>
        <v>Tisza TSE</v>
      </c>
      <c r="B1561" s="1" t="str">
        <f ca="1">IFERROR(__xludf.DUMMYFUNCTION("""COMPUTED_VALUE"""),"Kóta Zoltán")</f>
        <v>Kóta Zoltán</v>
      </c>
      <c r="C1561" s="1"/>
      <c r="D1561" s="1" t="str">
        <f ca="1">IFERROR(__xludf.DUMMYFUNCTION("""COMPUTED_VALUE"""),"Férfi")</f>
        <v>Férfi</v>
      </c>
      <c r="E1561" s="1"/>
      <c r="F1561" s="1">
        <f ca="1">IFERROR(__xludf.DUMMYFUNCTION("""COMPUTED_VALUE"""),1973)</f>
        <v>1973</v>
      </c>
      <c r="G1561" s="1">
        <f ca="1">IFERROR(__xludf.DUMMYFUNCTION("""COMPUTED_VALUE"""),3906)</f>
        <v>3906</v>
      </c>
      <c r="H1561" s="1" t="str">
        <f ca="1">IFERROR(__xludf.DUMMYFUNCTION("""COMPUTED_VALUE"""),"MTLSZ003906A20")</f>
        <v>MTLSZ003906A20</v>
      </c>
      <c r="I1561" s="2">
        <f ca="1">IFERROR(__xludf.DUMMYFUNCTION("""COMPUTED_VALUE"""),44165)</f>
        <v>44165</v>
      </c>
      <c r="J1561" s="2">
        <f ca="1">IFERROR(__xludf.DUMMYFUNCTION("""COMPUTED_VALUE"""),44529)</f>
        <v>44529</v>
      </c>
    </row>
    <row r="1562" spans="1:10" x14ac:dyDescent="0.25">
      <c r="A1562" s="1" t="str">
        <f ca="1">IFERROR(__xludf.DUMMYFUNCTION("""COMPUTED_VALUE"""),"Tisza TSE")</f>
        <v>Tisza TSE</v>
      </c>
      <c r="B1562" s="1" t="str">
        <f ca="1">IFERROR(__xludf.DUMMYFUNCTION("""COMPUTED_VALUE"""),"Lőrinczy Zsuzsanna")</f>
        <v>Lőrinczy Zsuzsanna</v>
      </c>
      <c r="C1562" s="1"/>
      <c r="D1562" s="1" t="str">
        <f ca="1">IFERROR(__xludf.DUMMYFUNCTION("""COMPUTED_VALUE"""),"Nő")</f>
        <v>Nő</v>
      </c>
      <c r="E1562" s="1"/>
      <c r="F1562" s="1">
        <f ca="1">IFERROR(__xludf.DUMMYFUNCTION("""COMPUTED_VALUE"""),1973)</f>
        <v>1973</v>
      </c>
      <c r="G1562" s="1">
        <f ca="1">IFERROR(__xludf.DUMMYFUNCTION("""COMPUTED_VALUE"""),3025)</f>
        <v>3025</v>
      </c>
      <c r="H1562" s="1" t="str">
        <f ca="1">IFERROR(__xludf.DUMMYFUNCTION("""COMPUTED_VALUE"""),"MTLSZ003025A20")</f>
        <v>MTLSZ003025A20</v>
      </c>
      <c r="I1562" s="2">
        <f ca="1">IFERROR(__xludf.DUMMYFUNCTION("""COMPUTED_VALUE"""),44165)</f>
        <v>44165</v>
      </c>
      <c r="J1562" s="2">
        <f ca="1">IFERROR(__xludf.DUMMYFUNCTION("""COMPUTED_VALUE"""),44529)</f>
        <v>44529</v>
      </c>
    </row>
    <row r="1563" spans="1:10" x14ac:dyDescent="0.25">
      <c r="A1563" s="1" t="str">
        <f ca="1">IFERROR(__xludf.DUMMYFUNCTION("""COMPUTED_VALUE"""),"Tisza TSE")</f>
        <v>Tisza TSE</v>
      </c>
      <c r="B1563" s="1" t="str">
        <f ca="1">IFERROR(__xludf.DUMMYFUNCTION("""COMPUTED_VALUE"""),"Trogmayer Wábits Viktória")</f>
        <v>Trogmayer Wábits Viktória</v>
      </c>
      <c r="C1563" s="1"/>
      <c r="D1563" s="1" t="str">
        <f ca="1">IFERROR(__xludf.DUMMYFUNCTION("""COMPUTED_VALUE"""),"Nő")</f>
        <v>Nő</v>
      </c>
      <c r="E1563" s="1"/>
      <c r="F1563" s="1">
        <f ca="1">IFERROR(__xludf.DUMMYFUNCTION("""COMPUTED_VALUE"""),1979)</f>
        <v>1979</v>
      </c>
      <c r="G1563" s="1">
        <f ca="1">IFERROR(__xludf.DUMMYFUNCTION("""COMPUTED_VALUE"""),3897)</f>
        <v>3897</v>
      </c>
      <c r="H1563" s="1" t="str">
        <f ca="1">IFERROR(__xludf.DUMMYFUNCTION("""COMPUTED_VALUE"""),"MTLSZ003897A20")</f>
        <v>MTLSZ003897A20</v>
      </c>
      <c r="I1563" s="2">
        <f ca="1">IFERROR(__xludf.DUMMYFUNCTION("""COMPUTED_VALUE"""),44165)</f>
        <v>44165</v>
      </c>
      <c r="J1563" s="2">
        <f ca="1">IFERROR(__xludf.DUMMYFUNCTION("""COMPUTED_VALUE"""),44529)</f>
        <v>44529</v>
      </c>
    </row>
    <row r="1564" spans="1:10" x14ac:dyDescent="0.25">
      <c r="A1564" s="1" t="str">
        <f ca="1">IFERROR(__xludf.DUMMYFUNCTION("""COMPUTED_VALUE"""),"Tisza TSE")</f>
        <v>Tisza TSE</v>
      </c>
      <c r="B1564" s="1" t="str">
        <f ca="1">IFERROR(__xludf.DUMMYFUNCTION("""COMPUTED_VALUE"""),"Varga Attila")</f>
        <v>Varga Attila</v>
      </c>
      <c r="C1564" s="1"/>
      <c r="D1564" s="1" t="str">
        <f ca="1">IFERROR(__xludf.DUMMYFUNCTION("""COMPUTED_VALUE"""),"Férfi")</f>
        <v>Férfi</v>
      </c>
      <c r="E1564" s="1"/>
      <c r="F1564" s="1">
        <f ca="1">IFERROR(__xludf.DUMMYFUNCTION("""COMPUTED_VALUE"""),1970)</f>
        <v>1970</v>
      </c>
      <c r="G1564" s="1">
        <f ca="1">IFERROR(__xludf.DUMMYFUNCTION("""COMPUTED_VALUE"""),3904)</f>
        <v>3904</v>
      </c>
      <c r="H1564" s="1" t="str">
        <f ca="1">IFERROR(__xludf.DUMMYFUNCTION("""COMPUTED_VALUE"""),"MTLSZ003904A20")</f>
        <v>MTLSZ003904A20</v>
      </c>
      <c r="I1564" s="2">
        <f ca="1">IFERROR(__xludf.DUMMYFUNCTION("""COMPUTED_VALUE"""),44165)</f>
        <v>44165</v>
      </c>
      <c r="J1564" s="2">
        <f ca="1">IFERROR(__xludf.DUMMYFUNCTION("""COMPUTED_VALUE"""),44529)</f>
        <v>44529</v>
      </c>
    </row>
    <row r="1565" spans="1:10" x14ac:dyDescent="0.25">
      <c r="A1565" s="1" t="str">
        <f ca="1">IFERROR(__xludf.DUMMYFUNCTION("""COMPUTED_VALUE"""),"Tisza TSE")</f>
        <v>Tisza TSE</v>
      </c>
      <c r="B1565" s="1" t="str">
        <f ca="1">IFERROR(__xludf.DUMMYFUNCTION("""COMPUTED_VALUE"""),"Zalai Zsolt")</f>
        <v>Zalai Zsolt</v>
      </c>
      <c r="C1565" s="1"/>
      <c r="D1565" s="1" t="str">
        <f ca="1">IFERROR(__xludf.DUMMYFUNCTION("""COMPUTED_VALUE"""),"Férfi")</f>
        <v>Férfi</v>
      </c>
      <c r="E1565" s="1"/>
      <c r="F1565" s="1">
        <f ca="1">IFERROR(__xludf.DUMMYFUNCTION("""COMPUTED_VALUE"""),1968)</f>
        <v>1968</v>
      </c>
      <c r="G1565" s="1">
        <f ca="1">IFERROR(__xludf.DUMMYFUNCTION("""COMPUTED_VALUE"""),3898)</f>
        <v>3898</v>
      </c>
      <c r="H1565" s="1" t="str">
        <f ca="1">IFERROR(__xludf.DUMMYFUNCTION("""COMPUTED_VALUE"""),"MTLSZ003898A20")</f>
        <v>MTLSZ003898A20</v>
      </c>
      <c r="I1565" s="2">
        <f ca="1">IFERROR(__xludf.DUMMYFUNCTION("""COMPUTED_VALUE"""),44165)</f>
        <v>44165</v>
      </c>
      <c r="J1565" s="2">
        <f ca="1">IFERROR(__xludf.DUMMYFUNCTION("""COMPUTED_VALUE"""),44529)</f>
        <v>44529</v>
      </c>
    </row>
    <row r="1566" spans="1:10" x14ac:dyDescent="0.25">
      <c r="A1566" s="1" t="str">
        <f ca="1">IFERROR(__xludf.DUMMYFUNCTION("""COMPUTED_VALUE"""),"Tisza TSE")</f>
        <v>Tisza TSE</v>
      </c>
      <c r="B1566" s="1"/>
      <c r="C1566" s="1"/>
      <c r="D1566" s="1"/>
      <c r="E1566" s="1"/>
      <c r="F1566" s="1">
        <f ca="1">IFERROR(__xludf.DUMMYFUNCTION("""COMPUTED_VALUE"""),1899)</f>
        <v>1899</v>
      </c>
      <c r="G1566" s="1">
        <f ca="1">IFERROR(__xludf.DUMMYFUNCTION("""COMPUTED_VALUE"""),3903)</f>
        <v>3903</v>
      </c>
      <c r="H1566" s="1"/>
      <c r="I1566" s="2">
        <f ca="1">IFERROR(__xludf.DUMMYFUNCTION("""COMPUTED_VALUE"""),44165)</f>
        <v>44165</v>
      </c>
      <c r="J1566" s="2">
        <f ca="1">IFERROR(__xludf.DUMMYFUNCTION("""COMPUTED_VALUE"""),44529)</f>
        <v>44529</v>
      </c>
    </row>
    <row r="1567" spans="1:10" x14ac:dyDescent="0.25">
      <c r="A1567" s="1" t="str">
        <f ca="1">IFERROR(__xludf.DUMMYFUNCTION("""COMPUTED_VALUE"""),"Tisza TSE")</f>
        <v>Tisza TSE</v>
      </c>
      <c r="B1567" s="1"/>
      <c r="C1567" s="1"/>
      <c r="D1567" s="1"/>
      <c r="E1567" s="1"/>
      <c r="F1567" s="1">
        <f ca="1">IFERROR(__xludf.DUMMYFUNCTION("""COMPUTED_VALUE"""),1899)</f>
        <v>1899</v>
      </c>
      <c r="G1567" s="1">
        <f ca="1">IFERROR(__xludf.DUMMYFUNCTION("""COMPUTED_VALUE"""),3905)</f>
        <v>3905</v>
      </c>
      <c r="H1567" s="1"/>
      <c r="I1567" s="2">
        <f ca="1">IFERROR(__xludf.DUMMYFUNCTION("""COMPUTED_VALUE"""),44165)</f>
        <v>44165</v>
      </c>
      <c r="J1567" s="2">
        <f ca="1">IFERROR(__xludf.DUMMYFUNCTION("""COMPUTED_VALUE"""),44529)</f>
        <v>44529</v>
      </c>
    </row>
    <row r="1568" spans="1:10" x14ac:dyDescent="0.25">
      <c r="A1568" s="1" t="str">
        <f ca="1">IFERROR(__xludf.DUMMYFUNCTION("""COMPUTED_VALUE"""),"Újpest TSE")</f>
        <v>Újpest TSE</v>
      </c>
      <c r="B1568" s="1" t="str">
        <f ca="1">IFERROR(__xludf.DUMMYFUNCTION("""COMPUTED_VALUE"""),"Csontos Zoltán")</f>
        <v>Csontos Zoltán</v>
      </c>
      <c r="C1568" s="1"/>
      <c r="D1568" s="1" t="str">
        <f ca="1">IFERROR(__xludf.DUMMYFUNCTION("""COMPUTED_VALUE"""),"Férfi")</f>
        <v>Férfi</v>
      </c>
      <c r="E1568" s="1"/>
      <c r="F1568" s="1">
        <f ca="1">IFERROR(__xludf.DUMMYFUNCTION("""COMPUTED_VALUE"""),1973)</f>
        <v>1973</v>
      </c>
      <c r="G1568" s="1">
        <f ca="1">IFERROR(__xludf.DUMMYFUNCTION("""COMPUTED_VALUE"""),3908)</f>
        <v>3908</v>
      </c>
      <c r="H1568" s="1" t="str">
        <f ca="1">IFERROR(__xludf.DUMMYFUNCTION("""COMPUTED_VALUE"""),"MTLSZ003908A20")</f>
        <v>MTLSZ003908A20</v>
      </c>
      <c r="I1568" s="2">
        <f ca="1">IFERROR(__xludf.DUMMYFUNCTION("""COMPUTED_VALUE"""),44165)</f>
        <v>44165</v>
      </c>
      <c r="J1568" s="2">
        <f ca="1">IFERROR(__xludf.DUMMYFUNCTION("""COMPUTED_VALUE"""),44529)</f>
        <v>44529</v>
      </c>
    </row>
    <row r="1569" spans="1:10" x14ac:dyDescent="0.25">
      <c r="A1569" s="1" t="str">
        <f ca="1">IFERROR(__xludf.DUMMYFUNCTION("""COMPUTED_VALUE"""),"Életmód SE")</f>
        <v>Életmód SE</v>
      </c>
      <c r="B1569" s="1" t="str">
        <f ca="1">IFERROR(__xludf.DUMMYFUNCTION("""COMPUTED_VALUE"""),"Abdalla Shiref Gamal")</f>
        <v>Abdalla Shiref Gamal</v>
      </c>
      <c r="C1569" s="1"/>
      <c r="D1569" s="1" t="str">
        <f ca="1">IFERROR(__xludf.DUMMYFUNCTION("""COMPUTED_VALUE"""),"Férfi")</f>
        <v>Férfi</v>
      </c>
      <c r="E1569" s="1"/>
      <c r="F1569" s="1">
        <f ca="1">IFERROR(__xludf.DUMMYFUNCTION("""COMPUTED_VALUE"""),1982)</f>
        <v>1982</v>
      </c>
      <c r="G1569" s="1">
        <f ca="1">IFERROR(__xludf.DUMMYFUNCTION("""COMPUTED_VALUE"""),3890)</f>
        <v>3890</v>
      </c>
      <c r="H1569" s="1" t="str">
        <f ca="1">IFERROR(__xludf.DUMMYFUNCTION("""COMPUTED_VALUE"""),"MTLSZ003890A20")</f>
        <v>MTLSZ003890A20</v>
      </c>
      <c r="I1569" s="2">
        <f ca="1">IFERROR(__xludf.DUMMYFUNCTION("""COMPUTED_VALUE"""),44162)</f>
        <v>44162</v>
      </c>
      <c r="J1569" s="2">
        <f ca="1">IFERROR(__xludf.DUMMYFUNCTION("""COMPUTED_VALUE"""),44526)</f>
        <v>44526</v>
      </c>
    </row>
    <row r="1570" spans="1:10" x14ac:dyDescent="0.25">
      <c r="A1570" s="1" t="str">
        <f ca="1">IFERROR(__xludf.DUMMYFUNCTION("""COMPUTED_VALUE"""),"Életmód SE")</f>
        <v>Életmód SE</v>
      </c>
      <c r="B1570" s="1" t="str">
        <f ca="1">IFERROR(__xludf.DUMMYFUNCTION("""COMPUTED_VALUE"""),"Baksa Ádám")</f>
        <v>Baksa Ádám</v>
      </c>
      <c r="C1570" s="1"/>
      <c r="D1570" s="1" t="str">
        <f ca="1">IFERROR(__xludf.DUMMYFUNCTION("""COMPUTED_VALUE"""),"Férfi")</f>
        <v>Férfi</v>
      </c>
      <c r="E1570" s="1"/>
      <c r="F1570" s="1">
        <f ca="1">IFERROR(__xludf.DUMMYFUNCTION("""COMPUTED_VALUE"""),1996)</f>
        <v>1996</v>
      </c>
      <c r="G1570" s="1">
        <f ca="1">IFERROR(__xludf.DUMMYFUNCTION("""COMPUTED_VALUE"""),3889)</f>
        <v>3889</v>
      </c>
      <c r="H1570" s="1" t="str">
        <f ca="1">IFERROR(__xludf.DUMMYFUNCTION("""COMPUTED_VALUE"""),"MTLSZ003889A20")</f>
        <v>MTLSZ003889A20</v>
      </c>
      <c r="I1570" s="2">
        <f ca="1">IFERROR(__xludf.DUMMYFUNCTION("""COMPUTED_VALUE"""),44162)</f>
        <v>44162</v>
      </c>
      <c r="J1570" s="2">
        <f ca="1">IFERROR(__xludf.DUMMYFUNCTION("""COMPUTED_VALUE"""),44526)</f>
        <v>44526</v>
      </c>
    </row>
    <row r="1571" spans="1:10" x14ac:dyDescent="0.25">
      <c r="A1571" s="1" t="str">
        <f ca="1">IFERROR(__xludf.DUMMYFUNCTION("""COMPUTED_VALUE"""),"Életmód SE")</f>
        <v>Életmód SE</v>
      </c>
      <c r="B1571" s="1" t="str">
        <f ca="1">IFERROR(__xludf.DUMMYFUNCTION("""COMPUTED_VALUE"""),"Kósik János")</f>
        <v>Kósik János</v>
      </c>
      <c r="C1571" s="1"/>
      <c r="D1571" s="1" t="str">
        <f ca="1">IFERROR(__xludf.DUMMYFUNCTION("""COMPUTED_VALUE"""),"Férfi")</f>
        <v>Férfi</v>
      </c>
      <c r="E1571" s="1"/>
      <c r="F1571" s="1">
        <f ca="1">IFERROR(__xludf.DUMMYFUNCTION("""COMPUTED_VALUE"""),1979)</f>
        <v>1979</v>
      </c>
      <c r="G1571" s="1">
        <f ca="1">IFERROR(__xludf.DUMMYFUNCTION("""COMPUTED_VALUE"""),3892)</f>
        <v>3892</v>
      </c>
      <c r="H1571" s="1" t="str">
        <f ca="1">IFERROR(__xludf.DUMMYFUNCTION("""COMPUTED_VALUE"""),"MTLSZ003892A20")</f>
        <v>MTLSZ003892A20</v>
      </c>
      <c r="I1571" s="2">
        <f ca="1">IFERROR(__xludf.DUMMYFUNCTION("""COMPUTED_VALUE"""),44162)</f>
        <v>44162</v>
      </c>
      <c r="J1571" s="2">
        <f ca="1">IFERROR(__xludf.DUMMYFUNCTION("""COMPUTED_VALUE"""),44526)</f>
        <v>44526</v>
      </c>
    </row>
    <row r="1572" spans="1:10" x14ac:dyDescent="0.25">
      <c r="A1572" s="1" t="str">
        <f ca="1">IFERROR(__xludf.DUMMYFUNCTION("""COMPUTED_VALUE"""),"Életmód SE")</f>
        <v>Életmód SE</v>
      </c>
      <c r="B1572" s="1" t="str">
        <f ca="1">IFERROR(__xludf.DUMMYFUNCTION("""COMPUTED_VALUE"""),"Szitkó Roland")</f>
        <v>Szitkó Roland</v>
      </c>
      <c r="C1572" s="1"/>
      <c r="D1572" s="1" t="str">
        <f ca="1">IFERROR(__xludf.DUMMYFUNCTION("""COMPUTED_VALUE"""),"Férfi")</f>
        <v>Férfi</v>
      </c>
      <c r="E1572" s="1"/>
      <c r="F1572" s="1">
        <f ca="1">IFERROR(__xludf.DUMMYFUNCTION("""COMPUTED_VALUE"""),1999)</f>
        <v>1999</v>
      </c>
      <c r="G1572" s="1">
        <f ca="1">IFERROR(__xludf.DUMMYFUNCTION("""COMPUTED_VALUE"""),3893)</f>
        <v>3893</v>
      </c>
      <c r="H1572" s="1" t="str">
        <f ca="1">IFERROR(__xludf.DUMMYFUNCTION("""COMPUTED_VALUE"""),"MTLSZ003893A20")</f>
        <v>MTLSZ003893A20</v>
      </c>
      <c r="I1572" s="2">
        <f ca="1">IFERROR(__xludf.DUMMYFUNCTION("""COMPUTED_VALUE"""),44162)</f>
        <v>44162</v>
      </c>
      <c r="J1572" s="2">
        <f ca="1">IFERROR(__xludf.DUMMYFUNCTION("""COMPUTED_VALUE"""),44526)</f>
        <v>44526</v>
      </c>
    </row>
    <row r="1573" spans="1:10" x14ac:dyDescent="0.25">
      <c r="A1573" s="1" t="str">
        <f ca="1">IFERROR(__xludf.DUMMYFUNCTION("""COMPUTED_VALUE"""),"Életmód SE")</f>
        <v>Életmód SE</v>
      </c>
      <c r="B1573" s="1" t="str">
        <f ca="1">IFERROR(__xludf.DUMMYFUNCTION("""COMPUTED_VALUE"""),"Tarkó Tibor")</f>
        <v>Tarkó Tibor</v>
      </c>
      <c r="C1573" s="1"/>
      <c r="D1573" s="1" t="str">
        <f ca="1">IFERROR(__xludf.DUMMYFUNCTION("""COMPUTED_VALUE"""),"Férfi")</f>
        <v>Férfi</v>
      </c>
      <c r="E1573" s="1"/>
      <c r="F1573" s="1">
        <f ca="1">IFERROR(__xludf.DUMMYFUNCTION("""COMPUTED_VALUE"""),1971)</f>
        <v>1971</v>
      </c>
      <c r="G1573" s="1">
        <f ca="1">IFERROR(__xludf.DUMMYFUNCTION("""COMPUTED_VALUE"""),3894)</f>
        <v>3894</v>
      </c>
      <c r="H1573" s="1" t="str">
        <f ca="1">IFERROR(__xludf.DUMMYFUNCTION("""COMPUTED_VALUE"""),"MTLSZ003894A20")</f>
        <v>MTLSZ003894A20</v>
      </c>
      <c r="I1573" s="2">
        <f ca="1">IFERROR(__xludf.DUMMYFUNCTION("""COMPUTED_VALUE"""),44162)</f>
        <v>44162</v>
      </c>
      <c r="J1573" s="2">
        <f ca="1">IFERROR(__xludf.DUMMYFUNCTION("""COMPUTED_VALUE"""),44526)</f>
        <v>44526</v>
      </c>
    </row>
    <row r="1574" spans="1:10" x14ac:dyDescent="0.25">
      <c r="A1574" s="1" t="str">
        <f ca="1">IFERROR(__xludf.DUMMYFUNCTION("""COMPUTED_VALUE"""),"Formás SE")</f>
        <v>Formás SE</v>
      </c>
      <c r="B1574" s="1" t="str">
        <f ca="1">IFERROR(__xludf.DUMMYFUNCTION("""COMPUTED_VALUE"""),"Kiss Anikó Dr.")</f>
        <v>Kiss Anikó Dr.</v>
      </c>
      <c r="C1574" s="1"/>
      <c r="D1574" s="1" t="str">
        <f ca="1">IFERROR(__xludf.DUMMYFUNCTION("""COMPUTED_VALUE"""),"Nő")</f>
        <v>Nő</v>
      </c>
      <c r="E1574" s="1"/>
      <c r="F1574" s="1">
        <f ca="1">IFERROR(__xludf.DUMMYFUNCTION("""COMPUTED_VALUE"""),1964)</f>
        <v>1964</v>
      </c>
      <c r="G1574" s="1">
        <f ca="1">IFERROR(__xludf.DUMMYFUNCTION("""COMPUTED_VALUE"""),3888)</f>
        <v>3888</v>
      </c>
      <c r="H1574" s="1" t="str">
        <f ca="1">IFERROR(__xludf.DUMMYFUNCTION("""COMPUTED_VALUE"""),"MTLSZ003888A20")</f>
        <v>MTLSZ003888A20</v>
      </c>
      <c r="I1574" s="2">
        <f ca="1">IFERROR(__xludf.DUMMYFUNCTION("""COMPUTED_VALUE"""),44162)</f>
        <v>44162</v>
      </c>
      <c r="J1574" s="2">
        <f ca="1">IFERROR(__xludf.DUMMYFUNCTION("""COMPUTED_VALUE"""),44526)</f>
        <v>44526</v>
      </c>
    </row>
    <row r="1575" spans="1:10" x14ac:dyDescent="0.25">
      <c r="A1575" s="1" t="str">
        <f ca="1">IFERROR(__xludf.DUMMYFUNCTION("""COMPUTED_VALUE"""),"Tisza TSE")</f>
        <v>Tisza TSE</v>
      </c>
      <c r="B1575" s="1" t="str">
        <f ca="1">IFERROR(__xludf.DUMMYFUNCTION("""COMPUTED_VALUE"""),"Nagy László Máté")</f>
        <v>Nagy László Máté</v>
      </c>
      <c r="C1575" s="1"/>
      <c r="D1575" s="1" t="str">
        <f ca="1">IFERROR(__xludf.DUMMYFUNCTION("""COMPUTED_VALUE"""),"Férfi")</f>
        <v>Férfi</v>
      </c>
      <c r="E1575" s="1"/>
      <c r="F1575" s="1">
        <f ca="1">IFERROR(__xludf.DUMMYFUNCTION("""COMPUTED_VALUE"""),1963)</f>
        <v>1963</v>
      </c>
      <c r="G1575" s="1">
        <f ca="1">IFERROR(__xludf.DUMMYFUNCTION("""COMPUTED_VALUE"""),2006)</f>
        <v>2006</v>
      </c>
      <c r="H1575" s="1" t="str">
        <f ca="1">IFERROR(__xludf.DUMMYFUNCTION("""COMPUTED_VALUE"""),"MTLSZ002006A20")</f>
        <v>MTLSZ002006A20</v>
      </c>
      <c r="I1575" s="2">
        <f ca="1">IFERROR(__xludf.DUMMYFUNCTION("""COMPUTED_VALUE"""),44162)</f>
        <v>44162</v>
      </c>
      <c r="J1575" s="2">
        <f ca="1">IFERROR(__xludf.DUMMYFUNCTION("""COMPUTED_VALUE"""),44526)</f>
        <v>44526</v>
      </c>
    </row>
    <row r="1576" spans="1:10" x14ac:dyDescent="0.25">
      <c r="A1576" s="1" t="str">
        <f ca="1">IFERROR(__xludf.DUMMYFUNCTION("""COMPUTED_VALUE"""),"Tisza TSE")</f>
        <v>Tisza TSE</v>
      </c>
      <c r="B1576" s="1"/>
      <c r="C1576" s="1"/>
      <c r="D1576" s="1"/>
      <c r="E1576" s="1"/>
      <c r="F1576" s="1">
        <f ca="1">IFERROR(__xludf.DUMMYFUNCTION("""COMPUTED_VALUE"""),1899)</f>
        <v>1899</v>
      </c>
      <c r="G1576" s="1">
        <f ca="1">IFERROR(__xludf.DUMMYFUNCTION("""COMPUTED_VALUE"""),3895)</f>
        <v>3895</v>
      </c>
      <c r="H1576" s="1"/>
      <c r="I1576" s="2">
        <f ca="1">IFERROR(__xludf.DUMMYFUNCTION("""COMPUTED_VALUE"""),44162)</f>
        <v>44162</v>
      </c>
      <c r="J1576" s="2">
        <f ca="1">IFERROR(__xludf.DUMMYFUNCTION("""COMPUTED_VALUE"""),44526)</f>
        <v>44526</v>
      </c>
    </row>
    <row r="1577" spans="1:10" x14ac:dyDescent="0.25">
      <c r="A1577" s="1" t="str">
        <f ca="1">IFERROR(__xludf.DUMMYFUNCTION("""COMPUTED_VALUE"""),"BTBK")</f>
        <v>BTBK</v>
      </c>
      <c r="B1577" s="1" t="str">
        <f ca="1">IFERROR(__xludf.DUMMYFUNCTION("""COMPUTED_VALUE"""),"Boros Gergely")</f>
        <v>Boros Gergely</v>
      </c>
      <c r="C1577" s="1"/>
      <c r="D1577" s="1" t="str">
        <f ca="1">IFERROR(__xludf.DUMMYFUNCTION("""COMPUTED_VALUE"""),"Férfi")</f>
        <v>Férfi</v>
      </c>
      <c r="E1577" s="1"/>
      <c r="F1577" s="1">
        <f ca="1">IFERROR(__xludf.DUMMYFUNCTION("""COMPUTED_VALUE"""),1975)</f>
        <v>1975</v>
      </c>
      <c r="G1577" s="1">
        <f ca="1">IFERROR(__xludf.DUMMYFUNCTION("""COMPUTED_VALUE"""),2327)</f>
        <v>2327</v>
      </c>
      <c r="H1577" s="1" t="str">
        <f ca="1">IFERROR(__xludf.DUMMYFUNCTION("""COMPUTED_VALUE"""),"MTLSZ002327A20")</f>
        <v>MTLSZ002327A20</v>
      </c>
      <c r="I1577" s="2">
        <f ca="1">IFERROR(__xludf.DUMMYFUNCTION("""COMPUTED_VALUE"""),44161)</f>
        <v>44161</v>
      </c>
      <c r="J1577" s="2">
        <f ca="1">IFERROR(__xludf.DUMMYFUNCTION("""COMPUTED_VALUE"""),44525)</f>
        <v>44525</v>
      </c>
    </row>
    <row r="1578" spans="1:10" x14ac:dyDescent="0.25">
      <c r="A1578" s="1" t="str">
        <f ca="1">IFERROR(__xludf.DUMMYFUNCTION("""COMPUTED_VALUE"""),"Soproni TSE")</f>
        <v>Soproni TSE</v>
      </c>
      <c r="B1578" s="1" t="str">
        <f ca="1">IFERROR(__xludf.DUMMYFUNCTION("""COMPUTED_VALUE"""),"Molnár Krisztián")</f>
        <v>Molnár Krisztián</v>
      </c>
      <c r="C1578" s="1"/>
      <c r="D1578" s="1" t="str">
        <f ca="1">IFERROR(__xludf.DUMMYFUNCTION("""COMPUTED_VALUE"""),"Férfi")</f>
        <v>Férfi</v>
      </c>
      <c r="E1578" s="1"/>
      <c r="F1578" s="1">
        <f ca="1">IFERROR(__xludf.DUMMYFUNCTION("""COMPUTED_VALUE"""),1977)</f>
        <v>1977</v>
      </c>
      <c r="G1578" s="1">
        <f ca="1">IFERROR(__xludf.DUMMYFUNCTION("""COMPUTED_VALUE"""),3884)</f>
        <v>3884</v>
      </c>
      <c r="H1578" s="1" t="str">
        <f ca="1">IFERROR(__xludf.DUMMYFUNCTION("""COMPUTED_VALUE"""),"MTLSZ003884A20")</f>
        <v>MTLSZ003884A20</v>
      </c>
      <c r="I1578" s="2">
        <f ca="1">IFERROR(__xludf.DUMMYFUNCTION("""COMPUTED_VALUE"""),44161)</f>
        <v>44161</v>
      </c>
      <c r="J1578" s="2">
        <f ca="1">IFERROR(__xludf.DUMMYFUNCTION("""COMPUTED_VALUE"""),44525)</f>
        <v>44525</v>
      </c>
    </row>
    <row r="1579" spans="1:10" x14ac:dyDescent="0.25">
      <c r="A1579" s="1" t="str">
        <f ca="1">IFERROR(__xludf.DUMMYFUNCTION("""COMPUTED_VALUE"""),"Soproni TSE")</f>
        <v>Soproni TSE</v>
      </c>
      <c r="B1579" s="1" t="str">
        <f ca="1">IFERROR(__xludf.DUMMYFUNCTION("""COMPUTED_VALUE"""),"Molnárné Újvári Emese")</f>
        <v>Molnárné Újvári Emese</v>
      </c>
      <c r="C1579" s="1"/>
      <c r="D1579" s="1" t="str">
        <f ca="1">IFERROR(__xludf.DUMMYFUNCTION("""COMPUTED_VALUE"""),"Nő")</f>
        <v>Nő</v>
      </c>
      <c r="E1579" s="1"/>
      <c r="F1579" s="1">
        <f ca="1">IFERROR(__xludf.DUMMYFUNCTION("""COMPUTED_VALUE"""),1978)</f>
        <v>1978</v>
      </c>
      <c r="G1579" s="1">
        <f ca="1">IFERROR(__xludf.DUMMYFUNCTION("""COMPUTED_VALUE"""),3885)</f>
        <v>3885</v>
      </c>
      <c r="H1579" s="1" t="str">
        <f ca="1">IFERROR(__xludf.DUMMYFUNCTION("""COMPUTED_VALUE"""),"MTLSZ003885A20")</f>
        <v>MTLSZ003885A20</v>
      </c>
      <c r="I1579" s="2">
        <f ca="1">IFERROR(__xludf.DUMMYFUNCTION("""COMPUTED_VALUE"""),44161)</f>
        <v>44161</v>
      </c>
      <c r="J1579" s="2">
        <f ca="1">IFERROR(__xludf.DUMMYFUNCTION("""COMPUTED_VALUE"""),44525)</f>
        <v>44525</v>
      </c>
    </row>
    <row r="1580" spans="1:10" x14ac:dyDescent="0.25">
      <c r="A1580" s="1" t="str">
        <f ca="1">IFERROR(__xludf.DUMMYFUNCTION("""COMPUTED_VALUE"""),"Soproni TSE")</f>
        <v>Soproni TSE</v>
      </c>
      <c r="B1580" s="1" t="str">
        <f ca="1">IFERROR(__xludf.DUMMYFUNCTION("""COMPUTED_VALUE"""),"Németh Erika")</f>
        <v>Németh Erika</v>
      </c>
      <c r="C1580" s="1"/>
      <c r="D1580" s="1" t="str">
        <f ca="1">IFERROR(__xludf.DUMMYFUNCTION("""COMPUTED_VALUE"""),"Nő")</f>
        <v>Nő</v>
      </c>
      <c r="E1580" s="1"/>
      <c r="F1580" s="1">
        <f ca="1">IFERROR(__xludf.DUMMYFUNCTION("""COMPUTED_VALUE"""),1978)</f>
        <v>1978</v>
      </c>
      <c r="G1580" s="1">
        <f ca="1">IFERROR(__xludf.DUMMYFUNCTION("""COMPUTED_VALUE"""),3887)</f>
        <v>3887</v>
      </c>
      <c r="H1580" s="1" t="str">
        <f ca="1">IFERROR(__xludf.DUMMYFUNCTION("""COMPUTED_VALUE"""),"MTLSZ003887A20")</f>
        <v>MTLSZ003887A20</v>
      </c>
      <c r="I1580" s="2">
        <f ca="1">IFERROR(__xludf.DUMMYFUNCTION("""COMPUTED_VALUE"""),44161)</f>
        <v>44161</v>
      </c>
      <c r="J1580" s="2">
        <f ca="1">IFERROR(__xludf.DUMMYFUNCTION("""COMPUTED_VALUE"""),44525)</f>
        <v>44525</v>
      </c>
    </row>
    <row r="1581" spans="1:10" x14ac:dyDescent="0.25">
      <c r="A1581" s="1" t="str">
        <f ca="1">IFERROR(__xludf.DUMMYFUNCTION("""COMPUTED_VALUE"""),"Életmód SE")</f>
        <v>Életmód SE</v>
      </c>
      <c r="B1581" s="1" t="str">
        <f ca="1">IFERROR(__xludf.DUMMYFUNCTION("""COMPUTED_VALUE"""),"Cs. Nagy Gyula")</f>
        <v>Cs. Nagy Gyula</v>
      </c>
      <c r="C1581" s="1"/>
      <c r="D1581" s="1" t="str">
        <f ca="1">IFERROR(__xludf.DUMMYFUNCTION("""COMPUTED_VALUE"""),"Férfi")</f>
        <v>Férfi</v>
      </c>
      <c r="E1581" s="1"/>
      <c r="F1581" s="1">
        <f ca="1">IFERROR(__xludf.DUMMYFUNCTION("""COMPUTED_VALUE"""),1959)</f>
        <v>1959</v>
      </c>
      <c r="G1581" s="1">
        <f ca="1">IFERROR(__xludf.DUMMYFUNCTION("""COMPUTED_VALUE"""),3868)</f>
        <v>3868</v>
      </c>
      <c r="H1581" s="1" t="str">
        <f ca="1">IFERROR(__xludf.DUMMYFUNCTION("""COMPUTED_VALUE"""),"MTLSZ003868A20")</f>
        <v>MTLSZ003868A20</v>
      </c>
      <c r="I1581" s="2">
        <f ca="1">IFERROR(__xludf.DUMMYFUNCTION("""COMPUTED_VALUE"""),44160)</f>
        <v>44160</v>
      </c>
      <c r="J1581" s="2">
        <f ca="1">IFERROR(__xludf.DUMMYFUNCTION("""COMPUTED_VALUE"""),44524)</f>
        <v>44524</v>
      </c>
    </row>
    <row r="1582" spans="1:10" x14ac:dyDescent="0.25">
      <c r="A1582" s="1" t="str">
        <f ca="1">IFERROR(__xludf.DUMMYFUNCTION("""COMPUTED_VALUE"""),"Életmód SE")</f>
        <v>Életmód SE</v>
      </c>
      <c r="B1582" s="1" t="str">
        <f ca="1">IFERROR(__xludf.DUMMYFUNCTION("""COMPUTED_VALUE"""),"Csiszár Ferenc")</f>
        <v>Csiszár Ferenc</v>
      </c>
      <c r="C1582" s="1"/>
      <c r="D1582" s="1" t="str">
        <f ca="1">IFERROR(__xludf.DUMMYFUNCTION("""COMPUTED_VALUE"""),"Férfi")</f>
        <v>Férfi</v>
      </c>
      <c r="E1582" s="1"/>
      <c r="F1582" s="1">
        <f ca="1">IFERROR(__xludf.DUMMYFUNCTION("""COMPUTED_VALUE"""),1969)</f>
        <v>1969</v>
      </c>
      <c r="G1582" s="1">
        <f ca="1">IFERROR(__xludf.DUMMYFUNCTION("""COMPUTED_VALUE"""),3871)</f>
        <v>3871</v>
      </c>
      <c r="H1582" s="1" t="str">
        <f ca="1">IFERROR(__xludf.DUMMYFUNCTION("""COMPUTED_VALUE"""),"MTLSZ003871A20")</f>
        <v>MTLSZ003871A20</v>
      </c>
      <c r="I1582" s="2">
        <f ca="1">IFERROR(__xludf.DUMMYFUNCTION("""COMPUTED_VALUE"""),44160)</f>
        <v>44160</v>
      </c>
      <c r="J1582" s="2">
        <f ca="1">IFERROR(__xludf.DUMMYFUNCTION("""COMPUTED_VALUE"""),44524)</f>
        <v>44524</v>
      </c>
    </row>
    <row r="1583" spans="1:10" x14ac:dyDescent="0.25">
      <c r="A1583" s="1" t="str">
        <f ca="1">IFERROR(__xludf.DUMMYFUNCTION("""COMPUTED_VALUE"""),"Életmód SE")</f>
        <v>Életmód SE</v>
      </c>
      <c r="B1583" s="1" t="str">
        <f ca="1">IFERROR(__xludf.DUMMYFUNCTION("""COMPUTED_VALUE"""),"Dávid Krisztián")</f>
        <v>Dávid Krisztián</v>
      </c>
      <c r="C1583" s="1"/>
      <c r="D1583" s="1" t="str">
        <f ca="1">IFERROR(__xludf.DUMMYFUNCTION("""COMPUTED_VALUE"""),"Férfi")</f>
        <v>Férfi</v>
      </c>
      <c r="E1583" s="1"/>
      <c r="F1583" s="1">
        <f ca="1">IFERROR(__xludf.DUMMYFUNCTION("""COMPUTED_VALUE"""),1992)</f>
        <v>1992</v>
      </c>
      <c r="G1583" s="1">
        <f ca="1">IFERROR(__xludf.DUMMYFUNCTION("""COMPUTED_VALUE"""),3867)</f>
        <v>3867</v>
      </c>
      <c r="H1583" s="1" t="str">
        <f ca="1">IFERROR(__xludf.DUMMYFUNCTION("""COMPUTED_VALUE"""),"MTLSZ003867A20")</f>
        <v>MTLSZ003867A20</v>
      </c>
      <c r="I1583" s="2">
        <f ca="1">IFERROR(__xludf.DUMMYFUNCTION("""COMPUTED_VALUE"""),44160)</f>
        <v>44160</v>
      </c>
      <c r="J1583" s="2">
        <f ca="1">IFERROR(__xludf.DUMMYFUNCTION("""COMPUTED_VALUE"""),44524)</f>
        <v>44524</v>
      </c>
    </row>
    <row r="1584" spans="1:10" x14ac:dyDescent="0.25">
      <c r="A1584" s="1" t="str">
        <f ca="1">IFERROR(__xludf.DUMMYFUNCTION("""COMPUTED_VALUE"""),"Életmód SE")</f>
        <v>Életmód SE</v>
      </c>
      <c r="B1584" s="1" t="str">
        <f ca="1">IFERROR(__xludf.DUMMYFUNCTION("""COMPUTED_VALUE"""),"Ecser Ádám")</f>
        <v>Ecser Ádám</v>
      </c>
      <c r="C1584" s="1"/>
      <c r="D1584" s="1" t="str">
        <f ca="1">IFERROR(__xludf.DUMMYFUNCTION("""COMPUTED_VALUE"""),"Férfi")</f>
        <v>Férfi</v>
      </c>
      <c r="E1584" s="1"/>
      <c r="F1584" s="1">
        <f ca="1">IFERROR(__xludf.DUMMYFUNCTION("""COMPUTED_VALUE"""),2001)</f>
        <v>2001</v>
      </c>
      <c r="G1584" s="1">
        <f ca="1">IFERROR(__xludf.DUMMYFUNCTION("""COMPUTED_VALUE"""),3878)</f>
        <v>3878</v>
      </c>
      <c r="H1584" s="1" t="str">
        <f ca="1">IFERROR(__xludf.DUMMYFUNCTION("""COMPUTED_VALUE"""),"MTLSZ003878A20")</f>
        <v>MTLSZ003878A20</v>
      </c>
      <c r="I1584" s="2">
        <f ca="1">IFERROR(__xludf.DUMMYFUNCTION("""COMPUTED_VALUE"""),44160)</f>
        <v>44160</v>
      </c>
      <c r="J1584" s="2">
        <f ca="1">IFERROR(__xludf.DUMMYFUNCTION("""COMPUTED_VALUE"""),44524)</f>
        <v>44524</v>
      </c>
    </row>
    <row r="1585" spans="1:10" x14ac:dyDescent="0.25">
      <c r="A1585" s="1" t="str">
        <f ca="1">IFERROR(__xludf.DUMMYFUNCTION("""COMPUTED_VALUE"""),"Életmód SE")</f>
        <v>Életmód SE</v>
      </c>
      <c r="B1585" s="1" t="str">
        <f ca="1">IFERROR(__xludf.DUMMYFUNCTION("""COMPUTED_VALUE"""),"Erdélyi Gyula")</f>
        <v>Erdélyi Gyula</v>
      </c>
      <c r="C1585" s="1"/>
      <c r="D1585" s="1" t="str">
        <f ca="1">IFERROR(__xludf.DUMMYFUNCTION("""COMPUTED_VALUE"""),"Férfi")</f>
        <v>Férfi</v>
      </c>
      <c r="E1585" s="1"/>
      <c r="F1585" s="1">
        <f ca="1">IFERROR(__xludf.DUMMYFUNCTION("""COMPUTED_VALUE"""),1996)</f>
        <v>1996</v>
      </c>
      <c r="G1585" s="1">
        <f ca="1">IFERROR(__xludf.DUMMYFUNCTION("""COMPUTED_VALUE"""),3872)</f>
        <v>3872</v>
      </c>
      <c r="H1585" s="1" t="str">
        <f ca="1">IFERROR(__xludf.DUMMYFUNCTION("""COMPUTED_VALUE"""),"MTLSZ003872A20")</f>
        <v>MTLSZ003872A20</v>
      </c>
      <c r="I1585" s="2">
        <f ca="1">IFERROR(__xludf.DUMMYFUNCTION("""COMPUTED_VALUE"""),44160)</f>
        <v>44160</v>
      </c>
      <c r="J1585" s="2">
        <f ca="1">IFERROR(__xludf.DUMMYFUNCTION("""COMPUTED_VALUE"""),44524)</f>
        <v>44524</v>
      </c>
    </row>
    <row r="1586" spans="1:10" x14ac:dyDescent="0.25">
      <c r="A1586" s="1" t="str">
        <f ca="1">IFERROR(__xludf.DUMMYFUNCTION("""COMPUTED_VALUE"""),"Életmód SE")</f>
        <v>Életmód SE</v>
      </c>
      <c r="B1586" s="1" t="str">
        <f ca="1">IFERROR(__xludf.DUMMYFUNCTION("""COMPUTED_VALUE"""),"Fazekas Zoltán Dr.")</f>
        <v>Fazekas Zoltán Dr.</v>
      </c>
      <c r="C1586" s="1"/>
      <c r="D1586" s="1" t="str">
        <f ca="1">IFERROR(__xludf.DUMMYFUNCTION("""COMPUTED_VALUE"""),"Férfi")</f>
        <v>Férfi</v>
      </c>
      <c r="E1586" s="1"/>
      <c r="F1586" s="1">
        <f ca="1">IFERROR(__xludf.DUMMYFUNCTION("""COMPUTED_VALUE"""),1959)</f>
        <v>1959</v>
      </c>
      <c r="G1586" s="1">
        <f ca="1">IFERROR(__xludf.DUMMYFUNCTION("""COMPUTED_VALUE"""),3870)</f>
        <v>3870</v>
      </c>
      <c r="H1586" s="1" t="str">
        <f ca="1">IFERROR(__xludf.DUMMYFUNCTION("""COMPUTED_VALUE"""),"MTLSZ003870A20")</f>
        <v>MTLSZ003870A20</v>
      </c>
      <c r="I1586" s="2">
        <f ca="1">IFERROR(__xludf.DUMMYFUNCTION("""COMPUTED_VALUE"""),44160)</f>
        <v>44160</v>
      </c>
      <c r="J1586" s="2">
        <f ca="1">IFERROR(__xludf.DUMMYFUNCTION("""COMPUTED_VALUE"""),44524)</f>
        <v>44524</v>
      </c>
    </row>
    <row r="1587" spans="1:10" x14ac:dyDescent="0.25">
      <c r="A1587" s="1" t="str">
        <f ca="1">IFERROR(__xludf.DUMMYFUNCTION("""COMPUTED_VALUE"""),"Életmód SE")</f>
        <v>Életmód SE</v>
      </c>
      <c r="B1587" s="1" t="str">
        <f ca="1">IFERROR(__xludf.DUMMYFUNCTION("""COMPUTED_VALUE"""),"Hajdú Gyuláné")</f>
        <v>Hajdú Gyuláné</v>
      </c>
      <c r="C1587" s="1"/>
      <c r="D1587" s="1" t="str">
        <f ca="1">IFERROR(__xludf.DUMMYFUNCTION("""COMPUTED_VALUE"""),"Nő")</f>
        <v>Nő</v>
      </c>
      <c r="E1587" s="1"/>
      <c r="F1587" s="1">
        <f ca="1">IFERROR(__xludf.DUMMYFUNCTION("""COMPUTED_VALUE"""),1968)</f>
        <v>1968</v>
      </c>
      <c r="G1587" s="1">
        <f ca="1">IFERROR(__xludf.DUMMYFUNCTION("""COMPUTED_VALUE"""),3875)</f>
        <v>3875</v>
      </c>
      <c r="H1587" s="1" t="str">
        <f ca="1">IFERROR(__xludf.DUMMYFUNCTION("""COMPUTED_VALUE"""),"MTLSZ003875A20")</f>
        <v>MTLSZ003875A20</v>
      </c>
      <c r="I1587" s="2">
        <f ca="1">IFERROR(__xludf.DUMMYFUNCTION("""COMPUTED_VALUE"""),44160)</f>
        <v>44160</v>
      </c>
      <c r="J1587" s="2">
        <f ca="1">IFERROR(__xludf.DUMMYFUNCTION("""COMPUTED_VALUE"""),44524)</f>
        <v>44524</v>
      </c>
    </row>
    <row r="1588" spans="1:10" x14ac:dyDescent="0.25">
      <c r="A1588" s="1" t="str">
        <f ca="1">IFERROR(__xludf.DUMMYFUNCTION("""COMPUTED_VALUE"""),"Életmód SE")</f>
        <v>Életmód SE</v>
      </c>
      <c r="B1588" s="1" t="str">
        <f ca="1">IFERROR(__xludf.DUMMYFUNCTION("""COMPUTED_VALUE"""),"Kovács Roland")</f>
        <v>Kovács Roland</v>
      </c>
      <c r="C1588" s="1"/>
      <c r="D1588" s="1" t="str">
        <f ca="1">IFERROR(__xludf.DUMMYFUNCTION("""COMPUTED_VALUE"""),"Férfi")</f>
        <v>Férfi</v>
      </c>
      <c r="E1588" s="1"/>
      <c r="F1588" s="1">
        <f ca="1">IFERROR(__xludf.DUMMYFUNCTION("""COMPUTED_VALUE"""),1991)</f>
        <v>1991</v>
      </c>
      <c r="G1588" s="1">
        <f ca="1">IFERROR(__xludf.DUMMYFUNCTION("""COMPUTED_VALUE"""),3869)</f>
        <v>3869</v>
      </c>
      <c r="H1588" s="1" t="str">
        <f ca="1">IFERROR(__xludf.DUMMYFUNCTION("""COMPUTED_VALUE"""),"MTLSZ003869A20")</f>
        <v>MTLSZ003869A20</v>
      </c>
      <c r="I1588" s="2">
        <f ca="1">IFERROR(__xludf.DUMMYFUNCTION("""COMPUTED_VALUE"""),44160)</f>
        <v>44160</v>
      </c>
      <c r="J1588" s="2">
        <f ca="1">IFERROR(__xludf.DUMMYFUNCTION("""COMPUTED_VALUE"""),44524)</f>
        <v>44524</v>
      </c>
    </row>
    <row r="1589" spans="1:10" x14ac:dyDescent="0.25">
      <c r="A1589" s="1" t="str">
        <f ca="1">IFERROR(__xludf.DUMMYFUNCTION("""COMPUTED_VALUE"""),"Életmód SE")</f>
        <v>Életmód SE</v>
      </c>
      <c r="B1589" s="1" t="str">
        <f ca="1">IFERROR(__xludf.DUMMYFUNCTION("""COMPUTED_VALUE"""),"Siska Gyuláné")</f>
        <v>Siska Gyuláné</v>
      </c>
      <c r="C1589" s="1"/>
      <c r="D1589" s="1" t="str">
        <f ca="1">IFERROR(__xludf.DUMMYFUNCTION("""COMPUTED_VALUE"""),"Nő")</f>
        <v>Nő</v>
      </c>
      <c r="E1589" s="1"/>
      <c r="F1589" s="1">
        <f ca="1">IFERROR(__xludf.DUMMYFUNCTION("""COMPUTED_VALUE"""),1956)</f>
        <v>1956</v>
      </c>
      <c r="G1589" s="1">
        <f ca="1">IFERROR(__xludf.DUMMYFUNCTION("""COMPUTED_VALUE"""),3873)</f>
        <v>3873</v>
      </c>
      <c r="H1589" s="1" t="str">
        <f ca="1">IFERROR(__xludf.DUMMYFUNCTION("""COMPUTED_VALUE"""),"MTLSZ003873A20")</f>
        <v>MTLSZ003873A20</v>
      </c>
      <c r="I1589" s="2">
        <f ca="1">IFERROR(__xludf.DUMMYFUNCTION("""COMPUTED_VALUE"""),44160)</f>
        <v>44160</v>
      </c>
      <c r="J1589" s="2">
        <f ca="1">IFERROR(__xludf.DUMMYFUNCTION("""COMPUTED_VALUE"""),44524)</f>
        <v>44524</v>
      </c>
    </row>
    <row r="1590" spans="1:10" x14ac:dyDescent="0.25">
      <c r="A1590" s="1" t="str">
        <f ca="1">IFERROR(__xludf.DUMMYFUNCTION("""COMPUTED_VALUE"""),"Életmód SE")</f>
        <v>Életmód SE</v>
      </c>
      <c r="B1590" s="1" t="str">
        <f ca="1">IFERROR(__xludf.DUMMYFUNCTION("""COMPUTED_VALUE"""),"Tarkó Gergő")</f>
        <v>Tarkó Gergő</v>
      </c>
      <c r="C1590" s="1"/>
      <c r="D1590" s="1" t="str">
        <f ca="1">IFERROR(__xludf.DUMMYFUNCTION("""COMPUTED_VALUE"""),"Férfi")</f>
        <v>Férfi</v>
      </c>
      <c r="E1590" s="1"/>
      <c r="F1590" s="1">
        <f ca="1">IFERROR(__xludf.DUMMYFUNCTION("""COMPUTED_VALUE"""),2006)</f>
        <v>2006</v>
      </c>
      <c r="G1590" s="1">
        <f ca="1">IFERROR(__xludf.DUMMYFUNCTION("""COMPUTED_VALUE"""),3281)</f>
        <v>3281</v>
      </c>
      <c r="H1590" s="1" t="str">
        <f ca="1">IFERROR(__xludf.DUMMYFUNCTION("""COMPUTED_VALUE"""),"MTLSZ003281A20")</f>
        <v>MTLSZ003281A20</v>
      </c>
      <c r="I1590" s="2">
        <f ca="1">IFERROR(__xludf.DUMMYFUNCTION("""COMPUTED_VALUE"""),44160)</f>
        <v>44160</v>
      </c>
      <c r="J1590" s="2">
        <f ca="1">IFERROR(__xludf.DUMMYFUNCTION("""COMPUTED_VALUE"""),44524)</f>
        <v>44524</v>
      </c>
    </row>
    <row r="1591" spans="1:10" x14ac:dyDescent="0.25">
      <c r="A1591" s="1" t="str">
        <f ca="1">IFERROR(__xludf.DUMMYFUNCTION("""COMPUTED_VALUE"""),"Életmód SE")</f>
        <v>Életmód SE</v>
      </c>
      <c r="B1591" s="1" t="str">
        <f ca="1">IFERROR(__xludf.DUMMYFUNCTION("""COMPUTED_VALUE"""),"Tarkó Máté Zsolt")</f>
        <v>Tarkó Máté Zsolt</v>
      </c>
      <c r="C1591" s="1"/>
      <c r="D1591" s="1" t="str">
        <f ca="1">IFERROR(__xludf.DUMMYFUNCTION("""COMPUTED_VALUE"""),"Férfi")</f>
        <v>Férfi</v>
      </c>
      <c r="E1591" s="1"/>
      <c r="F1591" s="1">
        <f ca="1">IFERROR(__xludf.DUMMYFUNCTION("""COMPUTED_VALUE"""),1999)</f>
        <v>1999</v>
      </c>
      <c r="G1591" s="1">
        <f ca="1">IFERROR(__xludf.DUMMYFUNCTION("""COMPUTED_VALUE"""),3877)</f>
        <v>3877</v>
      </c>
      <c r="H1591" s="1" t="str">
        <f ca="1">IFERROR(__xludf.DUMMYFUNCTION("""COMPUTED_VALUE"""),"MTLSZ003877A20")</f>
        <v>MTLSZ003877A20</v>
      </c>
      <c r="I1591" s="2">
        <f ca="1">IFERROR(__xludf.DUMMYFUNCTION("""COMPUTED_VALUE"""),44160)</f>
        <v>44160</v>
      </c>
      <c r="J1591" s="2">
        <f ca="1">IFERROR(__xludf.DUMMYFUNCTION("""COMPUTED_VALUE"""),44524)</f>
        <v>44524</v>
      </c>
    </row>
    <row r="1592" spans="1:10" x14ac:dyDescent="0.25">
      <c r="A1592" s="1" t="str">
        <f ca="1">IFERROR(__xludf.DUMMYFUNCTION("""COMPUTED_VALUE"""),"Életmód SE")</f>
        <v>Életmód SE</v>
      </c>
      <c r="B1592" s="1" t="str">
        <f ca="1">IFERROR(__xludf.DUMMYFUNCTION("""COMPUTED_VALUE"""),"Tóth Milán")</f>
        <v>Tóth Milán</v>
      </c>
      <c r="C1592" s="1"/>
      <c r="D1592" s="1" t="str">
        <f ca="1">IFERROR(__xludf.DUMMYFUNCTION("""COMPUTED_VALUE"""),"Férfi")</f>
        <v>Férfi</v>
      </c>
      <c r="E1592" s="1"/>
      <c r="F1592" s="1">
        <f ca="1">IFERROR(__xludf.DUMMYFUNCTION("""COMPUTED_VALUE"""),1997)</f>
        <v>1997</v>
      </c>
      <c r="G1592" s="1">
        <f ca="1">IFERROR(__xludf.DUMMYFUNCTION("""COMPUTED_VALUE"""),3542)</f>
        <v>3542</v>
      </c>
      <c r="H1592" s="1" t="str">
        <f ca="1">IFERROR(__xludf.DUMMYFUNCTION("""COMPUTED_VALUE"""),"MTLSZ003542A20")</f>
        <v>MTLSZ003542A20</v>
      </c>
      <c r="I1592" s="2">
        <f ca="1">IFERROR(__xludf.DUMMYFUNCTION("""COMPUTED_VALUE"""),44160)</f>
        <v>44160</v>
      </c>
      <c r="J1592" s="2">
        <f ca="1">IFERROR(__xludf.DUMMYFUNCTION("""COMPUTED_VALUE"""),44524)</f>
        <v>44524</v>
      </c>
    </row>
    <row r="1593" spans="1:10" x14ac:dyDescent="0.25">
      <c r="A1593" s="1" t="str">
        <f ca="1">IFERROR(__xludf.DUMMYFUNCTION("""COMPUTED_VALUE"""),"Életmód SE")</f>
        <v>Életmód SE</v>
      </c>
      <c r="B1593" s="1" t="str">
        <f ca="1">IFERROR(__xludf.DUMMYFUNCTION("""COMPUTED_VALUE"""),"Tunkli István")</f>
        <v>Tunkli István</v>
      </c>
      <c r="C1593" s="1"/>
      <c r="D1593" s="1" t="str">
        <f ca="1">IFERROR(__xludf.DUMMYFUNCTION("""COMPUTED_VALUE"""),"Férfi")</f>
        <v>Férfi</v>
      </c>
      <c r="E1593" s="1"/>
      <c r="F1593" s="1">
        <f ca="1">IFERROR(__xludf.DUMMYFUNCTION("""COMPUTED_VALUE"""),1977)</f>
        <v>1977</v>
      </c>
      <c r="G1593" s="1">
        <f ca="1">IFERROR(__xludf.DUMMYFUNCTION("""COMPUTED_VALUE"""),3874)</f>
        <v>3874</v>
      </c>
      <c r="H1593" s="1" t="str">
        <f ca="1">IFERROR(__xludf.DUMMYFUNCTION("""COMPUTED_VALUE"""),"MTLSZ003874A20")</f>
        <v>MTLSZ003874A20</v>
      </c>
      <c r="I1593" s="2">
        <f ca="1">IFERROR(__xludf.DUMMYFUNCTION("""COMPUTED_VALUE"""),44160)</f>
        <v>44160</v>
      </c>
      <c r="J1593" s="2">
        <f ca="1">IFERROR(__xludf.DUMMYFUNCTION("""COMPUTED_VALUE"""),44524)</f>
        <v>44524</v>
      </c>
    </row>
    <row r="1594" spans="1:10" x14ac:dyDescent="0.25">
      <c r="A1594" s="1" t="str">
        <f ca="1">IFERROR(__xludf.DUMMYFUNCTION("""COMPUTED_VALUE"""),"Életmód SE")</f>
        <v>Életmód SE</v>
      </c>
      <c r="B1594" s="1" t="str">
        <f ca="1">IFERROR(__xludf.DUMMYFUNCTION("""COMPUTED_VALUE"""),"Varró István")</f>
        <v>Varró István</v>
      </c>
      <c r="C1594" s="1"/>
      <c r="D1594" s="1" t="str">
        <f ca="1">IFERROR(__xludf.DUMMYFUNCTION("""COMPUTED_VALUE"""),"Férfi")</f>
        <v>Férfi</v>
      </c>
      <c r="E1594" s="1"/>
      <c r="F1594" s="1">
        <f ca="1">IFERROR(__xludf.DUMMYFUNCTION("""COMPUTED_VALUE"""),1970)</f>
        <v>1970</v>
      </c>
      <c r="G1594" s="1">
        <f ca="1">IFERROR(__xludf.DUMMYFUNCTION("""COMPUTED_VALUE"""),3876)</f>
        <v>3876</v>
      </c>
      <c r="H1594" s="1" t="str">
        <f ca="1">IFERROR(__xludf.DUMMYFUNCTION("""COMPUTED_VALUE"""),"MTLSZ003876A20")</f>
        <v>MTLSZ003876A20</v>
      </c>
      <c r="I1594" s="2">
        <f ca="1">IFERROR(__xludf.DUMMYFUNCTION("""COMPUTED_VALUE"""),44160)</f>
        <v>44160</v>
      </c>
      <c r="J1594" s="2">
        <f ca="1">IFERROR(__xludf.DUMMYFUNCTION("""COMPUTED_VALUE"""),44524)</f>
        <v>44524</v>
      </c>
    </row>
    <row r="1595" spans="1:10" x14ac:dyDescent="0.25">
      <c r="A1595" s="1" t="str">
        <f ca="1">IFERROR(__xludf.DUMMYFUNCTION("""COMPUTED_VALUE"""),"Formás SE")</f>
        <v>Formás SE</v>
      </c>
      <c r="B1595" s="1" t="str">
        <f ca="1">IFERROR(__xludf.DUMMYFUNCTION("""COMPUTED_VALUE"""),"Králik Helga")</f>
        <v>Králik Helga</v>
      </c>
      <c r="C1595" s="1"/>
      <c r="D1595" s="1" t="str">
        <f ca="1">IFERROR(__xludf.DUMMYFUNCTION("""COMPUTED_VALUE"""),"Nő")</f>
        <v>Nő</v>
      </c>
      <c r="E1595" s="1"/>
      <c r="F1595" s="1">
        <f ca="1">IFERROR(__xludf.DUMMYFUNCTION("""COMPUTED_VALUE"""),1976)</f>
        <v>1976</v>
      </c>
      <c r="G1595" s="1">
        <f ca="1">IFERROR(__xludf.DUMMYFUNCTION("""COMPUTED_VALUE"""),3880)</f>
        <v>3880</v>
      </c>
      <c r="H1595" s="1" t="str">
        <f ca="1">IFERROR(__xludf.DUMMYFUNCTION("""COMPUTED_VALUE"""),"MTLSZ003880A20")</f>
        <v>MTLSZ003880A20</v>
      </c>
      <c r="I1595" s="2">
        <f ca="1">IFERROR(__xludf.DUMMYFUNCTION("""COMPUTED_VALUE"""),44160)</f>
        <v>44160</v>
      </c>
      <c r="J1595" s="2">
        <f ca="1">IFERROR(__xludf.DUMMYFUNCTION("""COMPUTED_VALUE"""),44524)</f>
        <v>44524</v>
      </c>
    </row>
    <row r="1596" spans="1:10" x14ac:dyDescent="0.25">
      <c r="A1596" s="1" t="str">
        <f ca="1">IFERROR(__xludf.DUMMYFUNCTION("""COMPUTED_VALUE"""),"Formás SE")</f>
        <v>Formás SE</v>
      </c>
      <c r="B1596" s="1" t="str">
        <f ca="1">IFERROR(__xludf.DUMMYFUNCTION("""COMPUTED_VALUE"""),"Márta Ákos")</f>
        <v>Márta Ákos</v>
      </c>
      <c r="C1596" s="1"/>
      <c r="D1596" s="1" t="str">
        <f ca="1">IFERROR(__xludf.DUMMYFUNCTION("""COMPUTED_VALUE"""),"Férfi")</f>
        <v>Férfi</v>
      </c>
      <c r="E1596" s="1"/>
      <c r="F1596" s="1">
        <f ca="1">IFERROR(__xludf.DUMMYFUNCTION("""COMPUTED_VALUE"""),2007)</f>
        <v>2007</v>
      </c>
      <c r="G1596" s="1">
        <f ca="1">IFERROR(__xludf.DUMMYFUNCTION("""COMPUTED_VALUE"""),3881)</f>
        <v>3881</v>
      </c>
      <c r="H1596" s="1" t="str">
        <f ca="1">IFERROR(__xludf.DUMMYFUNCTION("""COMPUTED_VALUE"""),"MTLSZ003881A20")</f>
        <v>MTLSZ003881A20</v>
      </c>
      <c r="I1596" s="2">
        <f ca="1">IFERROR(__xludf.DUMMYFUNCTION("""COMPUTED_VALUE"""),44160)</f>
        <v>44160</v>
      </c>
      <c r="J1596" s="2">
        <f ca="1">IFERROR(__xludf.DUMMYFUNCTION("""COMPUTED_VALUE"""),44524)</f>
        <v>44524</v>
      </c>
    </row>
    <row r="1597" spans="1:10" x14ac:dyDescent="0.25">
      <c r="A1597" s="1" t="str">
        <f ca="1">IFERROR(__xludf.DUMMYFUNCTION("""COMPUTED_VALUE"""),"Formás SE")</f>
        <v>Formás SE</v>
      </c>
      <c r="B1597" s="1" t="str">
        <f ca="1">IFERROR(__xludf.DUMMYFUNCTION("""COMPUTED_VALUE"""),"Pál Gyöngyvér")</f>
        <v>Pál Gyöngyvér</v>
      </c>
      <c r="C1597" s="1"/>
      <c r="D1597" s="1" t="str">
        <f ca="1">IFERROR(__xludf.DUMMYFUNCTION("""COMPUTED_VALUE"""),"Nő")</f>
        <v>Nő</v>
      </c>
      <c r="E1597" s="1"/>
      <c r="F1597" s="1">
        <f ca="1">IFERROR(__xludf.DUMMYFUNCTION("""COMPUTED_VALUE"""),1970)</f>
        <v>1970</v>
      </c>
      <c r="G1597" s="1">
        <f ca="1">IFERROR(__xludf.DUMMYFUNCTION("""COMPUTED_VALUE"""),3882)</f>
        <v>3882</v>
      </c>
      <c r="H1597" s="1" t="str">
        <f ca="1">IFERROR(__xludf.DUMMYFUNCTION("""COMPUTED_VALUE"""),"MTLSZ003882A20")</f>
        <v>MTLSZ003882A20</v>
      </c>
      <c r="I1597" s="2">
        <f ca="1">IFERROR(__xludf.DUMMYFUNCTION("""COMPUTED_VALUE"""),44160)</f>
        <v>44160</v>
      </c>
      <c r="J1597" s="2">
        <f ca="1">IFERROR(__xludf.DUMMYFUNCTION("""COMPUTED_VALUE"""),44524)</f>
        <v>44524</v>
      </c>
    </row>
    <row r="1598" spans="1:10" x14ac:dyDescent="0.25">
      <c r="A1598" s="1" t="str">
        <f ca="1">IFERROR(__xludf.DUMMYFUNCTION("""COMPUTED_VALUE"""),"Kék Sólymok SE")</f>
        <v>Kék Sólymok SE</v>
      </c>
      <c r="B1598" s="1" t="str">
        <f ca="1">IFERROR(__xludf.DUMMYFUNCTION("""COMPUTED_VALUE"""),"Lászlóffy Miklós")</f>
        <v>Lászlóffy Miklós</v>
      </c>
      <c r="C1598" s="1"/>
      <c r="D1598" s="1" t="str">
        <f ca="1">IFERROR(__xludf.DUMMYFUNCTION("""COMPUTED_VALUE"""),"Férfi")</f>
        <v>Férfi</v>
      </c>
      <c r="E1598" s="1"/>
      <c r="F1598" s="1">
        <f ca="1">IFERROR(__xludf.DUMMYFUNCTION("""COMPUTED_VALUE"""),1973)</f>
        <v>1973</v>
      </c>
      <c r="G1598" s="1">
        <f ca="1">IFERROR(__xludf.DUMMYFUNCTION("""COMPUTED_VALUE"""),3866)</f>
        <v>3866</v>
      </c>
      <c r="H1598" s="1" t="str">
        <f ca="1">IFERROR(__xludf.DUMMYFUNCTION("""COMPUTED_VALUE"""),"MTLSZ003866A20")</f>
        <v>MTLSZ003866A20</v>
      </c>
      <c r="I1598" s="2">
        <f ca="1">IFERROR(__xludf.DUMMYFUNCTION("""COMPUTED_VALUE"""),44160)</f>
        <v>44160</v>
      </c>
      <c r="J1598" s="2">
        <f ca="1">IFERROR(__xludf.DUMMYFUNCTION("""COMPUTED_VALUE"""),44524)</f>
        <v>44524</v>
      </c>
    </row>
    <row r="1599" spans="1:10" x14ac:dyDescent="0.25">
      <c r="A1599" s="1" t="str">
        <f ca="1">IFERROR(__xludf.DUMMYFUNCTION("""COMPUTED_VALUE"""),"Ludovika SE")</f>
        <v>Ludovika SE</v>
      </c>
      <c r="B1599" s="1" t="str">
        <f ca="1">IFERROR(__xludf.DUMMYFUNCTION("""COMPUTED_VALUE"""),"Falucskai András")</f>
        <v>Falucskai András</v>
      </c>
      <c r="C1599" s="1"/>
      <c r="D1599" s="1" t="str">
        <f ca="1">IFERROR(__xludf.DUMMYFUNCTION("""COMPUTED_VALUE"""),"Férfi")</f>
        <v>Férfi</v>
      </c>
      <c r="E1599" s="1"/>
      <c r="F1599" s="1">
        <f ca="1">IFERROR(__xludf.DUMMYFUNCTION("""COMPUTED_VALUE"""),2005)</f>
        <v>2005</v>
      </c>
      <c r="G1599" s="1">
        <f ca="1">IFERROR(__xludf.DUMMYFUNCTION("""COMPUTED_VALUE"""),3135)</f>
        <v>3135</v>
      </c>
      <c r="H1599" s="1" t="str">
        <f ca="1">IFERROR(__xludf.DUMMYFUNCTION("""COMPUTED_VALUE"""),"MTLSZ003135A20")</f>
        <v>MTLSZ003135A20</v>
      </c>
      <c r="I1599" s="2">
        <f ca="1">IFERROR(__xludf.DUMMYFUNCTION("""COMPUTED_VALUE"""),44160)</f>
        <v>44160</v>
      </c>
      <c r="J1599" s="2">
        <f ca="1">IFERROR(__xludf.DUMMYFUNCTION("""COMPUTED_VALUE"""),44524)</f>
        <v>44524</v>
      </c>
    </row>
    <row r="1600" spans="1:10" x14ac:dyDescent="0.25">
      <c r="A1600" s="1" t="str">
        <f ca="1">IFERROR(__xludf.DUMMYFUNCTION("""COMPUTED_VALUE"""),"Ludovika SE")</f>
        <v>Ludovika SE</v>
      </c>
      <c r="B1600" s="1" t="str">
        <f ca="1">IFERROR(__xludf.DUMMYFUNCTION("""COMPUTED_VALUE"""),"Falucskai Veronika")</f>
        <v>Falucskai Veronika</v>
      </c>
      <c r="C1600" s="1"/>
      <c r="D1600" s="1" t="str">
        <f ca="1">IFERROR(__xludf.DUMMYFUNCTION("""COMPUTED_VALUE"""),"Nő")</f>
        <v>Nő</v>
      </c>
      <c r="E1600" s="1"/>
      <c r="F1600" s="1">
        <f ca="1">IFERROR(__xludf.DUMMYFUNCTION("""COMPUTED_VALUE"""),2003)</f>
        <v>2003</v>
      </c>
      <c r="G1600" s="1">
        <f ca="1">IFERROR(__xludf.DUMMYFUNCTION("""COMPUTED_VALUE"""),3136)</f>
        <v>3136</v>
      </c>
      <c r="H1600" s="1" t="str">
        <f ca="1">IFERROR(__xludf.DUMMYFUNCTION("""COMPUTED_VALUE"""),"MTLSZ003136A20")</f>
        <v>MTLSZ003136A20</v>
      </c>
      <c r="I1600" s="2">
        <f ca="1">IFERROR(__xludf.DUMMYFUNCTION("""COMPUTED_VALUE"""),44160)</f>
        <v>44160</v>
      </c>
      <c r="J1600" s="2">
        <f ca="1">IFERROR(__xludf.DUMMYFUNCTION("""COMPUTED_VALUE"""),44524)</f>
        <v>44524</v>
      </c>
    </row>
    <row r="1601" spans="1:10" x14ac:dyDescent="0.25">
      <c r="A1601" s="1" t="str">
        <f ca="1">IFERROR(__xludf.DUMMYFUNCTION("""COMPUTED_VALUE"""),"Főtaxi SC")</f>
        <v>Főtaxi SC</v>
      </c>
      <c r="B1601" s="1" t="str">
        <f ca="1">IFERROR(__xludf.DUMMYFUNCTION("""COMPUTED_VALUE"""),"Hepke Andrea")</f>
        <v>Hepke Andrea</v>
      </c>
      <c r="C1601" s="1"/>
      <c r="D1601" s="1" t="str">
        <f ca="1">IFERROR(__xludf.DUMMYFUNCTION("""COMPUTED_VALUE"""),"Nő")</f>
        <v>Nő</v>
      </c>
      <c r="E1601" s="1"/>
      <c r="F1601" s="1">
        <f ca="1">IFERROR(__xludf.DUMMYFUNCTION("""COMPUTED_VALUE"""),1985)</f>
        <v>1985</v>
      </c>
      <c r="G1601" s="1">
        <f ca="1">IFERROR(__xludf.DUMMYFUNCTION("""COMPUTED_VALUE"""),1844)</f>
        <v>1844</v>
      </c>
      <c r="H1601" s="1" t="str">
        <f ca="1">IFERROR(__xludf.DUMMYFUNCTION("""COMPUTED_VALUE"""),"MTLSZ001844A20")</f>
        <v>MTLSZ001844A20</v>
      </c>
      <c r="I1601" s="2">
        <f ca="1">IFERROR(__xludf.DUMMYFUNCTION("""COMPUTED_VALUE"""),44159)</f>
        <v>44159</v>
      </c>
      <c r="J1601" s="2">
        <f ca="1">IFERROR(__xludf.DUMMYFUNCTION("""COMPUTED_VALUE"""),44523)</f>
        <v>44523</v>
      </c>
    </row>
    <row r="1602" spans="1:10" x14ac:dyDescent="0.25">
      <c r="A1602" s="1" t="str">
        <f ca="1">IFERROR(__xludf.DUMMYFUNCTION("""COMPUTED_VALUE"""),"HZSE")</f>
        <v>HZSE</v>
      </c>
      <c r="B1602" s="1" t="str">
        <f ca="1">IFERROR(__xludf.DUMMYFUNCTION("""COMPUTED_VALUE"""),"Somogyi Zoltán")</f>
        <v>Somogyi Zoltán</v>
      </c>
      <c r="C1602" s="1"/>
      <c r="D1602" s="1" t="str">
        <f ca="1">IFERROR(__xludf.DUMMYFUNCTION("""COMPUTED_VALUE"""),"Férfi")</f>
        <v>Férfi</v>
      </c>
      <c r="E1602" s="1"/>
      <c r="F1602" s="1">
        <f ca="1">IFERROR(__xludf.DUMMYFUNCTION("""COMPUTED_VALUE"""),1960)</f>
        <v>1960</v>
      </c>
      <c r="G1602" s="1">
        <f ca="1">IFERROR(__xludf.DUMMYFUNCTION("""COMPUTED_VALUE"""),3343)</f>
        <v>3343</v>
      </c>
      <c r="H1602" s="1" t="str">
        <f ca="1">IFERROR(__xludf.DUMMYFUNCTION("""COMPUTED_VALUE"""),"MTLSZ003343A20")</f>
        <v>MTLSZ003343A20</v>
      </c>
      <c r="I1602" s="2">
        <f ca="1">IFERROR(__xludf.DUMMYFUNCTION("""COMPUTED_VALUE"""),44159)</f>
        <v>44159</v>
      </c>
      <c r="J1602" s="2">
        <f ca="1">IFERROR(__xludf.DUMMYFUNCTION("""COMPUTED_VALUE"""),44523)</f>
        <v>44523</v>
      </c>
    </row>
    <row r="1603" spans="1:10" x14ac:dyDescent="0.25">
      <c r="A1603" s="1" t="str">
        <f ca="1">IFERROR(__xludf.DUMMYFUNCTION("""COMPUTED_VALUE"""),"Kőrisfa SZTE")</f>
        <v>Kőrisfa SZTE</v>
      </c>
      <c r="B1603" s="1" t="str">
        <f ca="1">IFERROR(__xludf.DUMMYFUNCTION("""COMPUTED_VALUE"""),"Bujdosó Viktória")</f>
        <v>Bujdosó Viktória</v>
      </c>
      <c r="C1603" s="1"/>
      <c r="D1603" s="1" t="str">
        <f ca="1">IFERROR(__xludf.DUMMYFUNCTION("""COMPUTED_VALUE"""),"Nő")</f>
        <v>Nő</v>
      </c>
      <c r="E1603" s="1"/>
      <c r="F1603" s="1">
        <f ca="1">IFERROR(__xludf.DUMMYFUNCTION("""COMPUTED_VALUE"""),1991)</f>
        <v>1991</v>
      </c>
      <c r="G1603" s="1">
        <f ca="1">IFERROR(__xludf.DUMMYFUNCTION("""COMPUTED_VALUE"""),1302)</f>
        <v>1302</v>
      </c>
      <c r="H1603" s="1" t="str">
        <f ca="1">IFERROR(__xludf.DUMMYFUNCTION("""COMPUTED_VALUE"""),"MTLSZ001302A20")</f>
        <v>MTLSZ001302A20</v>
      </c>
      <c r="I1603" s="2">
        <f ca="1">IFERROR(__xludf.DUMMYFUNCTION("""COMPUTED_VALUE"""),44159)</f>
        <v>44159</v>
      </c>
      <c r="J1603" s="2">
        <f ca="1">IFERROR(__xludf.DUMMYFUNCTION("""COMPUTED_VALUE"""),44523)</f>
        <v>44523</v>
      </c>
    </row>
    <row r="1604" spans="1:10" x14ac:dyDescent="0.25">
      <c r="A1604" s="1" t="str">
        <f ca="1">IFERROR(__xludf.DUMMYFUNCTION("""COMPUTED_VALUE"""),"T(r)ollas SE")</f>
        <v>T(r)ollas SE</v>
      </c>
      <c r="B1604" s="1" t="str">
        <f ca="1">IFERROR(__xludf.DUMMYFUNCTION("""COMPUTED_VALUE"""),"Baksa Zsolt")</f>
        <v>Baksa Zsolt</v>
      </c>
      <c r="C1604" s="1"/>
      <c r="D1604" s="1" t="str">
        <f ca="1">IFERROR(__xludf.DUMMYFUNCTION("""COMPUTED_VALUE"""),"Férfi")</f>
        <v>Férfi</v>
      </c>
      <c r="E1604" s="1"/>
      <c r="F1604" s="1">
        <f ca="1">IFERROR(__xludf.DUMMYFUNCTION("""COMPUTED_VALUE"""),1967)</f>
        <v>1967</v>
      </c>
      <c r="G1604" s="1">
        <f ca="1">IFERROR(__xludf.DUMMYFUNCTION("""COMPUTED_VALUE"""),3356)</f>
        <v>3356</v>
      </c>
      <c r="H1604" s="1" t="str">
        <f ca="1">IFERROR(__xludf.DUMMYFUNCTION("""COMPUTED_VALUE"""),"MTLSZ003356A20")</f>
        <v>MTLSZ003356A20</v>
      </c>
      <c r="I1604" s="2">
        <f ca="1">IFERROR(__xludf.DUMMYFUNCTION("""COMPUTED_VALUE"""),44159)</f>
        <v>44159</v>
      </c>
      <c r="J1604" s="2">
        <f ca="1">IFERROR(__xludf.DUMMYFUNCTION("""COMPUTED_VALUE"""),44523)</f>
        <v>44523</v>
      </c>
    </row>
    <row r="1605" spans="1:10" x14ac:dyDescent="0.25">
      <c r="A1605" s="1" t="str">
        <f ca="1">IFERROR(__xludf.DUMMYFUNCTION("""COMPUTED_VALUE"""),"VSD")</f>
        <v>VSD</v>
      </c>
      <c r="B1605" s="1" t="str">
        <f ca="1">IFERROR(__xludf.DUMMYFUNCTION("""COMPUTED_VALUE"""),"Farkas Gábor")</f>
        <v>Farkas Gábor</v>
      </c>
      <c r="C1605" s="1"/>
      <c r="D1605" s="1" t="str">
        <f ca="1">IFERROR(__xludf.DUMMYFUNCTION("""COMPUTED_VALUE"""),"Férfi")</f>
        <v>Férfi</v>
      </c>
      <c r="E1605" s="1"/>
      <c r="F1605" s="1">
        <f ca="1">IFERROR(__xludf.DUMMYFUNCTION("""COMPUTED_VALUE"""),1968)</f>
        <v>1968</v>
      </c>
      <c r="G1605" s="1">
        <f ca="1">IFERROR(__xludf.DUMMYFUNCTION("""COMPUTED_VALUE"""),3862)</f>
        <v>3862</v>
      </c>
      <c r="H1605" s="1" t="str">
        <f ca="1">IFERROR(__xludf.DUMMYFUNCTION("""COMPUTED_VALUE"""),"MTLSZ003862A20")</f>
        <v>MTLSZ003862A20</v>
      </c>
      <c r="I1605" s="2">
        <f ca="1">IFERROR(__xludf.DUMMYFUNCTION("""COMPUTED_VALUE"""),44159)</f>
        <v>44159</v>
      </c>
      <c r="J1605" s="2">
        <f ca="1">IFERROR(__xludf.DUMMYFUNCTION("""COMPUTED_VALUE"""),44523)</f>
        <v>44523</v>
      </c>
    </row>
    <row r="1606" spans="1:10" x14ac:dyDescent="0.25">
      <c r="A1606" s="1" t="str">
        <f ca="1">IFERROR(__xludf.DUMMYFUNCTION("""COMPUTED_VALUE"""),"VSD")</f>
        <v>VSD</v>
      </c>
      <c r="B1606" s="1" t="str">
        <f ca="1">IFERROR(__xludf.DUMMYFUNCTION("""COMPUTED_VALUE"""),"Guth Katalin")</f>
        <v>Guth Katalin</v>
      </c>
      <c r="C1606" s="1"/>
      <c r="D1606" s="1" t="str">
        <f ca="1">IFERROR(__xludf.DUMMYFUNCTION("""COMPUTED_VALUE"""),"Nő")</f>
        <v>Nő</v>
      </c>
      <c r="E1606" s="1"/>
      <c r="F1606" s="1">
        <f ca="1">IFERROR(__xludf.DUMMYFUNCTION("""COMPUTED_VALUE"""),1972)</f>
        <v>1972</v>
      </c>
      <c r="G1606" s="1">
        <f ca="1">IFERROR(__xludf.DUMMYFUNCTION("""COMPUTED_VALUE"""),3864)</f>
        <v>3864</v>
      </c>
      <c r="H1606" s="1" t="str">
        <f ca="1">IFERROR(__xludf.DUMMYFUNCTION("""COMPUTED_VALUE"""),"MTLSZ003864A20")</f>
        <v>MTLSZ003864A20</v>
      </c>
      <c r="I1606" s="2">
        <f ca="1">IFERROR(__xludf.DUMMYFUNCTION("""COMPUTED_VALUE"""),44159)</f>
        <v>44159</v>
      </c>
      <c r="J1606" s="2">
        <f ca="1">IFERROR(__xludf.DUMMYFUNCTION("""COMPUTED_VALUE"""),44523)</f>
        <v>44523</v>
      </c>
    </row>
    <row r="1607" spans="1:10" x14ac:dyDescent="0.25">
      <c r="A1607" s="1" t="str">
        <f ca="1">IFERROR(__xludf.DUMMYFUNCTION("""COMPUTED_VALUE"""),"VSD")</f>
        <v>VSD</v>
      </c>
      <c r="B1607" s="1" t="str">
        <f ca="1">IFERROR(__xludf.DUMMYFUNCTION("""COMPUTED_VALUE"""),"Hatvani Gábor")</f>
        <v>Hatvani Gábor</v>
      </c>
      <c r="C1607" s="1"/>
      <c r="D1607" s="1" t="str">
        <f ca="1">IFERROR(__xludf.DUMMYFUNCTION("""COMPUTED_VALUE"""),"Férfi")</f>
        <v>Férfi</v>
      </c>
      <c r="E1607" s="1"/>
      <c r="F1607" s="1">
        <f ca="1">IFERROR(__xludf.DUMMYFUNCTION("""COMPUTED_VALUE"""),1971)</f>
        <v>1971</v>
      </c>
      <c r="G1607" s="1">
        <f ca="1">IFERROR(__xludf.DUMMYFUNCTION("""COMPUTED_VALUE"""),3863)</f>
        <v>3863</v>
      </c>
      <c r="H1607" s="1" t="str">
        <f ca="1">IFERROR(__xludf.DUMMYFUNCTION("""COMPUTED_VALUE"""),"MTLSZ003863A20")</f>
        <v>MTLSZ003863A20</v>
      </c>
      <c r="I1607" s="2">
        <f ca="1">IFERROR(__xludf.DUMMYFUNCTION("""COMPUTED_VALUE"""),44159)</f>
        <v>44159</v>
      </c>
      <c r="J1607" s="2">
        <f ca="1">IFERROR(__xludf.DUMMYFUNCTION("""COMPUTED_VALUE"""),44523)</f>
        <v>44523</v>
      </c>
    </row>
    <row r="1608" spans="1:10" x14ac:dyDescent="0.25">
      <c r="A1608" s="1" t="str">
        <f ca="1">IFERROR(__xludf.DUMMYFUNCTION("""COMPUTED_VALUE"""),"Dunakanyar TSE")</f>
        <v>Dunakanyar TSE</v>
      </c>
      <c r="B1608" s="1" t="str">
        <f ca="1">IFERROR(__xludf.DUMMYFUNCTION("""COMPUTED_VALUE"""),"Balsai Nikolett")</f>
        <v>Balsai Nikolett</v>
      </c>
      <c r="C1608" s="1"/>
      <c r="D1608" s="1" t="str">
        <f ca="1">IFERROR(__xludf.DUMMYFUNCTION("""COMPUTED_VALUE"""),"Nő")</f>
        <v>Nő</v>
      </c>
      <c r="E1608" s="1"/>
      <c r="F1608" s="1">
        <f ca="1">IFERROR(__xludf.DUMMYFUNCTION("""COMPUTED_VALUE"""),1991)</f>
        <v>1991</v>
      </c>
      <c r="G1608" s="1">
        <f ca="1">IFERROR(__xludf.DUMMYFUNCTION("""COMPUTED_VALUE"""),3848)</f>
        <v>3848</v>
      </c>
      <c r="H1608" s="1" t="str">
        <f ca="1">IFERROR(__xludf.DUMMYFUNCTION("""COMPUTED_VALUE"""),"MTLSZ003848A20")</f>
        <v>MTLSZ003848A20</v>
      </c>
      <c r="I1608" s="2">
        <f ca="1">IFERROR(__xludf.DUMMYFUNCTION("""COMPUTED_VALUE"""),44158)</f>
        <v>44158</v>
      </c>
      <c r="J1608" s="2">
        <f ca="1">IFERROR(__xludf.DUMMYFUNCTION("""COMPUTED_VALUE"""),44522)</f>
        <v>44522</v>
      </c>
    </row>
    <row r="1609" spans="1:10" x14ac:dyDescent="0.25">
      <c r="A1609" s="1" t="str">
        <f ca="1">IFERROR(__xludf.DUMMYFUNCTION("""COMPUTED_VALUE"""),"Dunakanyar TSE")</f>
        <v>Dunakanyar TSE</v>
      </c>
      <c r="B1609" s="1" t="str">
        <f ca="1">IFERROR(__xludf.DUMMYFUNCTION("""COMPUTED_VALUE"""),"Bíró Katalin")</f>
        <v>Bíró Katalin</v>
      </c>
      <c r="C1609" s="1"/>
      <c r="D1609" s="1" t="str">
        <f ca="1">IFERROR(__xludf.DUMMYFUNCTION("""COMPUTED_VALUE"""),"Nő")</f>
        <v>Nő</v>
      </c>
      <c r="E1609" s="1"/>
      <c r="F1609" s="1">
        <f ca="1">IFERROR(__xludf.DUMMYFUNCTION("""COMPUTED_VALUE"""),1989)</f>
        <v>1989</v>
      </c>
      <c r="G1609" s="1">
        <f ca="1">IFERROR(__xludf.DUMMYFUNCTION("""COMPUTED_VALUE"""),3850)</f>
        <v>3850</v>
      </c>
      <c r="H1609" s="1" t="str">
        <f ca="1">IFERROR(__xludf.DUMMYFUNCTION("""COMPUTED_VALUE"""),"MTLSZ003850A20")</f>
        <v>MTLSZ003850A20</v>
      </c>
      <c r="I1609" s="2">
        <f ca="1">IFERROR(__xludf.DUMMYFUNCTION("""COMPUTED_VALUE"""),44158)</f>
        <v>44158</v>
      </c>
      <c r="J1609" s="2">
        <f ca="1">IFERROR(__xludf.DUMMYFUNCTION("""COMPUTED_VALUE"""),44522)</f>
        <v>44522</v>
      </c>
    </row>
    <row r="1610" spans="1:10" x14ac:dyDescent="0.25">
      <c r="A1610" s="1" t="str">
        <f ca="1">IFERROR(__xludf.DUMMYFUNCTION("""COMPUTED_VALUE"""),"Dunakanyar TSE")</f>
        <v>Dunakanyar TSE</v>
      </c>
      <c r="B1610" s="1" t="str">
        <f ca="1">IFERROR(__xludf.DUMMYFUNCTION("""COMPUTED_VALUE"""),"Englert Bianka")</f>
        <v>Englert Bianka</v>
      </c>
      <c r="C1610" s="1"/>
      <c r="D1610" s="1" t="str">
        <f ca="1">IFERROR(__xludf.DUMMYFUNCTION("""COMPUTED_VALUE"""),"Nő")</f>
        <v>Nő</v>
      </c>
      <c r="E1610" s="1"/>
      <c r="F1610" s="1">
        <f ca="1">IFERROR(__xludf.DUMMYFUNCTION("""COMPUTED_VALUE"""),1991)</f>
        <v>1991</v>
      </c>
      <c r="G1610" s="1">
        <f ca="1">IFERROR(__xludf.DUMMYFUNCTION("""COMPUTED_VALUE"""),3847)</f>
        <v>3847</v>
      </c>
      <c r="H1610" s="1" t="str">
        <f ca="1">IFERROR(__xludf.DUMMYFUNCTION("""COMPUTED_VALUE"""),"MTLSZ003847A20")</f>
        <v>MTLSZ003847A20</v>
      </c>
      <c r="I1610" s="2">
        <f ca="1">IFERROR(__xludf.DUMMYFUNCTION("""COMPUTED_VALUE"""),44158)</f>
        <v>44158</v>
      </c>
      <c r="J1610" s="2">
        <f ca="1">IFERROR(__xludf.DUMMYFUNCTION("""COMPUTED_VALUE"""),44522)</f>
        <v>44522</v>
      </c>
    </row>
    <row r="1611" spans="1:10" x14ac:dyDescent="0.25">
      <c r="A1611" s="1" t="str">
        <f ca="1">IFERROR(__xludf.DUMMYFUNCTION("""COMPUTED_VALUE"""),"Dunakanyar TSE")</f>
        <v>Dunakanyar TSE</v>
      </c>
      <c r="B1611" s="1" t="str">
        <f ca="1">IFERROR(__xludf.DUMMYFUNCTION("""COMPUTED_VALUE"""),"Fenyvesi Miklós")</f>
        <v>Fenyvesi Miklós</v>
      </c>
      <c r="C1611" s="1"/>
      <c r="D1611" s="1" t="str">
        <f ca="1">IFERROR(__xludf.DUMMYFUNCTION("""COMPUTED_VALUE"""),"Férfi")</f>
        <v>Férfi</v>
      </c>
      <c r="E1611" s="1"/>
      <c r="F1611" s="1">
        <f ca="1">IFERROR(__xludf.DUMMYFUNCTION("""COMPUTED_VALUE"""),1974)</f>
        <v>1974</v>
      </c>
      <c r="G1611" s="1">
        <f ca="1">IFERROR(__xludf.DUMMYFUNCTION("""COMPUTED_VALUE"""),3841)</f>
        <v>3841</v>
      </c>
      <c r="H1611" s="1" t="str">
        <f ca="1">IFERROR(__xludf.DUMMYFUNCTION("""COMPUTED_VALUE"""),"MTLSZ003841A20")</f>
        <v>MTLSZ003841A20</v>
      </c>
      <c r="I1611" s="2">
        <f ca="1">IFERROR(__xludf.DUMMYFUNCTION("""COMPUTED_VALUE"""),44158)</f>
        <v>44158</v>
      </c>
      <c r="J1611" s="2">
        <f ca="1">IFERROR(__xludf.DUMMYFUNCTION("""COMPUTED_VALUE"""),44522)</f>
        <v>44522</v>
      </c>
    </row>
    <row r="1612" spans="1:10" x14ac:dyDescent="0.25">
      <c r="A1612" s="1" t="str">
        <f ca="1">IFERROR(__xludf.DUMMYFUNCTION("""COMPUTED_VALUE"""),"Dunakanyar TSE")</f>
        <v>Dunakanyar TSE</v>
      </c>
      <c r="B1612" s="1" t="str">
        <f ca="1">IFERROR(__xludf.DUMMYFUNCTION("""COMPUTED_VALUE"""),"Füge Beatrix")</f>
        <v>Füge Beatrix</v>
      </c>
      <c r="C1612" s="1"/>
      <c r="D1612" s="1" t="str">
        <f ca="1">IFERROR(__xludf.DUMMYFUNCTION("""COMPUTED_VALUE"""),"Nő")</f>
        <v>Nő</v>
      </c>
      <c r="E1612" s="1"/>
      <c r="F1612" s="1">
        <f ca="1">IFERROR(__xludf.DUMMYFUNCTION("""COMPUTED_VALUE"""),1993)</f>
        <v>1993</v>
      </c>
      <c r="G1612" s="1">
        <f ca="1">IFERROR(__xludf.DUMMYFUNCTION("""COMPUTED_VALUE"""),3845)</f>
        <v>3845</v>
      </c>
      <c r="H1612" s="1" t="str">
        <f ca="1">IFERROR(__xludf.DUMMYFUNCTION("""COMPUTED_VALUE"""),"MTLSZ003845A20")</f>
        <v>MTLSZ003845A20</v>
      </c>
      <c r="I1612" s="2">
        <f ca="1">IFERROR(__xludf.DUMMYFUNCTION("""COMPUTED_VALUE"""),44158)</f>
        <v>44158</v>
      </c>
      <c r="J1612" s="2">
        <f ca="1">IFERROR(__xludf.DUMMYFUNCTION("""COMPUTED_VALUE"""),44522)</f>
        <v>44522</v>
      </c>
    </row>
    <row r="1613" spans="1:10" x14ac:dyDescent="0.25">
      <c r="A1613" s="1" t="str">
        <f ca="1">IFERROR(__xludf.DUMMYFUNCTION("""COMPUTED_VALUE"""),"Dunakanyar TSE")</f>
        <v>Dunakanyar TSE</v>
      </c>
      <c r="B1613" s="1" t="str">
        <f ca="1">IFERROR(__xludf.DUMMYFUNCTION("""COMPUTED_VALUE"""),"Kerekes Csaba")</f>
        <v>Kerekes Csaba</v>
      </c>
      <c r="C1613" s="1"/>
      <c r="D1613" s="1" t="str">
        <f ca="1">IFERROR(__xludf.DUMMYFUNCTION("""COMPUTED_VALUE"""),"Férfi")</f>
        <v>Férfi</v>
      </c>
      <c r="E1613" s="1"/>
      <c r="F1613" s="1">
        <f ca="1">IFERROR(__xludf.DUMMYFUNCTION("""COMPUTED_VALUE"""),1976)</f>
        <v>1976</v>
      </c>
      <c r="G1613" s="1">
        <f ca="1">IFERROR(__xludf.DUMMYFUNCTION("""COMPUTED_VALUE"""),2667)</f>
        <v>2667</v>
      </c>
      <c r="H1613" s="1" t="str">
        <f ca="1">IFERROR(__xludf.DUMMYFUNCTION("""COMPUTED_VALUE"""),"MTLSZ002667A20")</f>
        <v>MTLSZ002667A20</v>
      </c>
      <c r="I1613" s="2">
        <f ca="1">IFERROR(__xludf.DUMMYFUNCTION("""COMPUTED_VALUE"""),44158)</f>
        <v>44158</v>
      </c>
      <c r="J1613" s="2">
        <f ca="1">IFERROR(__xludf.DUMMYFUNCTION("""COMPUTED_VALUE"""),44522)</f>
        <v>44522</v>
      </c>
    </row>
    <row r="1614" spans="1:10" x14ac:dyDescent="0.25">
      <c r="A1614" s="1" t="str">
        <f ca="1">IFERROR(__xludf.DUMMYFUNCTION("""COMPUTED_VALUE"""),"Dunakanyar TSE")</f>
        <v>Dunakanyar TSE</v>
      </c>
      <c r="B1614" s="1" t="str">
        <f ca="1">IFERROR(__xludf.DUMMYFUNCTION("""COMPUTED_VALUE"""),"Kónya István")</f>
        <v>Kónya István</v>
      </c>
      <c r="C1614" s="1"/>
      <c r="D1614" s="1" t="str">
        <f ca="1">IFERROR(__xludf.DUMMYFUNCTION("""COMPUTED_VALUE"""),"Férfi")</f>
        <v>Férfi</v>
      </c>
      <c r="E1614" s="1"/>
      <c r="F1614" s="1">
        <f ca="1">IFERROR(__xludf.DUMMYFUNCTION("""COMPUTED_VALUE"""),1972)</f>
        <v>1972</v>
      </c>
      <c r="G1614" s="1">
        <f ca="1">IFERROR(__xludf.DUMMYFUNCTION("""COMPUTED_VALUE"""),3849)</f>
        <v>3849</v>
      </c>
      <c r="H1614" s="1" t="str">
        <f ca="1">IFERROR(__xludf.DUMMYFUNCTION("""COMPUTED_VALUE"""),"MTLSZ003849A20")</f>
        <v>MTLSZ003849A20</v>
      </c>
      <c r="I1614" s="2">
        <f ca="1">IFERROR(__xludf.DUMMYFUNCTION("""COMPUTED_VALUE"""),44158)</f>
        <v>44158</v>
      </c>
      <c r="J1614" s="2">
        <f ca="1">IFERROR(__xludf.DUMMYFUNCTION("""COMPUTED_VALUE"""),44522)</f>
        <v>44522</v>
      </c>
    </row>
    <row r="1615" spans="1:10" x14ac:dyDescent="0.25">
      <c r="A1615" s="1" t="str">
        <f ca="1">IFERROR(__xludf.DUMMYFUNCTION("""COMPUTED_VALUE"""),"Dunakanyar TSE")</f>
        <v>Dunakanyar TSE</v>
      </c>
      <c r="B1615" s="1" t="str">
        <f ca="1">IFERROR(__xludf.DUMMYFUNCTION("""COMPUTED_VALUE"""),"Légrádi Károly")</f>
        <v>Légrádi Károly</v>
      </c>
      <c r="C1615" s="1"/>
      <c r="D1615" s="1" t="str">
        <f ca="1">IFERROR(__xludf.DUMMYFUNCTION("""COMPUTED_VALUE"""),"Férfi")</f>
        <v>Férfi</v>
      </c>
      <c r="E1615" s="1"/>
      <c r="F1615" s="1">
        <f ca="1">IFERROR(__xludf.DUMMYFUNCTION("""COMPUTED_VALUE"""),1965)</f>
        <v>1965</v>
      </c>
      <c r="G1615" s="1">
        <f ca="1">IFERROR(__xludf.DUMMYFUNCTION("""COMPUTED_VALUE"""),3846)</f>
        <v>3846</v>
      </c>
      <c r="H1615" s="1" t="str">
        <f ca="1">IFERROR(__xludf.DUMMYFUNCTION("""COMPUTED_VALUE"""),"MTLSZ003846A20")</f>
        <v>MTLSZ003846A20</v>
      </c>
      <c r="I1615" s="2">
        <f ca="1">IFERROR(__xludf.DUMMYFUNCTION("""COMPUTED_VALUE"""),44158)</f>
        <v>44158</v>
      </c>
      <c r="J1615" s="2">
        <f ca="1">IFERROR(__xludf.DUMMYFUNCTION("""COMPUTED_VALUE"""),44522)</f>
        <v>44522</v>
      </c>
    </row>
    <row r="1616" spans="1:10" x14ac:dyDescent="0.25">
      <c r="A1616" s="1" t="str">
        <f ca="1">IFERROR(__xludf.DUMMYFUNCTION("""COMPUTED_VALUE"""),"Dunakanyar TSE")</f>
        <v>Dunakanyar TSE</v>
      </c>
      <c r="B1616" s="1" t="str">
        <f ca="1">IFERROR(__xludf.DUMMYFUNCTION("""COMPUTED_VALUE"""),"Szőke Zsófia")</f>
        <v>Szőke Zsófia</v>
      </c>
      <c r="C1616" s="1"/>
      <c r="D1616" s="1" t="str">
        <f ca="1">IFERROR(__xludf.DUMMYFUNCTION("""COMPUTED_VALUE"""),"Nő")</f>
        <v>Nő</v>
      </c>
      <c r="E1616" s="1"/>
      <c r="F1616" s="1">
        <f ca="1">IFERROR(__xludf.DUMMYFUNCTION("""COMPUTED_VALUE"""),1995)</f>
        <v>1995</v>
      </c>
      <c r="G1616" s="1">
        <f ca="1">IFERROR(__xludf.DUMMYFUNCTION("""COMPUTED_VALUE"""),3843)</f>
        <v>3843</v>
      </c>
      <c r="H1616" s="1" t="str">
        <f ca="1">IFERROR(__xludf.DUMMYFUNCTION("""COMPUTED_VALUE"""),"MTLSZ003843A20")</f>
        <v>MTLSZ003843A20</v>
      </c>
      <c r="I1616" s="2">
        <f ca="1">IFERROR(__xludf.DUMMYFUNCTION("""COMPUTED_VALUE"""),44158)</f>
        <v>44158</v>
      </c>
      <c r="J1616" s="2">
        <f ca="1">IFERROR(__xludf.DUMMYFUNCTION("""COMPUTED_VALUE"""),44522)</f>
        <v>44522</v>
      </c>
    </row>
    <row r="1617" spans="1:10" x14ac:dyDescent="0.25">
      <c r="A1617" s="1" t="str">
        <f ca="1">IFERROR(__xludf.DUMMYFUNCTION("""COMPUTED_VALUE"""),"Dunakanyar TSE")</f>
        <v>Dunakanyar TSE</v>
      </c>
      <c r="B1617" s="1" t="str">
        <f ca="1">IFERROR(__xludf.DUMMYFUNCTION("""COMPUTED_VALUE"""),"Tóth István")</f>
        <v>Tóth István</v>
      </c>
      <c r="C1617" s="1"/>
      <c r="D1617" s="1" t="str">
        <f ca="1">IFERROR(__xludf.DUMMYFUNCTION("""COMPUTED_VALUE"""),"Férfi")</f>
        <v>Férfi</v>
      </c>
      <c r="E1617" s="1"/>
      <c r="F1617" s="1">
        <f ca="1">IFERROR(__xludf.DUMMYFUNCTION("""COMPUTED_VALUE"""),1967)</f>
        <v>1967</v>
      </c>
      <c r="G1617" s="1">
        <f ca="1">IFERROR(__xludf.DUMMYFUNCTION("""COMPUTED_VALUE"""),3838)</f>
        <v>3838</v>
      </c>
      <c r="H1617" s="1" t="str">
        <f ca="1">IFERROR(__xludf.DUMMYFUNCTION("""COMPUTED_VALUE"""),"MTLSZ003838A20")</f>
        <v>MTLSZ003838A20</v>
      </c>
      <c r="I1617" s="2">
        <f ca="1">IFERROR(__xludf.DUMMYFUNCTION("""COMPUTED_VALUE"""),44158)</f>
        <v>44158</v>
      </c>
      <c r="J1617" s="2">
        <f ca="1">IFERROR(__xludf.DUMMYFUNCTION("""COMPUTED_VALUE"""),44522)</f>
        <v>44522</v>
      </c>
    </row>
    <row r="1618" spans="1:10" x14ac:dyDescent="0.25">
      <c r="A1618" s="1" t="str">
        <f ca="1">IFERROR(__xludf.DUMMYFUNCTION("""COMPUTED_VALUE"""),"Dunakanyar TSE")</f>
        <v>Dunakanyar TSE</v>
      </c>
      <c r="B1618" s="1" t="str">
        <f ca="1">IFERROR(__xludf.DUMMYFUNCTION("""COMPUTED_VALUE"""),"Török Zoltán")</f>
        <v>Török Zoltán</v>
      </c>
      <c r="C1618" s="1"/>
      <c r="D1618" s="1" t="str">
        <f ca="1">IFERROR(__xludf.DUMMYFUNCTION("""COMPUTED_VALUE"""),"Férfi")</f>
        <v>Férfi</v>
      </c>
      <c r="E1618" s="1"/>
      <c r="F1618" s="1">
        <f ca="1">IFERROR(__xludf.DUMMYFUNCTION("""COMPUTED_VALUE"""),1972)</f>
        <v>1972</v>
      </c>
      <c r="G1618" s="1">
        <f ca="1">IFERROR(__xludf.DUMMYFUNCTION("""COMPUTED_VALUE"""),3840)</f>
        <v>3840</v>
      </c>
      <c r="H1618" s="1" t="str">
        <f ca="1">IFERROR(__xludf.DUMMYFUNCTION("""COMPUTED_VALUE"""),"MTLSZ003840A20")</f>
        <v>MTLSZ003840A20</v>
      </c>
      <c r="I1618" s="2">
        <f ca="1">IFERROR(__xludf.DUMMYFUNCTION("""COMPUTED_VALUE"""),44158)</f>
        <v>44158</v>
      </c>
      <c r="J1618" s="2">
        <f ca="1">IFERROR(__xludf.DUMMYFUNCTION("""COMPUTED_VALUE"""),44522)</f>
        <v>44522</v>
      </c>
    </row>
    <row r="1619" spans="1:10" x14ac:dyDescent="0.25">
      <c r="A1619" s="1" t="str">
        <f ca="1">IFERROR(__xludf.DUMMYFUNCTION("""COMPUTED_VALUE"""),"Dunakanyar TSE")</f>
        <v>Dunakanyar TSE</v>
      </c>
      <c r="B1619" s="1" t="str">
        <f ca="1">IFERROR(__xludf.DUMMYFUNCTION("""COMPUTED_VALUE"""),"Vágó Nikoletta")</f>
        <v>Vágó Nikoletta</v>
      </c>
      <c r="C1619" s="1"/>
      <c r="D1619" s="1" t="str">
        <f ca="1">IFERROR(__xludf.DUMMYFUNCTION("""COMPUTED_VALUE"""),"Nő")</f>
        <v>Nő</v>
      </c>
      <c r="E1619" s="1"/>
      <c r="F1619" s="1">
        <f ca="1">IFERROR(__xludf.DUMMYFUNCTION("""COMPUTED_VALUE"""),1990)</f>
        <v>1990</v>
      </c>
      <c r="G1619" s="1">
        <f ca="1">IFERROR(__xludf.DUMMYFUNCTION("""COMPUTED_VALUE"""),3844)</f>
        <v>3844</v>
      </c>
      <c r="H1619" s="1" t="str">
        <f ca="1">IFERROR(__xludf.DUMMYFUNCTION("""COMPUTED_VALUE"""),"MTLSZ003844A20")</f>
        <v>MTLSZ003844A20</v>
      </c>
      <c r="I1619" s="2">
        <f ca="1">IFERROR(__xludf.DUMMYFUNCTION("""COMPUTED_VALUE"""),44158)</f>
        <v>44158</v>
      </c>
      <c r="J1619" s="2">
        <f ca="1">IFERROR(__xludf.DUMMYFUNCTION("""COMPUTED_VALUE"""),44522)</f>
        <v>44522</v>
      </c>
    </row>
    <row r="1620" spans="1:10" x14ac:dyDescent="0.25">
      <c r="A1620" s="1" t="str">
        <f ca="1">IFERROR(__xludf.DUMMYFUNCTION("""COMPUTED_VALUE"""),"Dunakanyar TSE")</f>
        <v>Dunakanyar TSE</v>
      </c>
      <c r="B1620" s="1"/>
      <c r="C1620" s="1"/>
      <c r="D1620" s="1"/>
      <c r="E1620" s="1"/>
      <c r="F1620" s="1">
        <f ca="1">IFERROR(__xludf.DUMMYFUNCTION("""COMPUTED_VALUE"""),1899)</f>
        <v>1899</v>
      </c>
      <c r="G1620" s="1">
        <f ca="1">IFERROR(__xludf.DUMMYFUNCTION("""COMPUTED_VALUE"""),3839)</f>
        <v>3839</v>
      </c>
      <c r="H1620" s="1"/>
      <c r="I1620" s="2">
        <f ca="1">IFERROR(__xludf.DUMMYFUNCTION("""COMPUTED_VALUE"""),44158)</f>
        <v>44158</v>
      </c>
      <c r="J1620" s="2">
        <f ca="1">IFERROR(__xludf.DUMMYFUNCTION("""COMPUTED_VALUE"""),44522)</f>
        <v>44522</v>
      </c>
    </row>
    <row r="1621" spans="1:10" x14ac:dyDescent="0.25">
      <c r="A1621" s="1" t="str">
        <f ca="1">IFERROR(__xludf.DUMMYFUNCTION("""COMPUTED_VALUE"""),"Életmód SE")</f>
        <v>Életmód SE</v>
      </c>
      <c r="B1621" s="1" t="str">
        <f ca="1">IFERROR(__xludf.DUMMYFUNCTION("""COMPUTED_VALUE"""),"Almási Attila")</f>
        <v>Almási Attila</v>
      </c>
      <c r="C1621" s="1"/>
      <c r="D1621" s="1" t="str">
        <f ca="1">IFERROR(__xludf.DUMMYFUNCTION("""COMPUTED_VALUE"""),"Férfi")</f>
        <v>Férfi</v>
      </c>
      <c r="E1621" s="1"/>
      <c r="F1621" s="1">
        <f ca="1">IFERROR(__xludf.DUMMYFUNCTION("""COMPUTED_VALUE"""),1964)</f>
        <v>1964</v>
      </c>
      <c r="G1621" s="1">
        <f ca="1">IFERROR(__xludf.DUMMYFUNCTION("""COMPUTED_VALUE"""),3859)</f>
        <v>3859</v>
      </c>
      <c r="H1621" s="1" t="str">
        <f ca="1">IFERROR(__xludf.DUMMYFUNCTION("""COMPUTED_VALUE"""),"MTLSZ003859A20")</f>
        <v>MTLSZ003859A20</v>
      </c>
      <c r="I1621" s="2">
        <f ca="1">IFERROR(__xludf.DUMMYFUNCTION("""COMPUTED_VALUE"""),44158)</f>
        <v>44158</v>
      </c>
      <c r="J1621" s="2">
        <f ca="1">IFERROR(__xludf.DUMMYFUNCTION("""COMPUTED_VALUE"""),44522)</f>
        <v>44522</v>
      </c>
    </row>
    <row r="1622" spans="1:10" x14ac:dyDescent="0.25">
      <c r="A1622" s="1" t="str">
        <f ca="1">IFERROR(__xludf.DUMMYFUNCTION("""COMPUTED_VALUE"""),"Életmód SE")</f>
        <v>Életmód SE</v>
      </c>
      <c r="B1622" s="1" t="str">
        <f ca="1">IFERROR(__xludf.DUMMYFUNCTION("""COMPUTED_VALUE"""),"Burján Tamás")</f>
        <v>Burján Tamás</v>
      </c>
      <c r="C1622" s="1"/>
      <c r="D1622" s="1" t="str">
        <f ca="1">IFERROR(__xludf.DUMMYFUNCTION("""COMPUTED_VALUE"""),"Férfi")</f>
        <v>Férfi</v>
      </c>
      <c r="E1622" s="1"/>
      <c r="F1622" s="1">
        <f ca="1">IFERROR(__xludf.DUMMYFUNCTION("""COMPUTED_VALUE"""),1969)</f>
        <v>1969</v>
      </c>
      <c r="G1622" s="1">
        <f ca="1">IFERROR(__xludf.DUMMYFUNCTION("""COMPUTED_VALUE"""),3858)</f>
        <v>3858</v>
      </c>
      <c r="H1622" s="1" t="str">
        <f ca="1">IFERROR(__xludf.DUMMYFUNCTION("""COMPUTED_VALUE"""),"MTLSZ003858A20")</f>
        <v>MTLSZ003858A20</v>
      </c>
      <c r="I1622" s="2">
        <f ca="1">IFERROR(__xludf.DUMMYFUNCTION("""COMPUTED_VALUE"""),44158)</f>
        <v>44158</v>
      </c>
      <c r="J1622" s="2">
        <f ca="1">IFERROR(__xludf.DUMMYFUNCTION("""COMPUTED_VALUE"""),44522)</f>
        <v>44522</v>
      </c>
    </row>
    <row r="1623" spans="1:10" x14ac:dyDescent="0.25">
      <c r="A1623" s="1" t="str">
        <f ca="1">IFERROR(__xludf.DUMMYFUNCTION("""COMPUTED_VALUE"""),"Életmód SE")</f>
        <v>Életmód SE</v>
      </c>
      <c r="B1623" s="1" t="str">
        <f ca="1">IFERROR(__xludf.DUMMYFUNCTION("""COMPUTED_VALUE"""),"Csényi László")</f>
        <v>Csényi László</v>
      </c>
      <c r="C1623" s="1"/>
      <c r="D1623" s="1" t="str">
        <f ca="1">IFERROR(__xludf.DUMMYFUNCTION("""COMPUTED_VALUE"""),"Férfi")</f>
        <v>Férfi</v>
      </c>
      <c r="E1623" s="1"/>
      <c r="F1623" s="1">
        <f ca="1">IFERROR(__xludf.DUMMYFUNCTION("""COMPUTED_VALUE"""),1964)</f>
        <v>1964</v>
      </c>
      <c r="G1623" s="1">
        <f ca="1">IFERROR(__xludf.DUMMYFUNCTION("""COMPUTED_VALUE"""),3857)</f>
        <v>3857</v>
      </c>
      <c r="H1623" s="1" t="str">
        <f ca="1">IFERROR(__xludf.DUMMYFUNCTION("""COMPUTED_VALUE"""),"MTLSZ003857A20")</f>
        <v>MTLSZ003857A20</v>
      </c>
      <c r="I1623" s="2">
        <f ca="1">IFERROR(__xludf.DUMMYFUNCTION("""COMPUTED_VALUE"""),44158)</f>
        <v>44158</v>
      </c>
      <c r="J1623" s="2">
        <f ca="1">IFERROR(__xludf.DUMMYFUNCTION("""COMPUTED_VALUE"""),44522)</f>
        <v>44522</v>
      </c>
    </row>
    <row r="1624" spans="1:10" x14ac:dyDescent="0.25">
      <c r="A1624" s="1" t="str">
        <f ca="1">IFERROR(__xludf.DUMMYFUNCTION("""COMPUTED_VALUE"""),"Életmód SE")</f>
        <v>Életmód SE</v>
      </c>
      <c r="B1624" s="1" t="str">
        <f ca="1">IFERROR(__xludf.DUMMYFUNCTION("""COMPUTED_VALUE"""),"Fajka Tiborné")</f>
        <v>Fajka Tiborné</v>
      </c>
      <c r="C1624" s="1"/>
      <c r="D1624" s="1" t="str">
        <f ca="1">IFERROR(__xludf.DUMMYFUNCTION("""COMPUTED_VALUE"""),"Nő")</f>
        <v>Nő</v>
      </c>
      <c r="E1624" s="1"/>
      <c r="F1624" s="1">
        <f ca="1">IFERROR(__xludf.DUMMYFUNCTION("""COMPUTED_VALUE"""),1968)</f>
        <v>1968</v>
      </c>
      <c r="G1624" s="1">
        <f ca="1">IFERROR(__xludf.DUMMYFUNCTION("""COMPUTED_VALUE"""),3860)</f>
        <v>3860</v>
      </c>
      <c r="H1624" s="1" t="str">
        <f ca="1">IFERROR(__xludf.DUMMYFUNCTION("""COMPUTED_VALUE"""),"MTLSZ003860A20")</f>
        <v>MTLSZ003860A20</v>
      </c>
      <c r="I1624" s="2">
        <f ca="1">IFERROR(__xludf.DUMMYFUNCTION("""COMPUTED_VALUE"""),44158)</f>
        <v>44158</v>
      </c>
      <c r="J1624" s="2">
        <f ca="1">IFERROR(__xludf.DUMMYFUNCTION("""COMPUTED_VALUE"""),44522)</f>
        <v>44522</v>
      </c>
    </row>
    <row r="1625" spans="1:10" x14ac:dyDescent="0.25">
      <c r="A1625" s="1" t="str">
        <f ca="1">IFERROR(__xludf.DUMMYFUNCTION("""COMPUTED_VALUE"""),"Életmód SE")</f>
        <v>Életmód SE</v>
      </c>
      <c r="B1625" s="1" t="str">
        <f ca="1">IFERROR(__xludf.DUMMYFUNCTION("""COMPUTED_VALUE"""),"Simonovics Tamás")</f>
        <v>Simonovics Tamás</v>
      </c>
      <c r="C1625" s="1"/>
      <c r="D1625" s="1" t="str">
        <f ca="1">IFERROR(__xludf.DUMMYFUNCTION("""COMPUTED_VALUE"""),"Férfi")</f>
        <v>Férfi</v>
      </c>
      <c r="E1625" s="1"/>
      <c r="F1625" s="1">
        <f ca="1">IFERROR(__xludf.DUMMYFUNCTION("""COMPUTED_VALUE"""),1986)</f>
        <v>1986</v>
      </c>
      <c r="G1625" s="1">
        <f ca="1">IFERROR(__xludf.DUMMYFUNCTION("""COMPUTED_VALUE"""),3550)</f>
        <v>3550</v>
      </c>
      <c r="H1625" s="1" t="str">
        <f ca="1">IFERROR(__xludf.DUMMYFUNCTION("""COMPUTED_VALUE"""),"MTLSZ003550A20")</f>
        <v>MTLSZ003550A20</v>
      </c>
      <c r="I1625" s="2">
        <f ca="1">IFERROR(__xludf.DUMMYFUNCTION("""COMPUTED_VALUE"""),44158)</f>
        <v>44158</v>
      </c>
      <c r="J1625" s="2">
        <f ca="1">IFERROR(__xludf.DUMMYFUNCTION("""COMPUTED_VALUE"""),44522)</f>
        <v>44522</v>
      </c>
    </row>
    <row r="1626" spans="1:10" x14ac:dyDescent="0.25">
      <c r="A1626" s="1" t="str">
        <f ca="1">IFERROR(__xludf.DUMMYFUNCTION("""COMPUTED_VALUE"""),"Kék Sólymok SE")</f>
        <v>Kék Sólymok SE</v>
      </c>
      <c r="B1626" s="1" t="str">
        <f ca="1">IFERROR(__xludf.DUMMYFUNCTION("""COMPUTED_VALUE"""),"Alexy Norbert")</f>
        <v>Alexy Norbert</v>
      </c>
      <c r="C1626" s="1"/>
      <c r="D1626" s="1" t="str">
        <f ca="1">IFERROR(__xludf.DUMMYFUNCTION("""COMPUTED_VALUE"""),"Férfi")</f>
        <v>Férfi</v>
      </c>
      <c r="E1626" s="1"/>
      <c r="F1626" s="1">
        <f ca="1">IFERROR(__xludf.DUMMYFUNCTION("""COMPUTED_VALUE"""),1966)</f>
        <v>1966</v>
      </c>
      <c r="G1626" s="1">
        <f ca="1">IFERROR(__xludf.DUMMYFUNCTION("""COMPUTED_VALUE"""),3827)</f>
        <v>3827</v>
      </c>
      <c r="H1626" s="1" t="str">
        <f ca="1">IFERROR(__xludf.DUMMYFUNCTION("""COMPUTED_VALUE"""),"MTLSZ003827A20")</f>
        <v>MTLSZ003827A20</v>
      </c>
      <c r="I1626" s="2">
        <f ca="1">IFERROR(__xludf.DUMMYFUNCTION("""COMPUTED_VALUE"""),44158)</f>
        <v>44158</v>
      </c>
      <c r="J1626" s="2">
        <f ca="1">IFERROR(__xludf.DUMMYFUNCTION("""COMPUTED_VALUE"""),44522)</f>
        <v>44522</v>
      </c>
    </row>
    <row r="1627" spans="1:10" x14ac:dyDescent="0.25">
      <c r="A1627" s="1" t="str">
        <f ca="1">IFERROR(__xludf.DUMMYFUNCTION("""COMPUTED_VALUE"""),"Kék Sólymok SE")</f>
        <v>Kék Sólymok SE</v>
      </c>
      <c r="B1627" s="1" t="str">
        <f ca="1">IFERROR(__xludf.DUMMYFUNCTION("""COMPUTED_VALUE"""),"Berghoffer Melinda")</f>
        <v>Berghoffer Melinda</v>
      </c>
      <c r="C1627" s="1"/>
      <c r="D1627" s="1" t="str">
        <f ca="1">IFERROR(__xludf.DUMMYFUNCTION("""COMPUTED_VALUE"""),"Nő")</f>
        <v>Nő</v>
      </c>
      <c r="E1627" s="1"/>
      <c r="F1627" s="1">
        <f ca="1">IFERROR(__xludf.DUMMYFUNCTION("""COMPUTED_VALUE"""),1969)</f>
        <v>1969</v>
      </c>
      <c r="G1627" s="1">
        <f ca="1">IFERROR(__xludf.DUMMYFUNCTION("""COMPUTED_VALUE"""),3828)</f>
        <v>3828</v>
      </c>
      <c r="H1627" s="1" t="str">
        <f ca="1">IFERROR(__xludf.DUMMYFUNCTION("""COMPUTED_VALUE"""),"MTLSZ003828A20")</f>
        <v>MTLSZ003828A20</v>
      </c>
      <c r="I1627" s="2">
        <f ca="1">IFERROR(__xludf.DUMMYFUNCTION("""COMPUTED_VALUE"""),44158)</f>
        <v>44158</v>
      </c>
      <c r="J1627" s="2">
        <f ca="1">IFERROR(__xludf.DUMMYFUNCTION("""COMPUTED_VALUE"""),44522)</f>
        <v>44522</v>
      </c>
    </row>
    <row r="1628" spans="1:10" x14ac:dyDescent="0.25">
      <c r="A1628" s="1" t="str">
        <f ca="1">IFERROR(__xludf.DUMMYFUNCTION("""COMPUTED_VALUE"""),"Kék Sólymok SE")</f>
        <v>Kék Sólymok SE</v>
      </c>
      <c r="B1628" s="1" t="str">
        <f ca="1">IFERROR(__xludf.DUMMYFUNCTION("""COMPUTED_VALUE"""),"Gergely Szabolcs")</f>
        <v>Gergely Szabolcs</v>
      </c>
      <c r="C1628" s="1"/>
      <c r="D1628" s="1" t="str">
        <f ca="1">IFERROR(__xludf.DUMMYFUNCTION("""COMPUTED_VALUE"""),"Férfi")</f>
        <v>Férfi</v>
      </c>
      <c r="E1628" s="1"/>
      <c r="F1628" s="1">
        <f ca="1">IFERROR(__xludf.DUMMYFUNCTION("""COMPUTED_VALUE"""),1978)</f>
        <v>1978</v>
      </c>
      <c r="G1628" s="1">
        <f ca="1">IFERROR(__xludf.DUMMYFUNCTION("""COMPUTED_VALUE"""),3831)</f>
        <v>3831</v>
      </c>
      <c r="H1628" s="1" t="str">
        <f ca="1">IFERROR(__xludf.DUMMYFUNCTION("""COMPUTED_VALUE"""),"MTLSZ003831A20")</f>
        <v>MTLSZ003831A20</v>
      </c>
      <c r="I1628" s="2">
        <f ca="1">IFERROR(__xludf.DUMMYFUNCTION("""COMPUTED_VALUE"""),44158)</f>
        <v>44158</v>
      </c>
      <c r="J1628" s="2">
        <f ca="1">IFERROR(__xludf.DUMMYFUNCTION("""COMPUTED_VALUE"""),44522)</f>
        <v>44522</v>
      </c>
    </row>
    <row r="1629" spans="1:10" x14ac:dyDescent="0.25">
      <c r="A1629" s="1" t="str">
        <f ca="1">IFERROR(__xludf.DUMMYFUNCTION("""COMPUTED_VALUE"""),"Kék Sólymok SE")</f>
        <v>Kék Sólymok SE</v>
      </c>
      <c r="B1629" s="1" t="str">
        <f ca="1">IFERROR(__xludf.DUMMYFUNCTION("""COMPUTED_VALUE"""),"Knaver Tímea")</f>
        <v>Knaver Tímea</v>
      </c>
      <c r="C1629" s="1"/>
      <c r="D1629" s="1" t="str">
        <f ca="1">IFERROR(__xludf.DUMMYFUNCTION("""COMPUTED_VALUE"""),"Nő")</f>
        <v>Nő</v>
      </c>
      <c r="E1629" s="1"/>
      <c r="F1629" s="1">
        <f ca="1">IFERROR(__xludf.DUMMYFUNCTION("""COMPUTED_VALUE"""),1973)</f>
        <v>1973</v>
      </c>
      <c r="G1629" s="1">
        <f ca="1">IFERROR(__xludf.DUMMYFUNCTION("""COMPUTED_VALUE"""),3834)</f>
        <v>3834</v>
      </c>
      <c r="H1629" s="1" t="str">
        <f ca="1">IFERROR(__xludf.DUMMYFUNCTION("""COMPUTED_VALUE"""),"MTLSZ003834A20")</f>
        <v>MTLSZ003834A20</v>
      </c>
      <c r="I1629" s="2">
        <f ca="1">IFERROR(__xludf.DUMMYFUNCTION("""COMPUTED_VALUE"""),44158)</f>
        <v>44158</v>
      </c>
      <c r="J1629" s="2">
        <f ca="1">IFERROR(__xludf.DUMMYFUNCTION("""COMPUTED_VALUE"""),44522)</f>
        <v>44522</v>
      </c>
    </row>
    <row r="1630" spans="1:10" x14ac:dyDescent="0.25">
      <c r="A1630" s="1" t="str">
        <f ca="1">IFERROR(__xludf.DUMMYFUNCTION("""COMPUTED_VALUE"""),"Kék Sólymok SE")</f>
        <v>Kék Sólymok SE</v>
      </c>
      <c r="B1630" s="1" t="str">
        <f ca="1">IFERROR(__xludf.DUMMYFUNCTION("""COMPUTED_VALUE"""),"Németh László")</f>
        <v>Németh László</v>
      </c>
      <c r="C1630" s="1"/>
      <c r="D1630" s="1" t="str">
        <f ca="1">IFERROR(__xludf.DUMMYFUNCTION("""COMPUTED_VALUE"""),"Férfi")</f>
        <v>Férfi</v>
      </c>
      <c r="E1630" s="1"/>
      <c r="F1630" s="1">
        <f ca="1">IFERROR(__xludf.DUMMYFUNCTION("""COMPUTED_VALUE"""),1974)</f>
        <v>1974</v>
      </c>
      <c r="G1630" s="1">
        <f ca="1">IFERROR(__xludf.DUMMYFUNCTION("""COMPUTED_VALUE"""),3829)</f>
        <v>3829</v>
      </c>
      <c r="H1630" s="1" t="str">
        <f ca="1">IFERROR(__xludf.DUMMYFUNCTION("""COMPUTED_VALUE"""),"MTLSZ003829A20")</f>
        <v>MTLSZ003829A20</v>
      </c>
      <c r="I1630" s="2">
        <f ca="1">IFERROR(__xludf.DUMMYFUNCTION("""COMPUTED_VALUE"""),44158)</f>
        <v>44158</v>
      </c>
      <c r="J1630" s="2">
        <f ca="1">IFERROR(__xludf.DUMMYFUNCTION("""COMPUTED_VALUE"""),44522)</f>
        <v>44522</v>
      </c>
    </row>
    <row r="1631" spans="1:10" x14ac:dyDescent="0.25">
      <c r="A1631" s="1" t="str">
        <f ca="1">IFERROR(__xludf.DUMMYFUNCTION("""COMPUTED_VALUE"""),"Kék Sólymok SE")</f>
        <v>Kék Sólymok SE</v>
      </c>
      <c r="B1631" s="1" t="str">
        <f ca="1">IFERROR(__xludf.DUMMYFUNCTION("""COMPUTED_VALUE"""),"Palotás Brigitta")</f>
        <v>Palotás Brigitta</v>
      </c>
      <c r="C1631" s="1"/>
      <c r="D1631" s="1" t="str">
        <f ca="1">IFERROR(__xludf.DUMMYFUNCTION("""COMPUTED_VALUE"""),"Nő")</f>
        <v>Nő</v>
      </c>
      <c r="E1631" s="1"/>
      <c r="F1631" s="1">
        <f ca="1">IFERROR(__xludf.DUMMYFUNCTION("""COMPUTED_VALUE"""),1973)</f>
        <v>1973</v>
      </c>
      <c r="G1631" s="1">
        <f ca="1">IFERROR(__xludf.DUMMYFUNCTION("""COMPUTED_VALUE"""),3830)</f>
        <v>3830</v>
      </c>
      <c r="H1631" s="1" t="str">
        <f ca="1">IFERROR(__xludf.DUMMYFUNCTION("""COMPUTED_VALUE"""),"MTLSZ003830A20")</f>
        <v>MTLSZ003830A20</v>
      </c>
      <c r="I1631" s="2">
        <f ca="1">IFERROR(__xludf.DUMMYFUNCTION("""COMPUTED_VALUE"""),44158)</f>
        <v>44158</v>
      </c>
      <c r="J1631" s="2">
        <f ca="1">IFERROR(__xludf.DUMMYFUNCTION("""COMPUTED_VALUE"""),44522)</f>
        <v>44522</v>
      </c>
    </row>
    <row r="1632" spans="1:10" x14ac:dyDescent="0.25">
      <c r="A1632" s="1" t="str">
        <f ca="1">IFERROR(__xludf.DUMMYFUNCTION("""COMPUTED_VALUE"""),"Kék Sólymok SE")</f>
        <v>Kék Sólymok SE</v>
      </c>
      <c r="B1632" s="1" t="str">
        <f ca="1">IFERROR(__xludf.DUMMYFUNCTION("""COMPUTED_VALUE"""),"Szántó András")</f>
        <v>Szántó András</v>
      </c>
      <c r="C1632" s="1"/>
      <c r="D1632" s="1" t="str">
        <f ca="1">IFERROR(__xludf.DUMMYFUNCTION("""COMPUTED_VALUE"""),"Férfi")</f>
        <v>Férfi</v>
      </c>
      <c r="E1632" s="1"/>
      <c r="F1632" s="1">
        <f ca="1">IFERROR(__xludf.DUMMYFUNCTION("""COMPUTED_VALUE"""),1970)</f>
        <v>1970</v>
      </c>
      <c r="G1632" s="1">
        <f ca="1">IFERROR(__xludf.DUMMYFUNCTION("""COMPUTED_VALUE"""),3835)</f>
        <v>3835</v>
      </c>
      <c r="H1632" s="1" t="str">
        <f ca="1">IFERROR(__xludf.DUMMYFUNCTION("""COMPUTED_VALUE"""),"MTLSZ003835A20")</f>
        <v>MTLSZ003835A20</v>
      </c>
      <c r="I1632" s="2">
        <f ca="1">IFERROR(__xludf.DUMMYFUNCTION("""COMPUTED_VALUE"""),44158)</f>
        <v>44158</v>
      </c>
      <c r="J1632" s="2">
        <f ca="1">IFERROR(__xludf.DUMMYFUNCTION("""COMPUTED_VALUE"""),44522)</f>
        <v>44522</v>
      </c>
    </row>
    <row r="1633" spans="1:10" x14ac:dyDescent="0.25">
      <c r="A1633" s="1" t="str">
        <f ca="1">IFERROR(__xludf.DUMMYFUNCTION("""COMPUTED_VALUE"""),"Kék Sólymok SE")</f>
        <v>Kék Sólymok SE</v>
      </c>
      <c r="B1633" s="1" t="str">
        <f ca="1">IFERROR(__xludf.DUMMYFUNCTION("""COMPUTED_VALUE"""),"Szép János")</f>
        <v>Szép János</v>
      </c>
      <c r="C1633" s="1"/>
      <c r="D1633" s="1" t="str">
        <f ca="1">IFERROR(__xludf.DUMMYFUNCTION("""COMPUTED_VALUE"""),"Férfi")</f>
        <v>Férfi</v>
      </c>
      <c r="E1633" s="1"/>
      <c r="F1633" s="1">
        <f ca="1">IFERROR(__xludf.DUMMYFUNCTION("""COMPUTED_VALUE"""),1970)</f>
        <v>1970</v>
      </c>
      <c r="G1633" s="1">
        <f ca="1">IFERROR(__xludf.DUMMYFUNCTION("""COMPUTED_VALUE"""),3832)</f>
        <v>3832</v>
      </c>
      <c r="H1633" s="1" t="str">
        <f ca="1">IFERROR(__xludf.DUMMYFUNCTION("""COMPUTED_VALUE"""),"MTLSZ003832A20")</f>
        <v>MTLSZ003832A20</v>
      </c>
      <c r="I1633" s="2">
        <f ca="1">IFERROR(__xludf.DUMMYFUNCTION("""COMPUTED_VALUE"""),44158)</f>
        <v>44158</v>
      </c>
      <c r="J1633" s="2">
        <f ca="1">IFERROR(__xludf.DUMMYFUNCTION("""COMPUTED_VALUE"""),44522)</f>
        <v>44522</v>
      </c>
    </row>
    <row r="1634" spans="1:10" x14ac:dyDescent="0.25">
      <c r="A1634" s="1" t="str">
        <f ca="1">IFERROR(__xludf.DUMMYFUNCTION("""COMPUTED_VALUE"""),"Kék Sólymok SE")</f>
        <v>Kék Sólymok SE</v>
      </c>
      <c r="B1634" s="1" t="str">
        <f ca="1">IFERROR(__xludf.DUMMYFUNCTION("""COMPUTED_VALUE"""),"Szilágyi Árpád")</f>
        <v>Szilágyi Árpád</v>
      </c>
      <c r="C1634" s="1"/>
      <c r="D1634" s="1" t="str">
        <f ca="1">IFERROR(__xludf.DUMMYFUNCTION("""COMPUTED_VALUE"""),"Férfi")</f>
        <v>Férfi</v>
      </c>
      <c r="E1634" s="1"/>
      <c r="F1634" s="1">
        <f ca="1">IFERROR(__xludf.DUMMYFUNCTION("""COMPUTED_VALUE"""),1967)</f>
        <v>1967</v>
      </c>
      <c r="G1634" s="1">
        <f ca="1">IFERROR(__xludf.DUMMYFUNCTION("""COMPUTED_VALUE"""),3833)</f>
        <v>3833</v>
      </c>
      <c r="H1634" s="1" t="str">
        <f ca="1">IFERROR(__xludf.DUMMYFUNCTION("""COMPUTED_VALUE"""),"MTLSZ003833A20")</f>
        <v>MTLSZ003833A20</v>
      </c>
      <c r="I1634" s="2">
        <f ca="1">IFERROR(__xludf.DUMMYFUNCTION("""COMPUTED_VALUE"""),44158)</f>
        <v>44158</v>
      </c>
      <c r="J1634" s="2">
        <f ca="1">IFERROR(__xludf.DUMMYFUNCTION("""COMPUTED_VALUE"""),44522)</f>
        <v>44522</v>
      </c>
    </row>
    <row r="1635" spans="1:10" x14ac:dyDescent="0.25">
      <c r="A1635" s="1" t="str">
        <f ca="1">IFERROR(__xludf.DUMMYFUNCTION("""COMPUTED_VALUE"""),"Kék Sólymok SE")</f>
        <v>Kék Sólymok SE</v>
      </c>
      <c r="B1635" s="1" t="str">
        <f ca="1">IFERROR(__xludf.DUMMYFUNCTION("""COMPUTED_VALUE"""),"Tóth László")</f>
        <v>Tóth László</v>
      </c>
      <c r="C1635" s="1"/>
      <c r="D1635" s="1" t="str">
        <f ca="1">IFERROR(__xludf.DUMMYFUNCTION("""COMPUTED_VALUE"""),"Férfi")</f>
        <v>Férfi</v>
      </c>
      <c r="E1635" s="1"/>
      <c r="F1635" s="1">
        <f ca="1">IFERROR(__xludf.DUMMYFUNCTION("""COMPUTED_VALUE"""),1967)</f>
        <v>1967</v>
      </c>
      <c r="G1635" s="1">
        <f ca="1">IFERROR(__xludf.DUMMYFUNCTION("""COMPUTED_VALUE"""),3836)</f>
        <v>3836</v>
      </c>
      <c r="H1635" s="1" t="str">
        <f ca="1">IFERROR(__xludf.DUMMYFUNCTION("""COMPUTED_VALUE"""),"MTLSZ003836A20")</f>
        <v>MTLSZ003836A20</v>
      </c>
      <c r="I1635" s="2">
        <f ca="1">IFERROR(__xludf.DUMMYFUNCTION("""COMPUTED_VALUE"""),44158)</f>
        <v>44158</v>
      </c>
      <c r="J1635" s="2">
        <f ca="1">IFERROR(__xludf.DUMMYFUNCTION("""COMPUTED_VALUE"""),44522)</f>
        <v>44522</v>
      </c>
    </row>
    <row r="1636" spans="1:10" x14ac:dyDescent="0.25">
      <c r="A1636" s="1" t="str">
        <f ca="1">IFERROR(__xludf.DUMMYFUNCTION("""COMPUTED_VALUE"""),"Talentum TSE")</f>
        <v>Talentum TSE</v>
      </c>
      <c r="B1636" s="1" t="str">
        <f ca="1">IFERROR(__xludf.DUMMYFUNCTION("""COMPUTED_VALUE"""),"Megyesi Dorka")</f>
        <v>Megyesi Dorka</v>
      </c>
      <c r="C1636" s="1"/>
      <c r="D1636" s="1" t="str">
        <f ca="1">IFERROR(__xludf.DUMMYFUNCTION("""COMPUTED_VALUE"""),"Nő")</f>
        <v>Nő</v>
      </c>
      <c r="E1636" s="1"/>
      <c r="F1636" s="1">
        <f ca="1">IFERROR(__xludf.DUMMYFUNCTION("""COMPUTED_VALUE"""),2002)</f>
        <v>2002</v>
      </c>
      <c r="G1636" s="1">
        <f ca="1">IFERROR(__xludf.DUMMYFUNCTION("""COMPUTED_VALUE"""),3170)</f>
        <v>3170</v>
      </c>
      <c r="H1636" s="1" t="str">
        <f ca="1">IFERROR(__xludf.DUMMYFUNCTION("""COMPUTED_VALUE"""),"MTLSZ003170A20")</f>
        <v>MTLSZ003170A20</v>
      </c>
      <c r="I1636" s="2">
        <f ca="1">IFERROR(__xludf.DUMMYFUNCTION("""COMPUTED_VALUE"""),44158)</f>
        <v>44158</v>
      </c>
      <c r="J1636" s="2">
        <f ca="1">IFERROR(__xludf.DUMMYFUNCTION("""COMPUTED_VALUE"""),44522)</f>
        <v>44522</v>
      </c>
    </row>
    <row r="1637" spans="1:10" x14ac:dyDescent="0.25">
      <c r="A1637" s="1" t="str">
        <f ca="1">IFERROR(__xludf.DUMMYFUNCTION("""COMPUTED_VALUE"""),"T(r)ollas SE")</f>
        <v>T(r)ollas SE</v>
      </c>
      <c r="B1637" s="1" t="str">
        <f ca="1">IFERROR(__xludf.DUMMYFUNCTION("""COMPUTED_VALUE"""),"Biszak Gábor")</f>
        <v>Biszak Gábor</v>
      </c>
      <c r="C1637" s="1"/>
      <c r="D1637" s="1" t="str">
        <f ca="1">IFERROR(__xludf.DUMMYFUNCTION("""COMPUTED_VALUE"""),"Férfi")</f>
        <v>Férfi</v>
      </c>
      <c r="E1637" s="1"/>
      <c r="F1637" s="1">
        <f ca="1">IFERROR(__xludf.DUMMYFUNCTION("""COMPUTED_VALUE"""),1974)</f>
        <v>1974</v>
      </c>
      <c r="G1637" s="1">
        <f ca="1">IFERROR(__xludf.DUMMYFUNCTION("""COMPUTED_VALUE"""),3109)</f>
        <v>3109</v>
      </c>
      <c r="H1637" s="1" t="str">
        <f ca="1">IFERROR(__xludf.DUMMYFUNCTION("""COMPUTED_VALUE"""),"MTLSZ003109A20")</f>
        <v>MTLSZ003109A20</v>
      </c>
      <c r="I1637" s="2">
        <f ca="1">IFERROR(__xludf.DUMMYFUNCTION("""COMPUTED_VALUE"""),44158)</f>
        <v>44158</v>
      </c>
      <c r="J1637" s="2">
        <f ca="1">IFERROR(__xludf.DUMMYFUNCTION("""COMPUTED_VALUE"""),44522)</f>
        <v>44522</v>
      </c>
    </row>
    <row r="1638" spans="1:10" x14ac:dyDescent="0.25">
      <c r="A1638" s="1" t="str">
        <f ca="1">IFERROR(__xludf.DUMMYFUNCTION("""COMPUTED_VALUE"""),"T(r)ollas SE")</f>
        <v>T(r)ollas SE</v>
      </c>
      <c r="B1638" s="1" t="str">
        <f ca="1">IFERROR(__xludf.DUMMYFUNCTION("""COMPUTED_VALUE"""),"Hu Bili")</f>
        <v>Hu Bili</v>
      </c>
      <c r="C1638" s="1"/>
      <c r="D1638" s="1" t="str">
        <f ca="1">IFERROR(__xludf.DUMMYFUNCTION("""COMPUTED_VALUE"""),"Férfi")</f>
        <v>Férfi</v>
      </c>
      <c r="E1638" s="1"/>
      <c r="F1638" s="1">
        <f ca="1">IFERROR(__xludf.DUMMYFUNCTION("""COMPUTED_VALUE"""),1959)</f>
        <v>1959</v>
      </c>
      <c r="G1638" s="1">
        <f ca="1">IFERROR(__xludf.DUMMYFUNCTION("""COMPUTED_VALUE"""),3852)</f>
        <v>3852</v>
      </c>
      <c r="H1638" s="1" t="str">
        <f ca="1">IFERROR(__xludf.DUMMYFUNCTION("""COMPUTED_VALUE"""),"MTLSZ003852A20")</f>
        <v>MTLSZ003852A20</v>
      </c>
      <c r="I1638" s="2">
        <f ca="1">IFERROR(__xludf.DUMMYFUNCTION("""COMPUTED_VALUE"""),44158)</f>
        <v>44158</v>
      </c>
      <c r="J1638" s="2">
        <f ca="1">IFERROR(__xludf.DUMMYFUNCTION("""COMPUTED_VALUE"""),44522)</f>
        <v>44522</v>
      </c>
    </row>
    <row r="1639" spans="1:10" x14ac:dyDescent="0.25">
      <c r="A1639" s="1" t="str">
        <f ca="1">IFERROR(__xludf.DUMMYFUNCTION("""COMPUTED_VALUE"""),"T(r)ollas SE")</f>
        <v>T(r)ollas SE</v>
      </c>
      <c r="B1639" s="1" t="str">
        <f ca="1">IFERROR(__xludf.DUMMYFUNCTION("""COMPUTED_VALUE"""),"Hu Jia Lin")</f>
        <v>Hu Jia Lin</v>
      </c>
      <c r="C1639" s="1"/>
      <c r="D1639" s="1" t="str">
        <f ca="1">IFERROR(__xludf.DUMMYFUNCTION("""COMPUTED_VALUE"""),"Férfi")</f>
        <v>Férfi</v>
      </c>
      <c r="E1639" s="1"/>
      <c r="F1639" s="1">
        <f ca="1">IFERROR(__xludf.DUMMYFUNCTION("""COMPUTED_VALUE"""),1995)</f>
        <v>1995</v>
      </c>
      <c r="G1639" s="1">
        <f ca="1">IFERROR(__xludf.DUMMYFUNCTION("""COMPUTED_VALUE"""),3853)</f>
        <v>3853</v>
      </c>
      <c r="H1639" s="1" t="str">
        <f ca="1">IFERROR(__xludf.DUMMYFUNCTION("""COMPUTED_VALUE"""),"MTLSZ003853A20")</f>
        <v>MTLSZ003853A20</v>
      </c>
      <c r="I1639" s="2">
        <f ca="1">IFERROR(__xludf.DUMMYFUNCTION("""COMPUTED_VALUE"""),44158)</f>
        <v>44158</v>
      </c>
      <c r="J1639" s="2">
        <f ca="1">IFERROR(__xludf.DUMMYFUNCTION("""COMPUTED_VALUE"""),44522)</f>
        <v>44522</v>
      </c>
    </row>
    <row r="1640" spans="1:10" x14ac:dyDescent="0.25">
      <c r="A1640" s="1" t="str">
        <f ca="1">IFERROR(__xludf.DUMMYFUNCTION("""COMPUTED_VALUE"""),"T(r)ollas SE")</f>
        <v>T(r)ollas SE</v>
      </c>
      <c r="B1640" s="1" t="str">
        <f ca="1">IFERROR(__xludf.DUMMYFUNCTION("""COMPUTED_VALUE"""),"Lai Bin")</f>
        <v>Lai Bin</v>
      </c>
      <c r="C1640" s="1"/>
      <c r="D1640" s="1" t="str">
        <f ca="1">IFERROR(__xludf.DUMMYFUNCTION("""COMPUTED_VALUE"""),"Férfi")</f>
        <v>Férfi</v>
      </c>
      <c r="E1640" s="1"/>
      <c r="F1640" s="1">
        <f ca="1">IFERROR(__xludf.DUMMYFUNCTION("""COMPUTED_VALUE"""),1962)</f>
        <v>1962</v>
      </c>
      <c r="G1640" s="1">
        <f ca="1">IFERROR(__xludf.DUMMYFUNCTION("""COMPUTED_VALUE"""),3854)</f>
        <v>3854</v>
      </c>
      <c r="H1640" s="1" t="str">
        <f ca="1">IFERROR(__xludf.DUMMYFUNCTION("""COMPUTED_VALUE"""),"MTLSZ003854A20")</f>
        <v>MTLSZ003854A20</v>
      </c>
      <c r="I1640" s="2">
        <f ca="1">IFERROR(__xludf.DUMMYFUNCTION("""COMPUTED_VALUE"""),44158)</f>
        <v>44158</v>
      </c>
      <c r="J1640" s="2">
        <f ca="1">IFERROR(__xludf.DUMMYFUNCTION("""COMPUTED_VALUE"""),44522)</f>
        <v>44522</v>
      </c>
    </row>
    <row r="1641" spans="1:10" x14ac:dyDescent="0.25">
      <c r="A1641" s="1" t="str">
        <f ca="1">IFERROR(__xludf.DUMMYFUNCTION("""COMPUTED_VALUE"""),"T(r)ollas SE")</f>
        <v>T(r)ollas SE</v>
      </c>
      <c r="B1641" s="1" t="str">
        <f ca="1">IFERROR(__xludf.DUMMYFUNCTION("""COMPUTED_VALUE"""),"Wu Wanliang")</f>
        <v>Wu Wanliang</v>
      </c>
      <c r="C1641" s="1"/>
      <c r="D1641" s="1" t="str">
        <f ca="1">IFERROR(__xludf.DUMMYFUNCTION("""COMPUTED_VALUE"""),"Férfi")</f>
        <v>Férfi</v>
      </c>
      <c r="E1641" s="1"/>
      <c r="F1641" s="1">
        <f ca="1">IFERROR(__xludf.DUMMYFUNCTION("""COMPUTED_VALUE"""),1970)</f>
        <v>1970</v>
      </c>
      <c r="G1641" s="1">
        <f ca="1">IFERROR(__xludf.DUMMYFUNCTION("""COMPUTED_VALUE"""),3855)</f>
        <v>3855</v>
      </c>
      <c r="H1641" s="1" t="str">
        <f ca="1">IFERROR(__xludf.DUMMYFUNCTION("""COMPUTED_VALUE"""),"MTLSZ003855A20")</f>
        <v>MTLSZ003855A20</v>
      </c>
      <c r="I1641" s="2">
        <f ca="1">IFERROR(__xludf.DUMMYFUNCTION("""COMPUTED_VALUE"""),44158)</f>
        <v>44158</v>
      </c>
      <c r="J1641" s="2">
        <f ca="1">IFERROR(__xludf.DUMMYFUNCTION("""COMPUTED_VALUE"""),44522)</f>
        <v>44522</v>
      </c>
    </row>
    <row r="1642" spans="1:10" x14ac:dyDescent="0.25">
      <c r="A1642" s="1" t="str">
        <f ca="1">IFERROR(__xludf.DUMMYFUNCTION("""COMPUTED_VALUE"""),"T(r)ollas SE")</f>
        <v>T(r)ollas SE</v>
      </c>
      <c r="B1642" s="1" t="str">
        <f ca="1">IFERROR(__xludf.DUMMYFUNCTION("""COMPUTED_VALUE"""),"Wu Xiaomin")</f>
        <v>Wu Xiaomin</v>
      </c>
      <c r="C1642" s="1"/>
      <c r="D1642" s="1" t="str">
        <f ca="1">IFERROR(__xludf.DUMMYFUNCTION("""COMPUTED_VALUE"""),"Férfi")</f>
        <v>Férfi</v>
      </c>
      <c r="E1642" s="1"/>
      <c r="F1642" s="1">
        <f ca="1">IFERROR(__xludf.DUMMYFUNCTION("""COMPUTED_VALUE"""),1964)</f>
        <v>1964</v>
      </c>
      <c r="G1642" s="1">
        <f ca="1">IFERROR(__xludf.DUMMYFUNCTION("""COMPUTED_VALUE"""),3856)</f>
        <v>3856</v>
      </c>
      <c r="H1642" s="1" t="str">
        <f ca="1">IFERROR(__xludf.DUMMYFUNCTION("""COMPUTED_VALUE"""),"MTLSZ003856A20")</f>
        <v>MTLSZ003856A20</v>
      </c>
      <c r="I1642" s="2">
        <f ca="1">IFERROR(__xludf.DUMMYFUNCTION("""COMPUTED_VALUE"""),44158)</f>
        <v>44158</v>
      </c>
      <c r="J1642" s="2">
        <f ca="1">IFERROR(__xludf.DUMMYFUNCTION("""COMPUTED_VALUE"""),44522)</f>
        <v>44522</v>
      </c>
    </row>
    <row r="1643" spans="1:10" x14ac:dyDescent="0.25">
      <c r="A1643" s="1" t="str">
        <f ca="1">IFERROR(__xludf.DUMMYFUNCTION("""COMPUTED_VALUE"""),"Újpest TSE")</f>
        <v>Újpest TSE</v>
      </c>
      <c r="B1643" s="1" t="str">
        <f ca="1">IFERROR(__xludf.DUMMYFUNCTION("""COMPUTED_VALUE"""),"Dávid Áron")</f>
        <v>Dávid Áron</v>
      </c>
      <c r="C1643" s="1"/>
      <c r="D1643" s="1" t="str">
        <f ca="1">IFERROR(__xludf.DUMMYFUNCTION("""COMPUTED_VALUE"""),"Férfi")</f>
        <v>Férfi</v>
      </c>
      <c r="E1643" s="1"/>
      <c r="F1643" s="1">
        <f ca="1">IFERROR(__xludf.DUMMYFUNCTION("""COMPUTED_VALUE"""),1982)</f>
        <v>1982</v>
      </c>
      <c r="G1643" s="1">
        <f ca="1">IFERROR(__xludf.DUMMYFUNCTION("""COMPUTED_VALUE"""),3837)</f>
        <v>3837</v>
      </c>
      <c r="H1643" s="1" t="str">
        <f ca="1">IFERROR(__xludf.DUMMYFUNCTION("""COMPUTED_VALUE"""),"MTLSZ003837A20")</f>
        <v>MTLSZ003837A20</v>
      </c>
      <c r="I1643" s="2">
        <f ca="1">IFERROR(__xludf.DUMMYFUNCTION("""COMPUTED_VALUE"""),44158)</f>
        <v>44158</v>
      </c>
      <c r="J1643" s="2">
        <f ca="1">IFERROR(__xludf.DUMMYFUNCTION("""COMPUTED_VALUE"""),44522)</f>
        <v>44522</v>
      </c>
    </row>
    <row r="1644" spans="1:10" x14ac:dyDescent="0.25">
      <c r="A1644" s="1" t="str">
        <f ca="1">IFERROR(__xludf.DUMMYFUNCTION("""COMPUTED_VALUE"""),"CET SE")</f>
        <v>CET SE</v>
      </c>
      <c r="B1644" s="1" t="str">
        <f ca="1">IFERROR(__xludf.DUMMYFUNCTION("""COMPUTED_VALUE"""),"Oláh György")</f>
        <v>Oláh György</v>
      </c>
      <c r="C1644" s="1"/>
      <c r="D1644" s="1" t="str">
        <f ca="1">IFERROR(__xludf.DUMMYFUNCTION("""COMPUTED_VALUE"""),"Férfi")</f>
        <v>Férfi</v>
      </c>
      <c r="E1644" s="1"/>
      <c r="F1644" s="1">
        <f ca="1">IFERROR(__xludf.DUMMYFUNCTION("""COMPUTED_VALUE"""),1969)</f>
        <v>1969</v>
      </c>
      <c r="G1644" s="1">
        <f ca="1">IFERROR(__xludf.DUMMYFUNCTION("""COMPUTED_VALUE"""),3799)</f>
        <v>3799</v>
      </c>
      <c r="H1644" s="1" t="str">
        <f ca="1">IFERROR(__xludf.DUMMYFUNCTION("""COMPUTED_VALUE"""),"MTLSZ003799A20")</f>
        <v>MTLSZ003799A20</v>
      </c>
      <c r="I1644" s="2">
        <f ca="1">IFERROR(__xludf.DUMMYFUNCTION("""COMPUTED_VALUE"""),44157)</f>
        <v>44157</v>
      </c>
      <c r="J1644" s="2">
        <f ca="1">IFERROR(__xludf.DUMMYFUNCTION("""COMPUTED_VALUE"""),44521)</f>
        <v>44521</v>
      </c>
    </row>
    <row r="1645" spans="1:10" x14ac:dyDescent="0.25">
      <c r="A1645" s="1" t="str">
        <f ca="1">IFERROR(__xludf.DUMMYFUNCTION("""COMPUTED_VALUE"""),"Diaboló SE")</f>
        <v>Diaboló SE</v>
      </c>
      <c r="B1645" s="1" t="str">
        <f ca="1">IFERROR(__xludf.DUMMYFUNCTION("""COMPUTED_VALUE"""),"Vörös Szilvia")</f>
        <v>Vörös Szilvia</v>
      </c>
      <c r="C1645" s="1"/>
      <c r="D1645" s="1" t="str">
        <f ca="1">IFERROR(__xludf.DUMMYFUNCTION("""COMPUTED_VALUE"""),"Nő")</f>
        <v>Nő</v>
      </c>
      <c r="E1645" s="1"/>
      <c r="F1645" s="1">
        <f ca="1">IFERROR(__xludf.DUMMYFUNCTION("""COMPUTED_VALUE"""),1983)</f>
        <v>1983</v>
      </c>
      <c r="G1645" s="1">
        <f ca="1">IFERROR(__xludf.DUMMYFUNCTION("""COMPUTED_VALUE"""),3810)</f>
        <v>3810</v>
      </c>
      <c r="H1645" s="1" t="str">
        <f ca="1">IFERROR(__xludf.DUMMYFUNCTION("""COMPUTED_VALUE"""),"MTLSZ003810A20")</f>
        <v>MTLSZ003810A20</v>
      </c>
      <c r="I1645" s="2">
        <f ca="1">IFERROR(__xludf.DUMMYFUNCTION("""COMPUTED_VALUE"""),44157)</f>
        <v>44157</v>
      </c>
      <c r="J1645" s="2">
        <f ca="1">IFERROR(__xludf.DUMMYFUNCTION("""COMPUTED_VALUE"""),44521)</f>
        <v>44521</v>
      </c>
    </row>
    <row r="1646" spans="1:10" x14ac:dyDescent="0.25">
      <c r="A1646" s="1" t="str">
        <f ca="1">IFERROR(__xludf.DUMMYFUNCTION("""COMPUTED_VALUE"""),"Dunakanyar TSE")</f>
        <v>Dunakanyar TSE</v>
      </c>
      <c r="B1646" s="1" t="str">
        <f ca="1">IFERROR(__xludf.DUMMYFUNCTION("""COMPUTED_VALUE"""),"Stróbl Dorottya")</f>
        <v>Stróbl Dorottya</v>
      </c>
      <c r="C1646" s="1"/>
      <c r="D1646" s="1" t="str">
        <f ca="1">IFERROR(__xludf.DUMMYFUNCTION("""COMPUTED_VALUE"""),"Nő")</f>
        <v>Nő</v>
      </c>
      <c r="E1646" s="1"/>
      <c r="F1646" s="1">
        <f ca="1">IFERROR(__xludf.DUMMYFUNCTION("""COMPUTED_VALUE"""),1971)</f>
        <v>1971</v>
      </c>
      <c r="G1646" s="1">
        <f ca="1">IFERROR(__xludf.DUMMYFUNCTION("""COMPUTED_VALUE"""),3820)</f>
        <v>3820</v>
      </c>
      <c r="H1646" s="1" t="str">
        <f ca="1">IFERROR(__xludf.DUMMYFUNCTION("""COMPUTED_VALUE"""),"MTLSZ003820A20")</f>
        <v>MTLSZ003820A20</v>
      </c>
      <c r="I1646" s="2">
        <f ca="1">IFERROR(__xludf.DUMMYFUNCTION("""COMPUTED_VALUE"""),44157)</f>
        <v>44157</v>
      </c>
      <c r="J1646" s="2">
        <f ca="1">IFERROR(__xludf.DUMMYFUNCTION("""COMPUTED_VALUE"""),44521)</f>
        <v>44521</v>
      </c>
    </row>
    <row r="1647" spans="1:10" x14ac:dyDescent="0.25">
      <c r="A1647" s="1" t="str">
        <f ca="1">IFERROR(__xludf.DUMMYFUNCTION("""COMPUTED_VALUE"""),"Dunakanyar TSE")</f>
        <v>Dunakanyar TSE</v>
      </c>
      <c r="B1647" s="1" t="str">
        <f ca="1">IFERROR(__xludf.DUMMYFUNCTION("""COMPUTED_VALUE"""),"Türk Attila dr.")</f>
        <v>Türk Attila dr.</v>
      </c>
      <c r="C1647" s="1"/>
      <c r="D1647" s="1" t="str">
        <f ca="1">IFERROR(__xludf.DUMMYFUNCTION("""COMPUTED_VALUE"""),"Férfi")</f>
        <v>Férfi</v>
      </c>
      <c r="E1647" s="1"/>
      <c r="F1647" s="1">
        <f ca="1">IFERROR(__xludf.DUMMYFUNCTION("""COMPUTED_VALUE"""),1960)</f>
        <v>1960</v>
      </c>
      <c r="G1647" s="1">
        <f ca="1">IFERROR(__xludf.DUMMYFUNCTION("""COMPUTED_VALUE"""),3821)</f>
        <v>3821</v>
      </c>
      <c r="H1647" s="1" t="str">
        <f ca="1">IFERROR(__xludf.DUMMYFUNCTION("""COMPUTED_VALUE"""),"MTLSZ003821A20")</f>
        <v>MTLSZ003821A20</v>
      </c>
      <c r="I1647" s="2">
        <f ca="1">IFERROR(__xludf.DUMMYFUNCTION("""COMPUTED_VALUE"""),44157)</f>
        <v>44157</v>
      </c>
      <c r="J1647" s="2">
        <f ca="1">IFERROR(__xludf.DUMMYFUNCTION("""COMPUTED_VALUE"""),44521)</f>
        <v>44521</v>
      </c>
    </row>
    <row r="1648" spans="1:10" x14ac:dyDescent="0.25">
      <c r="A1648" s="1" t="str">
        <f ca="1">IFERROR(__xludf.DUMMYFUNCTION("""COMPUTED_VALUE"""),"Életmód SE")</f>
        <v>Életmód SE</v>
      </c>
      <c r="B1648" s="1" t="str">
        <f ca="1">IFERROR(__xludf.DUMMYFUNCTION("""COMPUTED_VALUE"""),"Bán Lajos")</f>
        <v>Bán Lajos</v>
      </c>
      <c r="C1648" s="1"/>
      <c r="D1648" s="1" t="str">
        <f ca="1">IFERROR(__xludf.DUMMYFUNCTION("""COMPUTED_VALUE"""),"Férfi")</f>
        <v>Férfi</v>
      </c>
      <c r="E1648" s="1"/>
      <c r="F1648" s="1">
        <f ca="1">IFERROR(__xludf.DUMMYFUNCTION("""COMPUTED_VALUE"""),1974)</f>
        <v>1974</v>
      </c>
      <c r="G1648" s="1">
        <f ca="1">IFERROR(__xludf.DUMMYFUNCTION("""COMPUTED_VALUE"""),3787)</f>
        <v>3787</v>
      </c>
      <c r="H1648" s="1" t="str">
        <f ca="1">IFERROR(__xludf.DUMMYFUNCTION("""COMPUTED_VALUE"""),"MTLSZ003787A20")</f>
        <v>MTLSZ003787A20</v>
      </c>
      <c r="I1648" s="2">
        <f ca="1">IFERROR(__xludf.DUMMYFUNCTION("""COMPUTED_VALUE"""),44157)</f>
        <v>44157</v>
      </c>
      <c r="J1648" s="2">
        <f ca="1">IFERROR(__xludf.DUMMYFUNCTION("""COMPUTED_VALUE"""),44521)</f>
        <v>44521</v>
      </c>
    </row>
    <row r="1649" spans="1:10" x14ac:dyDescent="0.25">
      <c r="A1649" s="1" t="str">
        <f ca="1">IFERROR(__xludf.DUMMYFUNCTION("""COMPUTED_VALUE"""),"Életmód SE")</f>
        <v>Életmód SE</v>
      </c>
      <c r="B1649" s="1" t="str">
        <f ca="1">IFERROR(__xludf.DUMMYFUNCTION("""COMPUTED_VALUE"""),"Beke Dávid")</f>
        <v>Beke Dávid</v>
      </c>
      <c r="C1649" s="1"/>
      <c r="D1649" s="1" t="str">
        <f ca="1">IFERROR(__xludf.DUMMYFUNCTION("""COMPUTED_VALUE"""),"Férfi")</f>
        <v>Férfi</v>
      </c>
      <c r="E1649" s="1"/>
      <c r="F1649" s="1">
        <f ca="1">IFERROR(__xludf.DUMMYFUNCTION("""COMPUTED_VALUE"""),1976)</f>
        <v>1976</v>
      </c>
      <c r="G1649" s="1">
        <f ca="1">IFERROR(__xludf.DUMMYFUNCTION("""COMPUTED_VALUE"""),3784)</f>
        <v>3784</v>
      </c>
      <c r="H1649" s="1" t="str">
        <f ca="1">IFERROR(__xludf.DUMMYFUNCTION("""COMPUTED_VALUE"""),"MTLSZ003784A20")</f>
        <v>MTLSZ003784A20</v>
      </c>
      <c r="I1649" s="2">
        <f ca="1">IFERROR(__xludf.DUMMYFUNCTION("""COMPUTED_VALUE"""),44157)</f>
        <v>44157</v>
      </c>
      <c r="J1649" s="2">
        <f ca="1">IFERROR(__xludf.DUMMYFUNCTION("""COMPUTED_VALUE"""),44521)</f>
        <v>44521</v>
      </c>
    </row>
    <row r="1650" spans="1:10" x14ac:dyDescent="0.25">
      <c r="A1650" s="1" t="str">
        <f ca="1">IFERROR(__xludf.DUMMYFUNCTION("""COMPUTED_VALUE"""),"Életmód SE")</f>
        <v>Életmód SE</v>
      </c>
      <c r="B1650" s="1" t="str">
        <f ca="1">IFERROR(__xludf.DUMMYFUNCTION("""COMPUTED_VALUE"""),"Bozsó József")</f>
        <v>Bozsó József</v>
      </c>
      <c r="C1650" s="1"/>
      <c r="D1650" s="1" t="str">
        <f ca="1">IFERROR(__xludf.DUMMYFUNCTION("""COMPUTED_VALUE"""),"Férfi")</f>
        <v>Férfi</v>
      </c>
      <c r="E1650" s="1"/>
      <c r="F1650" s="1">
        <f ca="1">IFERROR(__xludf.DUMMYFUNCTION("""COMPUTED_VALUE"""),1960)</f>
        <v>1960</v>
      </c>
      <c r="G1650" s="1">
        <f ca="1">IFERROR(__xludf.DUMMYFUNCTION("""COMPUTED_VALUE"""),3785)</f>
        <v>3785</v>
      </c>
      <c r="H1650" s="1" t="str">
        <f ca="1">IFERROR(__xludf.DUMMYFUNCTION("""COMPUTED_VALUE"""),"MTLSZ003785A20")</f>
        <v>MTLSZ003785A20</v>
      </c>
      <c r="I1650" s="2">
        <f ca="1">IFERROR(__xludf.DUMMYFUNCTION("""COMPUTED_VALUE"""),44157)</f>
        <v>44157</v>
      </c>
      <c r="J1650" s="2">
        <f ca="1">IFERROR(__xludf.DUMMYFUNCTION("""COMPUTED_VALUE"""),44521)</f>
        <v>44521</v>
      </c>
    </row>
    <row r="1651" spans="1:10" x14ac:dyDescent="0.25">
      <c r="A1651" s="1" t="str">
        <f ca="1">IFERROR(__xludf.DUMMYFUNCTION("""COMPUTED_VALUE"""),"Életmód SE")</f>
        <v>Életmód SE</v>
      </c>
      <c r="B1651" s="1" t="str">
        <f ca="1">IFERROR(__xludf.DUMMYFUNCTION("""COMPUTED_VALUE"""),"dr. Resli István")</f>
        <v>dr. Resli István</v>
      </c>
      <c r="C1651" s="1"/>
      <c r="D1651" s="1" t="str">
        <f ca="1">IFERROR(__xludf.DUMMYFUNCTION("""COMPUTED_VALUE"""),"Férfi")</f>
        <v>Férfi</v>
      </c>
      <c r="E1651" s="1"/>
      <c r="F1651" s="1">
        <f ca="1">IFERROR(__xludf.DUMMYFUNCTION("""COMPUTED_VALUE"""),1967)</f>
        <v>1967</v>
      </c>
      <c r="G1651" s="1">
        <f ca="1">IFERROR(__xludf.DUMMYFUNCTION("""COMPUTED_VALUE"""),3800)</f>
        <v>3800</v>
      </c>
      <c r="H1651" s="1" t="str">
        <f ca="1">IFERROR(__xludf.DUMMYFUNCTION("""COMPUTED_VALUE"""),"MTLSZ003800A20")</f>
        <v>MTLSZ003800A20</v>
      </c>
      <c r="I1651" s="2">
        <f ca="1">IFERROR(__xludf.DUMMYFUNCTION("""COMPUTED_VALUE"""),44157)</f>
        <v>44157</v>
      </c>
      <c r="J1651" s="2">
        <f ca="1">IFERROR(__xludf.DUMMYFUNCTION("""COMPUTED_VALUE"""),44521)</f>
        <v>44521</v>
      </c>
    </row>
    <row r="1652" spans="1:10" x14ac:dyDescent="0.25">
      <c r="A1652" s="1" t="str">
        <f ca="1">IFERROR(__xludf.DUMMYFUNCTION("""COMPUTED_VALUE"""),"Életmód SE")</f>
        <v>Életmód SE</v>
      </c>
      <c r="B1652" s="1" t="str">
        <f ca="1">IFERROR(__xludf.DUMMYFUNCTION("""COMPUTED_VALUE"""),"Fodor Árpád")</f>
        <v>Fodor Árpád</v>
      </c>
      <c r="C1652" s="1"/>
      <c r="D1652" s="1" t="str">
        <f ca="1">IFERROR(__xludf.DUMMYFUNCTION("""COMPUTED_VALUE"""),"Férfi")</f>
        <v>Férfi</v>
      </c>
      <c r="E1652" s="1"/>
      <c r="F1652" s="1">
        <f ca="1">IFERROR(__xludf.DUMMYFUNCTION("""COMPUTED_VALUE"""),1967)</f>
        <v>1967</v>
      </c>
      <c r="G1652" s="1">
        <f ca="1">IFERROR(__xludf.DUMMYFUNCTION("""COMPUTED_VALUE"""),3801)</f>
        <v>3801</v>
      </c>
      <c r="H1652" s="1" t="str">
        <f ca="1">IFERROR(__xludf.DUMMYFUNCTION("""COMPUTED_VALUE"""),"MTLSZ003801A20")</f>
        <v>MTLSZ003801A20</v>
      </c>
      <c r="I1652" s="2">
        <f ca="1">IFERROR(__xludf.DUMMYFUNCTION("""COMPUTED_VALUE"""),44157)</f>
        <v>44157</v>
      </c>
      <c r="J1652" s="2">
        <f ca="1">IFERROR(__xludf.DUMMYFUNCTION("""COMPUTED_VALUE"""),44521)</f>
        <v>44521</v>
      </c>
    </row>
    <row r="1653" spans="1:10" x14ac:dyDescent="0.25">
      <c r="A1653" s="1" t="str">
        <f ca="1">IFERROR(__xludf.DUMMYFUNCTION("""COMPUTED_VALUE"""),"Életmód SE")</f>
        <v>Életmód SE</v>
      </c>
      <c r="B1653" s="1" t="str">
        <f ca="1">IFERROR(__xludf.DUMMYFUNCTION("""COMPUTED_VALUE"""),"Gerhát Péter")</f>
        <v>Gerhát Péter</v>
      </c>
      <c r="C1653" s="1"/>
      <c r="D1653" s="1" t="str">
        <f ca="1">IFERROR(__xludf.DUMMYFUNCTION("""COMPUTED_VALUE"""),"Férfi")</f>
        <v>Férfi</v>
      </c>
      <c r="E1653" s="1"/>
      <c r="F1653" s="1">
        <f ca="1">IFERROR(__xludf.DUMMYFUNCTION("""COMPUTED_VALUE"""),1976)</f>
        <v>1976</v>
      </c>
      <c r="G1653" s="1">
        <f ca="1">IFERROR(__xludf.DUMMYFUNCTION("""COMPUTED_VALUE"""),3807)</f>
        <v>3807</v>
      </c>
      <c r="H1653" s="1" t="str">
        <f ca="1">IFERROR(__xludf.DUMMYFUNCTION("""COMPUTED_VALUE"""),"MTLSZ003807A20")</f>
        <v>MTLSZ003807A20</v>
      </c>
      <c r="I1653" s="2">
        <f ca="1">IFERROR(__xludf.DUMMYFUNCTION("""COMPUTED_VALUE"""),44157)</f>
        <v>44157</v>
      </c>
      <c r="J1653" s="2">
        <f ca="1">IFERROR(__xludf.DUMMYFUNCTION("""COMPUTED_VALUE"""),44521)</f>
        <v>44521</v>
      </c>
    </row>
    <row r="1654" spans="1:10" x14ac:dyDescent="0.25">
      <c r="A1654" s="1" t="str">
        <f ca="1">IFERROR(__xludf.DUMMYFUNCTION("""COMPUTED_VALUE"""),"Életmód SE")</f>
        <v>Életmód SE</v>
      </c>
      <c r="B1654" s="1" t="str">
        <f ca="1">IFERROR(__xludf.DUMMYFUNCTION("""COMPUTED_VALUE"""),"Gőcze György")</f>
        <v>Gőcze György</v>
      </c>
      <c r="C1654" s="1"/>
      <c r="D1654" s="1" t="str">
        <f ca="1">IFERROR(__xludf.DUMMYFUNCTION("""COMPUTED_VALUE"""),"Férfi")</f>
        <v>Férfi</v>
      </c>
      <c r="E1654" s="1"/>
      <c r="F1654" s="1">
        <f ca="1">IFERROR(__xludf.DUMMYFUNCTION("""COMPUTED_VALUE"""),1964)</f>
        <v>1964</v>
      </c>
      <c r="G1654" s="1">
        <f ca="1">IFERROR(__xludf.DUMMYFUNCTION("""COMPUTED_VALUE"""),3790)</f>
        <v>3790</v>
      </c>
      <c r="H1654" s="1" t="str">
        <f ca="1">IFERROR(__xludf.DUMMYFUNCTION("""COMPUTED_VALUE"""),"MTLSZ003790A20")</f>
        <v>MTLSZ003790A20</v>
      </c>
      <c r="I1654" s="2">
        <f ca="1">IFERROR(__xludf.DUMMYFUNCTION("""COMPUTED_VALUE"""),44157)</f>
        <v>44157</v>
      </c>
      <c r="J1654" s="2">
        <f ca="1">IFERROR(__xludf.DUMMYFUNCTION("""COMPUTED_VALUE"""),44521)</f>
        <v>44521</v>
      </c>
    </row>
    <row r="1655" spans="1:10" x14ac:dyDescent="0.25">
      <c r="A1655" s="1" t="str">
        <f ca="1">IFERROR(__xludf.DUMMYFUNCTION("""COMPUTED_VALUE"""),"Életmód SE")</f>
        <v>Életmód SE</v>
      </c>
      <c r="B1655" s="1" t="str">
        <f ca="1">IFERROR(__xludf.DUMMYFUNCTION("""COMPUTED_VALUE"""),"Káplár Kálmán")</f>
        <v>Káplár Kálmán</v>
      </c>
      <c r="C1655" s="1"/>
      <c r="D1655" s="1" t="str">
        <f ca="1">IFERROR(__xludf.DUMMYFUNCTION("""COMPUTED_VALUE"""),"Férfi")</f>
        <v>Férfi</v>
      </c>
      <c r="E1655" s="1"/>
      <c r="F1655" s="1">
        <f ca="1">IFERROR(__xludf.DUMMYFUNCTION("""COMPUTED_VALUE"""),1977)</f>
        <v>1977</v>
      </c>
      <c r="G1655" s="1">
        <f ca="1">IFERROR(__xludf.DUMMYFUNCTION("""COMPUTED_VALUE"""),3806)</f>
        <v>3806</v>
      </c>
      <c r="H1655" s="1" t="str">
        <f ca="1">IFERROR(__xludf.DUMMYFUNCTION("""COMPUTED_VALUE"""),"MTLSZ003806A20")</f>
        <v>MTLSZ003806A20</v>
      </c>
      <c r="I1655" s="2">
        <f ca="1">IFERROR(__xludf.DUMMYFUNCTION("""COMPUTED_VALUE"""),44157)</f>
        <v>44157</v>
      </c>
      <c r="J1655" s="2">
        <f ca="1">IFERROR(__xludf.DUMMYFUNCTION("""COMPUTED_VALUE"""),44521)</f>
        <v>44521</v>
      </c>
    </row>
    <row r="1656" spans="1:10" x14ac:dyDescent="0.25">
      <c r="A1656" s="1" t="str">
        <f ca="1">IFERROR(__xludf.DUMMYFUNCTION("""COMPUTED_VALUE"""),"Életmód SE")</f>
        <v>Életmód SE</v>
      </c>
      <c r="B1656" s="1" t="str">
        <f ca="1">IFERROR(__xludf.DUMMYFUNCTION("""COMPUTED_VALUE"""),"Kasza Mónika")</f>
        <v>Kasza Mónika</v>
      </c>
      <c r="C1656" s="1"/>
      <c r="D1656" s="1" t="str">
        <f ca="1">IFERROR(__xludf.DUMMYFUNCTION("""COMPUTED_VALUE"""),"Nő")</f>
        <v>Nő</v>
      </c>
      <c r="E1656" s="1"/>
      <c r="F1656" s="1">
        <f ca="1">IFERROR(__xludf.DUMMYFUNCTION("""COMPUTED_VALUE"""),1978)</f>
        <v>1978</v>
      </c>
      <c r="G1656" s="1">
        <f ca="1">IFERROR(__xludf.DUMMYFUNCTION("""COMPUTED_VALUE"""),3792)</f>
        <v>3792</v>
      </c>
      <c r="H1656" s="1" t="str">
        <f ca="1">IFERROR(__xludf.DUMMYFUNCTION("""COMPUTED_VALUE"""),"MTLSZ003792A20")</f>
        <v>MTLSZ003792A20</v>
      </c>
      <c r="I1656" s="2">
        <f ca="1">IFERROR(__xludf.DUMMYFUNCTION("""COMPUTED_VALUE"""),44157)</f>
        <v>44157</v>
      </c>
      <c r="J1656" s="2">
        <f ca="1">IFERROR(__xludf.DUMMYFUNCTION("""COMPUTED_VALUE"""),44521)</f>
        <v>44521</v>
      </c>
    </row>
    <row r="1657" spans="1:10" x14ac:dyDescent="0.25">
      <c r="A1657" s="1" t="str">
        <f ca="1">IFERROR(__xludf.DUMMYFUNCTION("""COMPUTED_VALUE"""),"Életmód SE")</f>
        <v>Életmód SE</v>
      </c>
      <c r="B1657" s="1" t="str">
        <f ca="1">IFERROR(__xludf.DUMMYFUNCTION("""COMPUTED_VALUE"""),"Lipák Zsolt")</f>
        <v>Lipák Zsolt</v>
      </c>
      <c r="C1657" s="1"/>
      <c r="D1657" s="1" t="str">
        <f ca="1">IFERROR(__xludf.DUMMYFUNCTION("""COMPUTED_VALUE"""),"Férfi")</f>
        <v>Férfi</v>
      </c>
      <c r="E1657" s="1"/>
      <c r="F1657" s="1">
        <f ca="1">IFERROR(__xludf.DUMMYFUNCTION("""COMPUTED_VALUE"""),1975)</f>
        <v>1975</v>
      </c>
      <c r="G1657" s="1">
        <f ca="1">IFERROR(__xludf.DUMMYFUNCTION("""COMPUTED_VALUE"""),3803)</f>
        <v>3803</v>
      </c>
      <c r="H1657" s="1" t="str">
        <f ca="1">IFERROR(__xludf.DUMMYFUNCTION("""COMPUTED_VALUE"""),"MTLSZ003803A20")</f>
        <v>MTLSZ003803A20</v>
      </c>
      <c r="I1657" s="2">
        <f ca="1">IFERROR(__xludf.DUMMYFUNCTION("""COMPUTED_VALUE"""),44157)</f>
        <v>44157</v>
      </c>
      <c r="J1657" s="2">
        <f ca="1">IFERROR(__xludf.DUMMYFUNCTION("""COMPUTED_VALUE"""),44521)</f>
        <v>44521</v>
      </c>
    </row>
    <row r="1658" spans="1:10" x14ac:dyDescent="0.25">
      <c r="A1658" s="1" t="str">
        <f ca="1">IFERROR(__xludf.DUMMYFUNCTION("""COMPUTED_VALUE"""),"Életmód SE")</f>
        <v>Életmód SE</v>
      </c>
      <c r="B1658" s="1" t="str">
        <f ca="1">IFERROR(__xludf.DUMMYFUNCTION("""COMPUTED_VALUE"""),"Petrik Gábor dr.")</f>
        <v>Petrik Gábor dr.</v>
      </c>
      <c r="C1658" s="1"/>
      <c r="D1658" s="1" t="str">
        <f ca="1">IFERROR(__xludf.DUMMYFUNCTION("""COMPUTED_VALUE"""),"Férfi")</f>
        <v>Férfi</v>
      </c>
      <c r="E1658" s="1"/>
      <c r="F1658" s="1">
        <f ca="1">IFERROR(__xludf.DUMMYFUNCTION("""COMPUTED_VALUE"""),1972)</f>
        <v>1972</v>
      </c>
      <c r="G1658" s="1">
        <f ca="1">IFERROR(__xludf.DUMMYFUNCTION("""COMPUTED_VALUE"""),3797)</f>
        <v>3797</v>
      </c>
      <c r="H1658" s="1" t="str">
        <f ca="1">IFERROR(__xludf.DUMMYFUNCTION("""COMPUTED_VALUE"""),"MTLSZ003797A20")</f>
        <v>MTLSZ003797A20</v>
      </c>
      <c r="I1658" s="2">
        <f ca="1">IFERROR(__xludf.DUMMYFUNCTION("""COMPUTED_VALUE"""),44157)</f>
        <v>44157</v>
      </c>
      <c r="J1658" s="2">
        <f ca="1">IFERROR(__xludf.DUMMYFUNCTION("""COMPUTED_VALUE"""),44521)</f>
        <v>44521</v>
      </c>
    </row>
    <row r="1659" spans="1:10" x14ac:dyDescent="0.25">
      <c r="A1659" s="1" t="str">
        <f ca="1">IFERROR(__xludf.DUMMYFUNCTION("""COMPUTED_VALUE"""),"Életmód SE")</f>
        <v>Életmód SE</v>
      </c>
      <c r="B1659" s="1" t="str">
        <f ca="1">IFERROR(__xludf.DUMMYFUNCTION("""COMPUTED_VALUE"""),"Pipicz Imre")</f>
        <v>Pipicz Imre</v>
      </c>
      <c r="C1659" s="1"/>
      <c r="D1659" s="1" t="str">
        <f ca="1">IFERROR(__xludf.DUMMYFUNCTION("""COMPUTED_VALUE"""),"Férfi")</f>
        <v>Férfi</v>
      </c>
      <c r="E1659" s="1"/>
      <c r="F1659" s="1">
        <f ca="1">IFERROR(__xludf.DUMMYFUNCTION("""COMPUTED_VALUE"""),1968)</f>
        <v>1968</v>
      </c>
      <c r="G1659" s="1">
        <f ca="1">IFERROR(__xludf.DUMMYFUNCTION("""COMPUTED_VALUE"""),3804)</f>
        <v>3804</v>
      </c>
      <c r="H1659" s="1" t="str">
        <f ca="1">IFERROR(__xludf.DUMMYFUNCTION("""COMPUTED_VALUE"""),"MTLSZ003804A20")</f>
        <v>MTLSZ003804A20</v>
      </c>
      <c r="I1659" s="2">
        <f ca="1">IFERROR(__xludf.DUMMYFUNCTION("""COMPUTED_VALUE"""),44157)</f>
        <v>44157</v>
      </c>
      <c r="J1659" s="2">
        <f ca="1">IFERROR(__xludf.DUMMYFUNCTION("""COMPUTED_VALUE"""),44521)</f>
        <v>44521</v>
      </c>
    </row>
    <row r="1660" spans="1:10" x14ac:dyDescent="0.25">
      <c r="A1660" s="1" t="str">
        <f ca="1">IFERROR(__xludf.DUMMYFUNCTION("""COMPUTED_VALUE"""),"Életmód SE")</f>
        <v>Életmód SE</v>
      </c>
      <c r="B1660" s="1" t="str">
        <f ca="1">IFERROR(__xludf.DUMMYFUNCTION("""COMPUTED_VALUE"""),"Rusznák Viktor")</f>
        <v>Rusznák Viktor</v>
      </c>
      <c r="C1660" s="1"/>
      <c r="D1660" s="1" t="str">
        <f ca="1">IFERROR(__xludf.DUMMYFUNCTION("""COMPUTED_VALUE"""),"Férfi")</f>
        <v>Férfi</v>
      </c>
      <c r="E1660" s="1"/>
      <c r="F1660" s="1">
        <f ca="1">IFERROR(__xludf.DUMMYFUNCTION("""COMPUTED_VALUE"""),1982)</f>
        <v>1982</v>
      </c>
      <c r="G1660" s="1">
        <f ca="1">IFERROR(__xludf.DUMMYFUNCTION("""COMPUTED_VALUE"""),3786)</f>
        <v>3786</v>
      </c>
      <c r="H1660" s="1" t="str">
        <f ca="1">IFERROR(__xludf.DUMMYFUNCTION("""COMPUTED_VALUE"""),"MTLSZ003786A20")</f>
        <v>MTLSZ003786A20</v>
      </c>
      <c r="I1660" s="2">
        <f ca="1">IFERROR(__xludf.DUMMYFUNCTION("""COMPUTED_VALUE"""),44157)</f>
        <v>44157</v>
      </c>
      <c r="J1660" s="2">
        <f ca="1">IFERROR(__xludf.DUMMYFUNCTION("""COMPUTED_VALUE"""),44521)</f>
        <v>44521</v>
      </c>
    </row>
    <row r="1661" spans="1:10" x14ac:dyDescent="0.25">
      <c r="A1661" s="1" t="str">
        <f ca="1">IFERROR(__xludf.DUMMYFUNCTION("""COMPUTED_VALUE"""),"Életmód SE")</f>
        <v>Életmód SE</v>
      </c>
      <c r="B1661" s="1" t="str">
        <f ca="1">IFERROR(__xludf.DUMMYFUNCTION("""COMPUTED_VALUE"""),"Samu Patrik")</f>
        <v>Samu Patrik</v>
      </c>
      <c r="C1661" s="1"/>
      <c r="D1661" s="1" t="str">
        <f ca="1">IFERROR(__xludf.DUMMYFUNCTION("""COMPUTED_VALUE"""),"Férfi")</f>
        <v>Férfi</v>
      </c>
      <c r="E1661" s="1"/>
      <c r="F1661" s="1">
        <f ca="1">IFERROR(__xludf.DUMMYFUNCTION("""COMPUTED_VALUE"""),2003)</f>
        <v>2003</v>
      </c>
      <c r="G1661" s="1">
        <f ca="1">IFERROR(__xludf.DUMMYFUNCTION("""COMPUTED_VALUE"""),3798)</f>
        <v>3798</v>
      </c>
      <c r="H1661" s="1" t="str">
        <f ca="1">IFERROR(__xludf.DUMMYFUNCTION("""COMPUTED_VALUE"""),"MTLSZ003798A20")</f>
        <v>MTLSZ003798A20</v>
      </c>
      <c r="I1661" s="2">
        <f ca="1">IFERROR(__xludf.DUMMYFUNCTION("""COMPUTED_VALUE"""),44157)</f>
        <v>44157</v>
      </c>
      <c r="J1661" s="2">
        <f ca="1">IFERROR(__xludf.DUMMYFUNCTION("""COMPUTED_VALUE"""),44521)</f>
        <v>44521</v>
      </c>
    </row>
    <row r="1662" spans="1:10" x14ac:dyDescent="0.25">
      <c r="A1662" s="1" t="str">
        <f ca="1">IFERROR(__xludf.DUMMYFUNCTION("""COMPUTED_VALUE"""),"Életmód SE")</f>
        <v>Életmód SE</v>
      </c>
      <c r="B1662" s="1" t="str">
        <f ca="1">IFERROR(__xludf.DUMMYFUNCTION("""COMPUTED_VALUE"""),"Szabó Szabolcs")</f>
        <v>Szabó Szabolcs</v>
      </c>
      <c r="C1662" s="1"/>
      <c r="D1662" s="1" t="str">
        <f ca="1">IFERROR(__xludf.DUMMYFUNCTION("""COMPUTED_VALUE"""),"Férfi")</f>
        <v>Férfi</v>
      </c>
      <c r="E1662" s="1"/>
      <c r="F1662" s="1">
        <f ca="1">IFERROR(__xludf.DUMMYFUNCTION("""COMPUTED_VALUE"""),1970)</f>
        <v>1970</v>
      </c>
      <c r="G1662" s="1">
        <f ca="1">IFERROR(__xludf.DUMMYFUNCTION("""COMPUTED_VALUE"""),3791)</f>
        <v>3791</v>
      </c>
      <c r="H1662" s="1" t="str">
        <f ca="1">IFERROR(__xludf.DUMMYFUNCTION("""COMPUTED_VALUE"""),"MTLSZ003791A20")</f>
        <v>MTLSZ003791A20</v>
      </c>
      <c r="I1662" s="2">
        <f ca="1">IFERROR(__xludf.DUMMYFUNCTION("""COMPUTED_VALUE"""),44157)</f>
        <v>44157</v>
      </c>
      <c r="J1662" s="2">
        <f ca="1">IFERROR(__xludf.DUMMYFUNCTION("""COMPUTED_VALUE"""),44521)</f>
        <v>44521</v>
      </c>
    </row>
    <row r="1663" spans="1:10" x14ac:dyDescent="0.25">
      <c r="A1663" s="1" t="str">
        <f ca="1">IFERROR(__xludf.DUMMYFUNCTION("""COMPUTED_VALUE"""),"Életmód SE")</f>
        <v>Életmód SE</v>
      </c>
      <c r="B1663" s="1" t="str">
        <f ca="1">IFERROR(__xludf.DUMMYFUNCTION("""COMPUTED_VALUE"""),"Szatmári László")</f>
        <v>Szatmári László</v>
      </c>
      <c r="C1663" s="1"/>
      <c r="D1663" s="1" t="str">
        <f ca="1">IFERROR(__xludf.DUMMYFUNCTION("""COMPUTED_VALUE"""),"Férfi")</f>
        <v>Férfi</v>
      </c>
      <c r="E1663" s="1"/>
      <c r="F1663" s="1">
        <f ca="1">IFERROR(__xludf.DUMMYFUNCTION("""COMPUTED_VALUE"""),1975)</f>
        <v>1975</v>
      </c>
      <c r="G1663" s="1">
        <f ca="1">IFERROR(__xludf.DUMMYFUNCTION("""COMPUTED_VALUE"""),3796)</f>
        <v>3796</v>
      </c>
      <c r="H1663" s="1" t="str">
        <f ca="1">IFERROR(__xludf.DUMMYFUNCTION("""COMPUTED_VALUE"""),"MTLSZ003796A20")</f>
        <v>MTLSZ003796A20</v>
      </c>
      <c r="I1663" s="2">
        <f ca="1">IFERROR(__xludf.DUMMYFUNCTION("""COMPUTED_VALUE"""),44157)</f>
        <v>44157</v>
      </c>
      <c r="J1663" s="2">
        <f ca="1">IFERROR(__xludf.DUMMYFUNCTION("""COMPUTED_VALUE"""),44521)</f>
        <v>44521</v>
      </c>
    </row>
    <row r="1664" spans="1:10" x14ac:dyDescent="0.25">
      <c r="A1664" s="1" t="str">
        <f ca="1">IFERROR(__xludf.DUMMYFUNCTION("""COMPUTED_VALUE"""),"Életmód SE")</f>
        <v>Életmód SE</v>
      </c>
      <c r="B1664" s="1" t="str">
        <f ca="1">IFERROR(__xludf.DUMMYFUNCTION("""COMPUTED_VALUE"""),"Tóth Csongor Kristóf")</f>
        <v>Tóth Csongor Kristóf</v>
      </c>
      <c r="C1664" s="1"/>
      <c r="D1664" s="1" t="str">
        <f ca="1">IFERROR(__xludf.DUMMYFUNCTION("""COMPUTED_VALUE"""),"Férfi")</f>
        <v>Férfi</v>
      </c>
      <c r="E1664" s="1"/>
      <c r="F1664" s="1">
        <f ca="1">IFERROR(__xludf.DUMMYFUNCTION("""COMPUTED_VALUE"""),2011)</f>
        <v>2011</v>
      </c>
      <c r="G1664" s="1">
        <f ca="1">IFERROR(__xludf.DUMMYFUNCTION("""COMPUTED_VALUE"""),3808)</f>
        <v>3808</v>
      </c>
      <c r="H1664" s="1" t="str">
        <f ca="1">IFERROR(__xludf.DUMMYFUNCTION("""COMPUTED_VALUE"""),"MTLSZ003808A20")</f>
        <v>MTLSZ003808A20</v>
      </c>
      <c r="I1664" s="2">
        <f ca="1">IFERROR(__xludf.DUMMYFUNCTION("""COMPUTED_VALUE"""),44157)</f>
        <v>44157</v>
      </c>
      <c r="J1664" s="2">
        <f ca="1">IFERROR(__xludf.DUMMYFUNCTION("""COMPUTED_VALUE"""),44521)</f>
        <v>44521</v>
      </c>
    </row>
    <row r="1665" spans="1:10" x14ac:dyDescent="0.25">
      <c r="A1665" s="1" t="str">
        <f ca="1">IFERROR(__xludf.DUMMYFUNCTION("""COMPUTED_VALUE"""),"Életmód SE")</f>
        <v>Életmód SE</v>
      </c>
      <c r="B1665" s="1" t="str">
        <f ca="1">IFERROR(__xludf.DUMMYFUNCTION("""COMPUTED_VALUE"""),"Tóth-Nagyidai Hajnalka")</f>
        <v>Tóth-Nagyidai Hajnalka</v>
      </c>
      <c r="C1665" s="1"/>
      <c r="D1665" s="1" t="str">
        <f ca="1">IFERROR(__xludf.DUMMYFUNCTION("""COMPUTED_VALUE"""),"Nő")</f>
        <v>Nő</v>
      </c>
      <c r="E1665" s="1"/>
      <c r="F1665" s="1">
        <f ca="1">IFERROR(__xludf.DUMMYFUNCTION("""COMPUTED_VALUE"""),1978)</f>
        <v>1978</v>
      </c>
      <c r="G1665" s="1">
        <f ca="1">IFERROR(__xludf.DUMMYFUNCTION("""COMPUTED_VALUE"""),3809)</f>
        <v>3809</v>
      </c>
      <c r="H1665" s="1" t="str">
        <f ca="1">IFERROR(__xludf.DUMMYFUNCTION("""COMPUTED_VALUE"""),"MTLSZ003809A20")</f>
        <v>MTLSZ003809A20</v>
      </c>
      <c r="I1665" s="2">
        <f ca="1">IFERROR(__xludf.DUMMYFUNCTION("""COMPUTED_VALUE"""),44157)</f>
        <v>44157</v>
      </c>
      <c r="J1665" s="2">
        <f ca="1">IFERROR(__xludf.DUMMYFUNCTION("""COMPUTED_VALUE"""),44521)</f>
        <v>44521</v>
      </c>
    </row>
    <row r="1666" spans="1:10" x14ac:dyDescent="0.25">
      <c r="A1666" s="1" t="str">
        <f ca="1">IFERROR(__xludf.DUMMYFUNCTION("""COMPUTED_VALUE"""),"Életmód SE")</f>
        <v>Életmód SE</v>
      </c>
      <c r="B1666" s="1" t="str">
        <f ca="1">IFERROR(__xludf.DUMMYFUNCTION("""COMPUTED_VALUE"""),"Vágány Ferenc")</f>
        <v>Vágány Ferenc</v>
      </c>
      <c r="C1666" s="1"/>
      <c r="D1666" s="1" t="str">
        <f ca="1">IFERROR(__xludf.DUMMYFUNCTION("""COMPUTED_VALUE"""),"Férfi")</f>
        <v>Férfi</v>
      </c>
      <c r="E1666" s="1"/>
      <c r="F1666" s="1">
        <f ca="1">IFERROR(__xludf.DUMMYFUNCTION("""COMPUTED_VALUE"""),1975)</f>
        <v>1975</v>
      </c>
      <c r="G1666" s="1">
        <f ca="1">IFERROR(__xludf.DUMMYFUNCTION("""COMPUTED_VALUE"""),3802)</f>
        <v>3802</v>
      </c>
      <c r="H1666" s="1" t="str">
        <f ca="1">IFERROR(__xludf.DUMMYFUNCTION("""COMPUTED_VALUE"""),"MTLSZ003802A20")</f>
        <v>MTLSZ003802A20</v>
      </c>
      <c r="I1666" s="2">
        <f ca="1">IFERROR(__xludf.DUMMYFUNCTION("""COMPUTED_VALUE"""),44157)</f>
        <v>44157</v>
      </c>
      <c r="J1666" s="2">
        <f ca="1">IFERROR(__xludf.DUMMYFUNCTION("""COMPUTED_VALUE"""),44521)</f>
        <v>44521</v>
      </c>
    </row>
    <row r="1667" spans="1:10" x14ac:dyDescent="0.25">
      <c r="A1667" s="1" t="str">
        <f ca="1">IFERROR(__xludf.DUMMYFUNCTION("""COMPUTED_VALUE"""),"Életmód SE")</f>
        <v>Életmód SE</v>
      </c>
      <c r="B1667" s="1" t="str">
        <f ca="1">IFERROR(__xludf.DUMMYFUNCTION("""COMPUTED_VALUE"""),"Végh Károly")</f>
        <v>Végh Károly</v>
      </c>
      <c r="C1667" s="1"/>
      <c r="D1667" s="1" t="str">
        <f ca="1">IFERROR(__xludf.DUMMYFUNCTION("""COMPUTED_VALUE"""),"Férfi")</f>
        <v>Férfi</v>
      </c>
      <c r="E1667" s="1"/>
      <c r="F1667" s="1">
        <f ca="1">IFERROR(__xludf.DUMMYFUNCTION("""COMPUTED_VALUE"""),1973)</f>
        <v>1973</v>
      </c>
      <c r="G1667" s="1">
        <f ca="1">IFERROR(__xludf.DUMMYFUNCTION("""COMPUTED_VALUE"""),3793)</f>
        <v>3793</v>
      </c>
      <c r="H1667" s="1" t="str">
        <f ca="1">IFERROR(__xludf.DUMMYFUNCTION("""COMPUTED_VALUE"""),"MTLSZ003793A20")</f>
        <v>MTLSZ003793A20</v>
      </c>
      <c r="I1667" s="2">
        <f ca="1">IFERROR(__xludf.DUMMYFUNCTION("""COMPUTED_VALUE"""),44157)</f>
        <v>44157</v>
      </c>
      <c r="J1667" s="2">
        <f ca="1">IFERROR(__xludf.DUMMYFUNCTION("""COMPUTED_VALUE"""),44521)</f>
        <v>44521</v>
      </c>
    </row>
    <row r="1668" spans="1:10" x14ac:dyDescent="0.25">
      <c r="A1668" s="1" t="str">
        <f ca="1">IFERROR(__xludf.DUMMYFUNCTION("""COMPUTED_VALUE"""),"Életmód SE")</f>
        <v>Életmód SE</v>
      </c>
      <c r="B1668" s="1" t="str">
        <f ca="1">IFERROR(__xludf.DUMMYFUNCTION("""COMPUTED_VALUE"""),"Végh Zonga")</f>
        <v>Végh Zonga</v>
      </c>
      <c r="C1668" s="1"/>
      <c r="D1668" s="1" t="str">
        <f ca="1">IFERROR(__xludf.DUMMYFUNCTION("""COMPUTED_VALUE"""),"Nő")</f>
        <v>Nő</v>
      </c>
      <c r="E1668" s="1"/>
      <c r="F1668" s="1">
        <f ca="1">IFERROR(__xludf.DUMMYFUNCTION("""COMPUTED_VALUE"""),2008)</f>
        <v>2008</v>
      </c>
      <c r="G1668" s="1">
        <f ca="1">IFERROR(__xludf.DUMMYFUNCTION("""COMPUTED_VALUE"""),3794)</f>
        <v>3794</v>
      </c>
      <c r="H1668" s="1" t="str">
        <f ca="1">IFERROR(__xludf.DUMMYFUNCTION("""COMPUTED_VALUE"""),"MTLSZ003794A20")</f>
        <v>MTLSZ003794A20</v>
      </c>
      <c r="I1668" s="2">
        <f ca="1">IFERROR(__xludf.DUMMYFUNCTION("""COMPUTED_VALUE"""),44157)</f>
        <v>44157</v>
      </c>
      <c r="J1668" s="2">
        <f ca="1">IFERROR(__xludf.DUMMYFUNCTION("""COMPUTED_VALUE"""),44521)</f>
        <v>44521</v>
      </c>
    </row>
    <row r="1669" spans="1:10" x14ac:dyDescent="0.25">
      <c r="A1669" s="1" t="str">
        <f ca="1">IFERROR(__xludf.DUMMYFUNCTION("""COMPUTED_VALUE"""),"Formás SE")</f>
        <v>Formás SE</v>
      </c>
      <c r="B1669" s="1" t="str">
        <f ca="1">IFERROR(__xludf.DUMMYFUNCTION("""COMPUTED_VALUE"""),"Hajdu Attila")</f>
        <v>Hajdu Attila</v>
      </c>
      <c r="C1669" s="1"/>
      <c r="D1669" s="1" t="str">
        <f ca="1">IFERROR(__xludf.DUMMYFUNCTION("""COMPUTED_VALUE"""),"Férfi")</f>
        <v>Férfi</v>
      </c>
      <c r="E1669" s="1"/>
      <c r="F1669" s="1">
        <f ca="1">IFERROR(__xludf.DUMMYFUNCTION("""COMPUTED_VALUE"""),1976)</f>
        <v>1976</v>
      </c>
      <c r="G1669" s="1">
        <f ca="1">IFERROR(__xludf.DUMMYFUNCTION("""COMPUTED_VALUE"""),3812)</f>
        <v>3812</v>
      </c>
      <c r="H1669" s="1" t="str">
        <f ca="1">IFERROR(__xludf.DUMMYFUNCTION("""COMPUTED_VALUE"""),"MTLSZ003812A20")</f>
        <v>MTLSZ003812A20</v>
      </c>
      <c r="I1669" s="2">
        <f ca="1">IFERROR(__xludf.DUMMYFUNCTION("""COMPUTED_VALUE"""),44157)</f>
        <v>44157</v>
      </c>
      <c r="J1669" s="2">
        <f ca="1">IFERROR(__xludf.DUMMYFUNCTION("""COMPUTED_VALUE"""),44521)</f>
        <v>44521</v>
      </c>
    </row>
    <row r="1670" spans="1:10" x14ac:dyDescent="0.25">
      <c r="A1670" s="1" t="str">
        <f ca="1">IFERROR(__xludf.DUMMYFUNCTION("""COMPUTED_VALUE"""),"Formás SE")</f>
        <v>Formás SE</v>
      </c>
      <c r="B1670" s="1" t="str">
        <f ca="1">IFERROR(__xludf.DUMMYFUNCTION("""COMPUTED_VALUE"""),"Hajdu Levente")</f>
        <v>Hajdu Levente</v>
      </c>
      <c r="C1670" s="1"/>
      <c r="D1670" s="1" t="str">
        <f ca="1">IFERROR(__xludf.DUMMYFUNCTION("""COMPUTED_VALUE"""),"Férfi")</f>
        <v>Férfi</v>
      </c>
      <c r="E1670" s="1"/>
      <c r="F1670" s="1">
        <f ca="1">IFERROR(__xludf.DUMMYFUNCTION("""COMPUTED_VALUE"""),2004)</f>
        <v>2004</v>
      </c>
      <c r="G1670" s="1">
        <f ca="1">IFERROR(__xludf.DUMMYFUNCTION("""COMPUTED_VALUE"""),3815)</f>
        <v>3815</v>
      </c>
      <c r="H1670" s="1" t="str">
        <f ca="1">IFERROR(__xludf.DUMMYFUNCTION("""COMPUTED_VALUE"""),"MTLSZ003815A20")</f>
        <v>MTLSZ003815A20</v>
      </c>
      <c r="I1670" s="2">
        <f ca="1">IFERROR(__xludf.DUMMYFUNCTION("""COMPUTED_VALUE"""),44157)</f>
        <v>44157</v>
      </c>
      <c r="J1670" s="2">
        <f ca="1">IFERROR(__xludf.DUMMYFUNCTION("""COMPUTED_VALUE"""),44521)</f>
        <v>44521</v>
      </c>
    </row>
    <row r="1671" spans="1:10" x14ac:dyDescent="0.25">
      <c r="A1671" s="1" t="str">
        <f ca="1">IFERROR(__xludf.DUMMYFUNCTION("""COMPUTED_VALUE"""),"Formás SE")</f>
        <v>Formás SE</v>
      </c>
      <c r="B1671" s="1" t="str">
        <f ca="1">IFERROR(__xludf.DUMMYFUNCTION("""COMPUTED_VALUE"""),"Hajdu Réka")</f>
        <v>Hajdu Réka</v>
      </c>
      <c r="C1671" s="1"/>
      <c r="D1671" s="1" t="str">
        <f ca="1">IFERROR(__xludf.DUMMYFUNCTION("""COMPUTED_VALUE"""),"Nő")</f>
        <v>Nő</v>
      </c>
      <c r="E1671" s="1"/>
      <c r="F1671" s="1">
        <f ca="1">IFERROR(__xludf.DUMMYFUNCTION("""COMPUTED_VALUE"""),2010)</f>
        <v>2010</v>
      </c>
      <c r="G1671" s="1">
        <f ca="1">IFERROR(__xludf.DUMMYFUNCTION("""COMPUTED_VALUE"""),3814)</f>
        <v>3814</v>
      </c>
      <c r="H1671" s="1" t="str">
        <f ca="1">IFERROR(__xludf.DUMMYFUNCTION("""COMPUTED_VALUE"""),"MTLSZ003814A20")</f>
        <v>MTLSZ003814A20</v>
      </c>
      <c r="I1671" s="2">
        <f ca="1">IFERROR(__xludf.DUMMYFUNCTION("""COMPUTED_VALUE"""),44157)</f>
        <v>44157</v>
      </c>
      <c r="J1671" s="2">
        <f ca="1">IFERROR(__xludf.DUMMYFUNCTION("""COMPUTED_VALUE"""),44521)</f>
        <v>44521</v>
      </c>
    </row>
    <row r="1672" spans="1:10" x14ac:dyDescent="0.25">
      <c r="A1672" s="1" t="str">
        <f ca="1">IFERROR(__xludf.DUMMYFUNCTION("""COMPUTED_VALUE"""),"Formás SE")</f>
        <v>Formás SE</v>
      </c>
      <c r="B1672" s="1" t="str">
        <f ca="1">IFERROR(__xludf.DUMMYFUNCTION("""COMPUTED_VALUE"""),"Rácz Róbert")</f>
        <v>Rácz Róbert</v>
      </c>
      <c r="C1672" s="1"/>
      <c r="D1672" s="1" t="str">
        <f ca="1">IFERROR(__xludf.DUMMYFUNCTION("""COMPUTED_VALUE"""),"Férfi")</f>
        <v>Férfi</v>
      </c>
      <c r="E1672" s="1"/>
      <c r="F1672" s="1">
        <f ca="1">IFERROR(__xludf.DUMMYFUNCTION("""COMPUTED_VALUE"""),1968)</f>
        <v>1968</v>
      </c>
      <c r="G1672" s="1">
        <f ca="1">IFERROR(__xludf.DUMMYFUNCTION("""COMPUTED_VALUE"""),3811)</f>
        <v>3811</v>
      </c>
      <c r="H1672" s="1" t="str">
        <f ca="1">IFERROR(__xludf.DUMMYFUNCTION("""COMPUTED_VALUE"""),"MTLSZ003811A20")</f>
        <v>MTLSZ003811A20</v>
      </c>
      <c r="I1672" s="2">
        <f ca="1">IFERROR(__xludf.DUMMYFUNCTION("""COMPUTED_VALUE"""),44157)</f>
        <v>44157</v>
      </c>
      <c r="J1672" s="2">
        <f ca="1">IFERROR(__xludf.DUMMYFUNCTION("""COMPUTED_VALUE"""),44521)</f>
        <v>44521</v>
      </c>
    </row>
    <row r="1673" spans="1:10" x14ac:dyDescent="0.25">
      <c r="A1673" s="1" t="str">
        <f ca="1">IFERROR(__xludf.DUMMYFUNCTION("""COMPUTED_VALUE"""),"Formás SE")</f>
        <v>Formás SE</v>
      </c>
      <c r="B1673" s="1" t="str">
        <f ca="1">IFERROR(__xludf.DUMMYFUNCTION("""COMPUTED_VALUE"""),"Szűcs Dániel")</f>
        <v>Szűcs Dániel</v>
      </c>
      <c r="C1673" s="1"/>
      <c r="D1673" s="1" t="str">
        <f ca="1">IFERROR(__xludf.DUMMYFUNCTION("""COMPUTED_VALUE"""),"Férfi")</f>
        <v>Férfi</v>
      </c>
      <c r="E1673" s="1"/>
      <c r="F1673" s="1">
        <f ca="1">IFERROR(__xludf.DUMMYFUNCTION("""COMPUTED_VALUE"""),1999)</f>
        <v>1999</v>
      </c>
      <c r="G1673" s="1">
        <f ca="1">IFERROR(__xludf.DUMMYFUNCTION("""COMPUTED_VALUE"""),3813)</f>
        <v>3813</v>
      </c>
      <c r="H1673" s="1" t="str">
        <f ca="1">IFERROR(__xludf.DUMMYFUNCTION("""COMPUTED_VALUE"""),"MTLSZ003813A20")</f>
        <v>MTLSZ003813A20</v>
      </c>
      <c r="I1673" s="2">
        <f ca="1">IFERROR(__xludf.DUMMYFUNCTION("""COMPUTED_VALUE"""),44157)</f>
        <v>44157</v>
      </c>
      <c r="J1673" s="2">
        <f ca="1">IFERROR(__xludf.DUMMYFUNCTION("""COMPUTED_VALUE"""),44521)</f>
        <v>44521</v>
      </c>
    </row>
    <row r="1674" spans="1:10" x14ac:dyDescent="0.25">
      <c r="A1674" s="1" t="str">
        <f ca="1">IFERROR(__xludf.DUMMYFUNCTION("""COMPUTED_VALUE"""),"Főtaxi SC")</f>
        <v>Főtaxi SC</v>
      </c>
      <c r="B1674" s="1" t="str">
        <f ca="1">IFERROR(__xludf.DUMMYFUNCTION("""COMPUTED_VALUE"""),"Balla Orsolya")</f>
        <v>Balla Orsolya</v>
      </c>
      <c r="C1674" s="1"/>
      <c r="D1674" s="1" t="str">
        <f ca="1">IFERROR(__xludf.DUMMYFUNCTION("""COMPUTED_VALUE"""),"Nő")</f>
        <v>Nő</v>
      </c>
      <c r="E1674" s="1"/>
      <c r="F1674" s="1">
        <f ca="1">IFERROR(__xludf.DUMMYFUNCTION("""COMPUTED_VALUE"""),1974)</f>
        <v>1974</v>
      </c>
      <c r="G1674" s="1">
        <f ca="1">IFERROR(__xludf.DUMMYFUNCTION("""COMPUTED_VALUE"""),1271)</f>
        <v>1271</v>
      </c>
      <c r="H1674" s="1" t="str">
        <f ca="1">IFERROR(__xludf.DUMMYFUNCTION("""COMPUTED_VALUE"""),"MTLSZ001271A20")</f>
        <v>MTLSZ001271A20</v>
      </c>
      <c r="I1674" s="2">
        <f ca="1">IFERROR(__xludf.DUMMYFUNCTION("""COMPUTED_VALUE"""),44157)</f>
        <v>44157</v>
      </c>
      <c r="J1674" s="2">
        <f ca="1">IFERROR(__xludf.DUMMYFUNCTION("""COMPUTED_VALUE"""),44521)</f>
        <v>44521</v>
      </c>
    </row>
    <row r="1675" spans="1:10" x14ac:dyDescent="0.25">
      <c r="A1675" s="1" t="str">
        <f ca="1">IFERROR(__xludf.DUMMYFUNCTION("""COMPUTED_VALUE"""),"Főtaxi SC")</f>
        <v>Főtaxi SC</v>
      </c>
      <c r="B1675" s="1" t="str">
        <f ca="1">IFERROR(__xludf.DUMMYFUNCTION("""COMPUTED_VALUE"""),"Biszak Nimród")</f>
        <v>Biszak Nimród</v>
      </c>
      <c r="C1675" s="1"/>
      <c r="D1675" s="1" t="str">
        <f ca="1">IFERROR(__xludf.DUMMYFUNCTION("""COMPUTED_VALUE"""),"Férfi")</f>
        <v>Férfi</v>
      </c>
      <c r="E1675" s="1"/>
      <c r="F1675" s="1">
        <f ca="1">IFERROR(__xludf.DUMMYFUNCTION("""COMPUTED_VALUE"""),2015)</f>
        <v>2015</v>
      </c>
      <c r="G1675" s="1">
        <f ca="1">IFERROR(__xludf.DUMMYFUNCTION("""COMPUTED_VALUE"""),3822)</f>
        <v>3822</v>
      </c>
      <c r="H1675" s="1" t="str">
        <f ca="1">IFERROR(__xludf.DUMMYFUNCTION("""COMPUTED_VALUE"""),"MTLSZ003822A20")</f>
        <v>MTLSZ003822A20</v>
      </c>
      <c r="I1675" s="2">
        <f ca="1">IFERROR(__xludf.DUMMYFUNCTION("""COMPUTED_VALUE"""),44157)</f>
        <v>44157</v>
      </c>
      <c r="J1675" s="2">
        <f ca="1">IFERROR(__xludf.DUMMYFUNCTION("""COMPUTED_VALUE"""),44521)</f>
        <v>44521</v>
      </c>
    </row>
    <row r="1676" spans="1:10" x14ac:dyDescent="0.25">
      <c r="A1676" s="1" t="str">
        <f ca="1">IFERROR(__xludf.DUMMYFUNCTION("""COMPUTED_VALUE"""),"Főtaxi SC")</f>
        <v>Főtaxi SC</v>
      </c>
      <c r="B1676" s="1" t="str">
        <f ca="1">IFERROR(__xludf.DUMMYFUNCTION("""COMPUTED_VALUE"""),"Hausz Gyula")</f>
        <v>Hausz Gyula</v>
      </c>
      <c r="C1676" s="1"/>
      <c r="D1676" s="1" t="str">
        <f ca="1">IFERROR(__xludf.DUMMYFUNCTION("""COMPUTED_VALUE"""),"Férfi")</f>
        <v>Férfi</v>
      </c>
      <c r="E1676" s="1"/>
      <c r="F1676" s="1">
        <f ca="1">IFERROR(__xludf.DUMMYFUNCTION("""COMPUTED_VALUE"""),1961)</f>
        <v>1961</v>
      </c>
      <c r="G1676" s="1">
        <f ca="1">IFERROR(__xludf.DUMMYFUNCTION("""COMPUTED_VALUE"""),2445)</f>
        <v>2445</v>
      </c>
      <c r="H1676" s="1" t="str">
        <f ca="1">IFERROR(__xludf.DUMMYFUNCTION("""COMPUTED_VALUE"""),"MTLSZ002445A20")</f>
        <v>MTLSZ002445A20</v>
      </c>
      <c r="I1676" s="2">
        <f ca="1">IFERROR(__xludf.DUMMYFUNCTION("""COMPUTED_VALUE"""),44157)</f>
        <v>44157</v>
      </c>
      <c r="J1676" s="2">
        <f ca="1">IFERROR(__xludf.DUMMYFUNCTION("""COMPUTED_VALUE"""),44521)</f>
        <v>44521</v>
      </c>
    </row>
    <row r="1677" spans="1:10" x14ac:dyDescent="0.25">
      <c r="A1677" s="1" t="str">
        <f ca="1">IFERROR(__xludf.DUMMYFUNCTION("""COMPUTED_VALUE"""),"Főtaxi SC")</f>
        <v>Főtaxi SC</v>
      </c>
      <c r="B1677" s="1" t="str">
        <f ca="1">IFERROR(__xludf.DUMMYFUNCTION("""COMPUTED_VALUE"""),"Kulcsár Ferenc")</f>
        <v>Kulcsár Ferenc</v>
      </c>
      <c r="C1677" s="1"/>
      <c r="D1677" s="1" t="str">
        <f ca="1">IFERROR(__xludf.DUMMYFUNCTION("""COMPUTED_VALUE"""),"Férfi")</f>
        <v>Férfi</v>
      </c>
      <c r="E1677" s="1"/>
      <c r="F1677" s="1">
        <f ca="1">IFERROR(__xludf.DUMMYFUNCTION("""COMPUTED_VALUE"""),1958)</f>
        <v>1958</v>
      </c>
      <c r="G1677" s="1">
        <f ca="1">IFERROR(__xludf.DUMMYFUNCTION("""COMPUTED_VALUE"""),2024)</f>
        <v>2024</v>
      </c>
      <c r="H1677" s="1" t="str">
        <f ca="1">IFERROR(__xludf.DUMMYFUNCTION("""COMPUTED_VALUE"""),"MTLSZ002024A20")</f>
        <v>MTLSZ002024A20</v>
      </c>
      <c r="I1677" s="2">
        <f ca="1">IFERROR(__xludf.DUMMYFUNCTION("""COMPUTED_VALUE"""),44157)</f>
        <v>44157</v>
      </c>
      <c r="J1677" s="2">
        <f ca="1">IFERROR(__xludf.DUMMYFUNCTION("""COMPUTED_VALUE"""),44521)</f>
        <v>44521</v>
      </c>
    </row>
    <row r="1678" spans="1:10" x14ac:dyDescent="0.25">
      <c r="A1678" s="1" t="str">
        <f ca="1">IFERROR(__xludf.DUMMYFUNCTION("""COMPUTED_VALUE"""),"Főtaxi SC")</f>
        <v>Főtaxi SC</v>
      </c>
      <c r="B1678" s="1" t="str">
        <f ca="1">IFERROR(__xludf.DUMMYFUNCTION("""COMPUTED_VALUE"""),"Tompa Judit")</f>
        <v>Tompa Judit</v>
      </c>
      <c r="C1678" s="1"/>
      <c r="D1678" s="1" t="str">
        <f ca="1">IFERROR(__xludf.DUMMYFUNCTION("""COMPUTED_VALUE"""),"Nő")</f>
        <v>Nő</v>
      </c>
      <c r="E1678" s="1"/>
      <c r="F1678" s="1">
        <f ca="1">IFERROR(__xludf.DUMMYFUNCTION("""COMPUTED_VALUE"""),1977)</f>
        <v>1977</v>
      </c>
      <c r="G1678" s="1">
        <f ca="1">IFERROR(__xludf.DUMMYFUNCTION("""COMPUTED_VALUE"""),2444)</f>
        <v>2444</v>
      </c>
      <c r="H1678" s="1" t="str">
        <f ca="1">IFERROR(__xludf.DUMMYFUNCTION("""COMPUTED_VALUE"""),"MTLSZ002444A20")</f>
        <v>MTLSZ002444A20</v>
      </c>
      <c r="I1678" s="2">
        <f ca="1">IFERROR(__xludf.DUMMYFUNCTION("""COMPUTED_VALUE"""),44157)</f>
        <v>44157</v>
      </c>
      <c r="J1678" s="2">
        <f ca="1">IFERROR(__xludf.DUMMYFUNCTION("""COMPUTED_VALUE"""),44521)</f>
        <v>44521</v>
      </c>
    </row>
    <row r="1679" spans="1:10" x14ac:dyDescent="0.25">
      <c r="A1679" s="1" t="str">
        <f ca="1">IFERROR(__xludf.DUMMYFUNCTION("""COMPUTED_VALUE"""),"Főtaxi SC")</f>
        <v>Főtaxi SC</v>
      </c>
      <c r="B1679" s="1"/>
      <c r="C1679" s="1"/>
      <c r="D1679" s="1"/>
      <c r="E1679" s="1"/>
      <c r="F1679" s="1">
        <f ca="1">IFERROR(__xludf.DUMMYFUNCTION("""COMPUTED_VALUE"""),1899)</f>
        <v>1899</v>
      </c>
      <c r="G1679" s="1">
        <f ca="1">IFERROR(__xludf.DUMMYFUNCTION("""COMPUTED_VALUE"""),3823)</f>
        <v>3823</v>
      </c>
      <c r="H1679" s="1"/>
      <c r="I1679" s="2">
        <f ca="1">IFERROR(__xludf.DUMMYFUNCTION("""COMPUTED_VALUE"""),44157)</f>
        <v>44157</v>
      </c>
      <c r="J1679" s="2">
        <f ca="1">IFERROR(__xludf.DUMMYFUNCTION("""COMPUTED_VALUE"""),44521)</f>
        <v>44521</v>
      </c>
    </row>
    <row r="1680" spans="1:10" x14ac:dyDescent="0.25">
      <c r="A1680" s="1" t="str">
        <f ca="1">IFERROR(__xludf.DUMMYFUNCTION("""COMPUTED_VALUE"""),"Ludovika SE")</f>
        <v>Ludovika SE</v>
      </c>
      <c r="B1680" s="1" t="str">
        <f ca="1">IFERROR(__xludf.DUMMYFUNCTION("""COMPUTED_VALUE"""),"Csiszár Szilvia")</f>
        <v>Csiszár Szilvia</v>
      </c>
      <c r="C1680" s="1"/>
      <c r="D1680" s="1" t="str">
        <f ca="1">IFERROR(__xludf.DUMMYFUNCTION("""COMPUTED_VALUE"""),"Nő")</f>
        <v>Nő</v>
      </c>
      <c r="E1680" s="1"/>
      <c r="F1680" s="1">
        <f ca="1">IFERROR(__xludf.DUMMYFUNCTION("""COMPUTED_VALUE"""),1975)</f>
        <v>1975</v>
      </c>
      <c r="G1680" s="1">
        <f ca="1">IFERROR(__xludf.DUMMYFUNCTION("""COMPUTED_VALUE"""),3817)</f>
        <v>3817</v>
      </c>
      <c r="H1680" s="1" t="str">
        <f ca="1">IFERROR(__xludf.DUMMYFUNCTION("""COMPUTED_VALUE"""),"MTLSZ003817A20")</f>
        <v>MTLSZ003817A20</v>
      </c>
      <c r="I1680" s="2">
        <f ca="1">IFERROR(__xludf.DUMMYFUNCTION("""COMPUTED_VALUE"""),44157)</f>
        <v>44157</v>
      </c>
      <c r="J1680" s="2">
        <f ca="1">IFERROR(__xludf.DUMMYFUNCTION("""COMPUTED_VALUE"""),44521)</f>
        <v>44521</v>
      </c>
    </row>
    <row r="1681" spans="1:10" x14ac:dyDescent="0.25">
      <c r="A1681" s="1" t="str">
        <f ca="1">IFERROR(__xludf.DUMMYFUNCTION("""COMPUTED_VALUE"""),"Ludovika SE")</f>
        <v>Ludovika SE</v>
      </c>
      <c r="B1681" s="1" t="str">
        <f ca="1">IFERROR(__xludf.DUMMYFUNCTION("""COMPUTED_VALUE"""),"Hellinger Dániel")</f>
        <v>Hellinger Dániel</v>
      </c>
      <c r="C1681" s="1"/>
      <c r="D1681" s="1" t="str">
        <f ca="1">IFERROR(__xludf.DUMMYFUNCTION("""COMPUTED_VALUE"""),"Férfi")</f>
        <v>Férfi</v>
      </c>
      <c r="E1681" s="1"/>
      <c r="F1681" s="1">
        <f ca="1">IFERROR(__xludf.DUMMYFUNCTION("""COMPUTED_VALUE"""),2005)</f>
        <v>2005</v>
      </c>
      <c r="G1681" s="1">
        <f ca="1">IFERROR(__xludf.DUMMYFUNCTION("""COMPUTED_VALUE"""),3819)</f>
        <v>3819</v>
      </c>
      <c r="H1681" s="1" t="str">
        <f ca="1">IFERROR(__xludf.DUMMYFUNCTION("""COMPUTED_VALUE"""),"MTLSZ003819A20")</f>
        <v>MTLSZ003819A20</v>
      </c>
      <c r="I1681" s="2">
        <f ca="1">IFERROR(__xludf.DUMMYFUNCTION("""COMPUTED_VALUE"""),44157)</f>
        <v>44157</v>
      </c>
      <c r="J1681" s="2">
        <f ca="1">IFERROR(__xludf.DUMMYFUNCTION("""COMPUTED_VALUE"""),44521)</f>
        <v>44521</v>
      </c>
    </row>
    <row r="1682" spans="1:10" x14ac:dyDescent="0.25">
      <c r="A1682" s="1" t="str">
        <f ca="1">IFERROR(__xludf.DUMMYFUNCTION("""COMPUTED_VALUE"""),"Ludovika SE")</f>
        <v>Ludovika SE</v>
      </c>
      <c r="B1682" s="1" t="str">
        <f ca="1">IFERROR(__xludf.DUMMYFUNCTION("""COMPUTED_VALUE"""),"Rácz Krisztián")</f>
        <v>Rácz Krisztián</v>
      </c>
      <c r="C1682" s="1"/>
      <c r="D1682" s="1" t="str">
        <f ca="1">IFERROR(__xludf.DUMMYFUNCTION("""COMPUTED_VALUE"""),"Férfi")</f>
        <v>Férfi</v>
      </c>
      <c r="E1682" s="1"/>
      <c r="F1682" s="1">
        <f ca="1">IFERROR(__xludf.DUMMYFUNCTION("""COMPUTED_VALUE"""),1975)</f>
        <v>1975</v>
      </c>
      <c r="G1682" s="1">
        <f ca="1">IFERROR(__xludf.DUMMYFUNCTION("""COMPUTED_VALUE"""),3816)</f>
        <v>3816</v>
      </c>
      <c r="H1682" s="1" t="str">
        <f ca="1">IFERROR(__xludf.DUMMYFUNCTION("""COMPUTED_VALUE"""),"MTLSZ003816A20")</f>
        <v>MTLSZ003816A20</v>
      </c>
      <c r="I1682" s="2">
        <f ca="1">IFERROR(__xludf.DUMMYFUNCTION("""COMPUTED_VALUE"""),44157)</f>
        <v>44157</v>
      </c>
      <c r="J1682" s="2">
        <f ca="1">IFERROR(__xludf.DUMMYFUNCTION("""COMPUTED_VALUE"""),44521)</f>
        <v>44521</v>
      </c>
    </row>
    <row r="1683" spans="1:10" x14ac:dyDescent="0.25">
      <c r="A1683" s="1" t="str">
        <f ca="1">IFERROR(__xludf.DUMMYFUNCTION("""COMPUTED_VALUE"""),"Ludovika SE")</f>
        <v>Ludovika SE</v>
      </c>
      <c r="B1683" s="1" t="str">
        <f ca="1">IFERROR(__xludf.DUMMYFUNCTION("""COMPUTED_VALUE"""),"Varga Ildikó")</f>
        <v>Varga Ildikó</v>
      </c>
      <c r="C1683" s="1"/>
      <c r="D1683" s="1" t="str">
        <f ca="1">IFERROR(__xludf.DUMMYFUNCTION("""COMPUTED_VALUE"""),"Nő")</f>
        <v>Nő</v>
      </c>
      <c r="E1683" s="1"/>
      <c r="F1683" s="1">
        <f ca="1">IFERROR(__xludf.DUMMYFUNCTION("""COMPUTED_VALUE"""),1979)</f>
        <v>1979</v>
      </c>
      <c r="G1683" s="1">
        <f ca="1">IFERROR(__xludf.DUMMYFUNCTION("""COMPUTED_VALUE"""),3818)</f>
        <v>3818</v>
      </c>
      <c r="H1683" s="1" t="str">
        <f ca="1">IFERROR(__xludf.DUMMYFUNCTION("""COMPUTED_VALUE"""),"MTLSZ003818A20")</f>
        <v>MTLSZ003818A20</v>
      </c>
      <c r="I1683" s="2">
        <f ca="1">IFERROR(__xludf.DUMMYFUNCTION("""COMPUTED_VALUE"""),44157)</f>
        <v>44157</v>
      </c>
      <c r="J1683" s="2">
        <f ca="1">IFERROR(__xludf.DUMMYFUNCTION("""COMPUTED_VALUE"""),44521)</f>
        <v>44521</v>
      </c>
    </row>
    <row r="1684" spans="1:10" x14ac:dyDescent="0.25">
      <c r="A1684" s="1" t="str">
        <f ca="1">IFERROR(__xludf.DUMMYFUNCTION("""COMPUTED_VALUE"""),"Tisza TSE")</f>
        <v>Tisza TSE</v>
      </c>
      <c r="B1684" s="1" t="str">
        <f ca="1">IFERROR(__xludf.DUMMYFUNCTION("""COMPUTED_VALUE"""),"Annus Zoltán")</f>
        <v>Annus Zoltán</v>
      </c>
      <c r="C1684" s="1"/>
      <c r="D1684" s="1" t="str">
        <f ca="1">IFERROR(__xludf.DUMMYFUNCTION("""COMPUTED_VALUE"""),"Férfi")</f>
        <v>Férfi</v>
      </c>
      <c r="E1684" s="1"/>
      <c r="F1684" s="1">
        <f ca="1">IFERROR(__xludf.DUMMYFUNCTION("""COMPUTED_VALUE"""),1971)</f>
        <v>1971</v>
      </c>
      <c r="G1684" s="1">
        <f ca="1">IFERROR(__xludf.DUMMYFUNCTION("""COMPUTED_VALUE"""),3769)</f>
        <v>3769</v>
      </c>
      <c r="H1684" s="1" t="str">
        <f ca="1">IFERROR(__xludf.DUMMYFUNCTION("""COMPUTED_VALUE"""),"MTLSZ003769A20")</f>
        <v>MTLSZ003769A20</v>
      </c>
      <c r="I1684" s="2">
        <f ca="1">IFERROR(__xludf.DUMMYFUNCTION("""COMPUTED_VALUE"""),44157)</f>
        <v>44157</v>
      </c>
      <c r="J1684" s="2">
        <f ca="1">IFERROR(__xludf.DUMMYFUNCTION("""COMPUTED_VALUE"""),44521)</f>
        <v>44521</v>
      </c>
    </row>
    <row r="1685" spans="1:10" x14ac:dyDescent="0.25">
      <c r="A1685" s="1" t="str">
        <f ca="1">IFERROR(__xludf.DUMMYFUNCTION("""COMPUTED_VALUE"""),"Tisza TSE")</f>
        <v>Tisza TSE</v>
      </c>
      <c r="B1685" s="1" t="str">
        <f ca="1">IFERROR(__xludf.DUMMYFUNCTION("""COMPUTED_VALUE"""),"Annusné Takács Mónika")</f>
        <v>Annusné Takács Mónika</v>
      </c>
      <c r="C1685" s="1"/>
      <c r="D1685" s="1" t="str">
        <f ca="1">IFERROR(__xludf.DUMMYFUNCTION("""COMPUTED_VALUE"""),"Nő")</f>
        <v>Nő</v>
      </c>
      <c r="E1685" s="1"/>
      <c r="F1685" s="1">
        <f ca="1">IFERROR(__xludf.DUMMYFUNCTION("""COMPUTED_VALUE"""),1974)</f>
        <v>1974</v>
      </c>
      <c r="G1685" s="1">
        <f ca="1">IFERROR(__xludf.DUMMYFUNCTION("""COMPUTED_VALUE"""),3772)</f>
        <v>3772</v>
      </c>
      <c r="H1685" s="1" t="str">
        <f ca="1">IFERROR(__xludf.DUMMYFUNCTION("""COMPUTED_VALUE"""),"MTLSZ003772A20")</f>
        <v>MTLSZ003772A20</v>
      </c>
      <c r="I1685" s="2">
        <f ca="1">IFERROR(__xludf.DUMMYFUNCTION("""COMPUTED_VALUE"""),44157)</f>
        <v>44157</v>
      </c>
      <c r="J1685" s="2">
        <f ca="1">IFERROR(__xludf.DUMMYFUNCTION("""COMPUTED_VALUE"""),44521)</f>
        <v>44521</v>
      </c>
    </row>
    <row r="1686" spans="1:10" x14ac:dyDescent="0.25">
      <c r="A1686" s="1" t="str">
        <f ca="1">IFERROR(__xludf.DUMMYFUNCTION("""COMPUTED_VALUE"""),"Tisza TSE")</f>
        <v>Tisza TSE</v>
      </c>
      <c r="B1686" s="1" t="str">
        <f ca="1">IFERROR(__xludf.DUMMYFUNCTION("""COMPUTED_VALUE"""),"Bálint Máté")</f>
        <v>Bálint Máté</v>
      </c>
      <c r="C1686" s="1"/>
      <c r="D1686" s="1" t="str">
        <f ca="1">IFERROR(__xludf.DUMMYFUNCTION("""COMPUTED_VALUE"""),"Férfi")</f>
        <v>Férfi</v>
      </c>
      <c r="E1686" s="1"/>
      <c r="F1686" s="1">
        <f ca="1">IFERROR(__xludf.DUMMYFUNCTION("""COMPUTED_VALUE"""),2000)</f>
        <v>2000</v>
      </c>
      <c r="G1686" s="1">
        <f ca="1">IFERROR(__xludf.DUMMYFUNCTION("""COMPUTED_VALUE"""),2373)</f>
        <v>2373</v>
      </c>
      <c r="H1686" s="1" t="str">
        <f ca="1">IFERROR(__xludf.DUMMYFUNCTION("""COMPUTED_VALUE"""),"MTLSZ002373A20")</f>
        <v>MTLSZ002373A20</v>
      </c>
      <c r="I1686" s="2">
        <f ca="1">IFERROR(__xludf.DUMMYFUNCTION("""COMPUTED_VALUE"""),44157)</f>
        <v>44157</v>
      </c>
      <c r="J1686" s="2">
        <f ca="1">IFERROR(__xludf.DUMMYFUNCTION("""COMPUTED_VALUE"""),44521)</f>
        <v>44521</v>
      </c>
    </row>
    <row r="1687" spans="1:10" x14ac:dyDescent="0.25">
      <c r="A1687" s="1" t="str">
        <f ca="1">IFERROR(__xludf.DUMMYFUNCTION("""COMPUTED_VALUE"""),"Tisza TSE")</f>
        <v>Tisza TSE</v>
      </c>
      <c r="B1687" s="1" t="str">
        <f ca="1">IFERROR(__xludf.DUMMYFUNCTION("""COMPUTED_VALUE"""),"Dehény Tünde")</f>
        <v>Dehény Tünde</v>
      </c>
      <c r="C1687" s="1"/>
      <c r="D1687" s="1" t="str">
        <f ca="1">IFERROR(__xludf.DUMMYFUNCTION("""COMPUTED_VALUE"""),"Nő")</f>
        <v>Nő</v>
      </c>
      <c r="E1687" s="1"/>
      <c r="F1687" s="1">
        <f ca="1">IFERROR(__xludf.DUMMYFUNCTION("""COMPUTED_VALUE"""),1966)</f>
        <v>1966</v>
      </c>
      <c r="G1687" s="1">
        <f ca="1">IFERROR(__xludf.DUMMYFUNCTION("""COMPUTED_VALUE"""),3753)</f>
        <v>3753</v>
      </c>
      <c r="H1687" s="1" t="str">
        <f ca="1">IFERROR(__xludf.DUMMYFUNCTION("""COMPUTED_VALUE"""),"MTLSZ003753A20")</f>
        <v>MTLSZ003753A20</v>
      </c>
      <c r="I1687" s="2">
        <f ca="1">IFERROR(__xludf.DUMMYFUNCTION("""COMPUTED_VALUE"""),44157)</f>
        <v>44157</v>
      </c>
      <c r="J1687" s="2">
        <f ca="1">IFERROR(__xludf.DUMMYFUNCTION("""COMPUTED_VALUE"""),44521)</f>
        <v>44521</v>
      </c>
    </row>
    <row r="1688" spans="1:10" x14ac:dyDescent="0.25">
      <c r="A1688" s="1" t="str">
        <f ca="1">IFERROR(__xludf.DUMMYFUNCTION("""COMPUTED_VALUE"""),"Tisza TSE")</f>
        <v>Tisza TSE</v>
      </c>
      <c r="B1688" s="1" t="str">
        <f ca="1">IFERROR(__xludf.DUMMYFUNCTION("""COMPUTED_VALUE"""),"Farkas Csaba")</f>
        <v>Farkas Csaba</v>
      </c>
      <c r="C1688" s="1"/>
      <c r="D1688" s="1" t="str">
        <f ca="1">IFERROR(__xludf.DUMMYFUNCTION("""COMPUTED_VALUE"""),"Férfi")</f>
        <v>Férfi</v>
      </c>
      <c r="E1688" s="1"/>
      <c r="F1688" s="1">
        <f ca="1">IFERROR(__xludf.DUMMYFUNCTION("""COMPUTED_VALUE"""),1975)</f>
        <v>1975</v>
      </c>
      <c r="G1688" s="1">
        <f ca="1">IFERROR(__xludf.DUMMYFUNCTION("""COMPUTED_VALUE"""),3761)</f>
        <v>3761</v>
      </c>
      <c r="H1688" s="1" t="str">
        <f ca="1">IFERROR(__xludf.DUMMYFUNCTION("""COMPUTED_VALUE"""),"MTLSZ003761A20")</f>
        <v>MTLSZ003761A20</v>
      </c>
      <c r="I1688" s="2">
        <f ca="1">IFERROR(__xludf.DUMMYFUNCTION("""COMPUTED_VALUE"""),44157)</f>
        <v>44157</v>
      </c>
      <c r="J1688" s="2">
        <f ca="1">IFERROR(__xludf.DUMMYFUNCTION("""COMPUTED_VALUE"""),44521)</f>
        <v>44521</v>
      </c>
    </row>
    <row r="1689" spans="1:10" x14ac:dyDescent="0.25">
      <c r="A1689" s="1" t="str">
        <f ca="1">IFERROR(__xludf.DUMMYFUNCTION("""COMPUTED_VALUE"""),"Tisza TSE")</f>
        <v>Tisza TSE</v>
      </c>
      <c r="B1689" s="1" t="str">
        <f ca="1">IFERROR(__xludf.DUMMYFUNCTION("""COMPUTED_VALUE"""),"Farkasné Joszt Tünde")</f>
        <v>Farkasné Joszt Tünde</v>
      </c>
      <c r="C1689" s="1"/>
      <c r="D1689" s="1" t="str">
        <f ca="1">IFERROR(__xludf.DUMMYFUNCTION("""COMPUTED_VALUE"""),"Nő")</f>
        <v>Nő</v>
      </c>
      <c r="E1689" s="1"/>
      <c r="F1689" s="1">
        <f ca="1">IFERROR(__xludf.DUMMYFUNCTION("""COMPUTED_VALUE"""),1973)</f>
        <v>1973</v>
      </c>
      <c r="G1689" s="1">
        <f ca="1">IFERROR(__xludf.DUMMYFUNCTION("""COMPUTED_VALUE"""),3760)</f>
        <v>3760</v>
      </c>
      <c r="H1689" s="1" t="str">
        <f ca="1">IFERROR(__xludf.DUMMYFUNCTION("""COMPUTED_VALUE"""),"MTLSZ003760A20")</f>
        <v>MTLSZ003760A20</v>
      </c>
      <c r="I1689" s="2">
        <f ca="1">IFERROR(__xludf.DUMMYFUNCTION("""COMPUTED_VALUE"""),44157)</f>
        <v>44157</v>
      </c>
      <c r="J1689" s="2">
        <f ca="1">IFERROR(__xludf.DUMMYFUNCTION("""COMPUTED_VALUE"""),44521)</f>
        <v>44521</v>
      </c>
    </row>
    <row r="1690" spans="1:10" x14ac:dyDescent="0.25">
      <c r="A1690" s="1" t="str">
        <f ca="1">IFERROR(__xludf.DUMMYFUNCTION("""COMPUTED_VALUE"""),"Tisza TSE")</f>
        <v>Tisza TSE</v>
      </c>
      <c r="B1690" s="1" t="str">
        <f ca="1">IFERROR(__xludf.DUMMYFUNCTION("""COMPUTED_VALUE"""),"Fejős Ferenc")</f>
        <v>Fejős Ferenc</v>
      </c>
      <c r="C1690" s="1"/>
      <c r="D1690" s="1" t="str">
        <f ca="1">IFERROR(__xludf.DUMMYFUNCTION("""COMPUTED_VALUE"""),"Férfi")</f>
        <v>Férfi</v>
      </c>
      <c r="E1690" s="1"/>
      <c r="F1690" s="1">
        <f ca="1">IFERROR(__xludf.DUMMYFUNCTION("""COMPUTED_VALUE"""),1969)</f>
        <v>1969</v>
      </c>
      <c r="G1690" s="1">
        <f ca="1">IFERROR(__xludf.DUMMYFUNCTION("""COMPUTED_VALUE"""),3757)</f>
        <v>3757</v>
      </c>
      <c r="H1690" s="1" t="str">
        <f ca="1">IFERROR(__xludf.DUMMYFUNCTION("""COMPUTED_VALUE"""),"MTLSZ003757A20")</f>
        <v>MTLSZ003757A20</v>
      </c>
      <c r="I1690" s="2">
        <f ca="1">IFERROR(__xludf.DUMMYFUNCTION("""COMPUTED_VALUE"""),44157)</f>
        <v>44157</v>
      </c>
      <c r="J1690" s="2">
        <f ca="1">IFERROR(__xludf.DUMMYFUNCTION("""COMPUTED_VALUE"""),44521)</f>
        <v>44521</v>
      </c>
    </row>
    <row r="1691" spans="1:10" x14ac:dyDescent="0.25">
      <c r="A1691" s="1" t="str">
        <f ca="1">IFERROR(__xludf.DUMMYFUNCTION("""COMPUTED_VALUE"""),"Tisza TSE")</f>
        <v>Tisza TSE</v>
      </c>
      <c r="B1691" s="1" t="str">
        <f ca="1">IFERROR(__xludf.DUMMYFUNCTION("""COMPUTED_VALUE"""),"Földi Zsolt")</f>
        <v>Földi Zsolt</v>
      </c>
      <c r="C1691" s="1"/>
      <c r="D1691" s="1" t="str">
        <f ca="1">IFERROR(__xludf.DUMMYFUNCTION("""COMPUTED_VALUE"""),"Férfi")</f>
        <v>Férfi</v>
      </c>
      <c r="E1691" s="1"/>
      <c r="F1691" s="1">
        <f ca="1">IFERROR(__xludf.DUMMYFUNCTION("""COMPUTED_VALUE"""),1973)</f>
        <v>1973</v>
      </c>
      <c r="G1691" s="1">
        <f ca="1">IFERROR(__xludf.DUMMYFUNCTION("""COMPUTED_VALUE"""),3756)</f>
        <v>3756</v>
      </c>
      <c r="H1691" s="1" t="str">
        <f ca="1">IFERROR(__xludf.DUMMYFUNCTION("""COMPUTED_VALUE"""),"MTLSZ003756A20")</f>
        <v>MTLSZ003756A20</v>
      </c>
      <c r="I1691" s="2">
        <f ca="1">IFERROR(__xludf.DUMMYFUNCTION("""COMPUTED_VALUE"""),44157)</f>
        <v>44157</v>
      </c>
      <c r="J1691" s="2">
        <f ca="1">IFERROR(__xludf.DUMMYFUNCTION("""COMPUTED_VALUE"""),44521)</f>
        <v>44521</v>
      </c>
    </row>
    <row r="1692" spans="1:10" x14ac:dyDescent="0.25">
      <c r="A1692" s="1" t="str">
        <f ca="1">IFERROR(__xludf.DUMMYFUNCTION("""COMPUTED_VALUE"""),"Tisza TSE")</f>
        <v>Tisza TSE</v>
      </c>
      <c r="B1692" s="1" t="str">
        <f ca="1">IFERROR(__xludf.DUMMYFUNCTION("""COMPUTED_VALUE"""),"Godó Ferenc")</f>
        <v>Godó Ferenc</v>
      </c>
      <c r="C1692" s="1"/>
      <c r="D1692" s="1" t="str">
        <f ca="1">IFERROR(__xludf.DUMMYFUNCTION("""COMPUTED_VALUE"""),"Férfi")</f>
        <v>Férfi</v>
      </c>
      <c r="E1692" s="1"/>
      <c r="F1692" s="1">
        <f ca="1">IFERROR(__xludf.DUMMYFUNCTION("""COMPUTED_VALUE"""),1969)</f>
        <v>1969</v>
      </c>
      <c r="G1692" s="1">
        <f ca="1">IFERROR(__xludf.DUMMYFUNCTION("""COMPUTED_VALUE"""),3783)</f>
        <v>3783</v>
      </c>
      <c r="H1692" s="1" t="str">
        <f ca="1">IFERROR(__xludf.DUMMYFUNCTION("""COMPUTED_VALUE"""),"MTLSZ003783A20")</f>
        <v>MTLSZ003783A20</v>
      </c>
      <c r="I1692" s="2">
        <f ca="1">IFERROR(__xludf.DUMMYFUNCTION("""COMPUTED_VALUE"""),44157)</f>
        <v>44157</v>
      </c>
      <c r="J1692" s="2">
        <f ca="1">IFERROR(__xludf.DUMMYFUNCTION("""COMPUTED_VALUE"""),44521)</f>
        <v>44521</v>
      </c>
    </row>
    <row r="1693" spans="1:10" x14ac:dyDescent="0.25">
      <c r="A1693" s="1" t="str">
        <f ca="1">IFERROR(__xludf.DUMMYFUNCTION("""COMPUTED_VALUE"""),"Tisza TSE")</f>
        <v>Tisza TSE</v>
      </c>
      <c r="B1693" s="1" t="str">
        <f ca="1">IFERROR(__xludf.DUMMYFUNCTION("""COMPUTED_VALUE"""),"Hasznosi Zsolt")</f>
        <v>Hasznosi Zsolt</v>
      </c>
      <c r="C1693" s="1"/>
      <c r="D1693" s="1" t="str">
        <f ca="1">IFERROR(__xludf.DUMMYFUNCTION("""COMPUTED_VALUE"""),"Férfi")</f>
        <v>Férfi</v>
      </c>
      <c r="E1693" s="1"/>
      <c r="F1693" s="1">
        <f ca="1">IFERROR(__xludf.DUMMYFUNCTION("""COMPUTED_VALUE"""),1967)</f>
        <v>1967</v>
      </c>
      <c r="G1693" s="1">
        <f ca="1">IFERROR(__xludf.DUMMYFUNCTION("""COMPUTED_VALUE"""),3775)</f>
        <v>3775</v>
      </c>
      <c r="H1693" s="1" t="str">
        <f ca="1">IFERROR(__xludf.DUMMYFUNCTION("""COMPUTED_VALUE"""),"MTLSZ003775A20")</f>
        <v>MTLSZ003775A20</v>
      </c>
      <c r="I1693" s="2">
        <f ca="1">IFERROR(__xludf.DUMMYFUNCTION("""COMPUTED_VALUE"""),44157)</f>
        <v>44157</v>
      </c>
      <c r="J1693" s="2">
        <f ca="1">IFERROR(__xludf.DUMMYFUNCTION("""COMPUTED_VALUE"""),44521)</f>
        <v>44521</v>
      </c>
    </row>
    <row r="1694" spans="1:10" x14ac:dyDescent="0.25">
      <c r="A1694" s="1" t="str">
        <f ca="1">IFERROR(__xludf.DUMMYFUNCTION("""COMPUTED_VALUE"""),"Tisza TSE")</f>
        <v>Tisza TSE</v>
      </c>
      <c r="B1694" s="1" t="str">
        <f ca="1">IFERROR(__xludf.DUMMYFUNCTION("""COMPUTED_VALUE"""),"Hasznosiné Szécsi Klára")</f>
        <v>Hasznosiné Szécsi Klára</v>
      </c>
      <c r="C1694" s="1"/>
      <c r="D1694" s="1" t="str">
        <f ca="1">IFERROR(__xludf.DUMMYFUNCTION("""COMPUTED_VALUE"""),"Nő")</f>
        <v>Nő</v>
      </c>
      <c r="E1694" s="1"/>
      <c r="F1694" s="1">
        <f ca="1">IFERROR(__xludf.DUMMYFUNCTION("""COMPUTED_VALUE"""),1965)</f>
        <v>1965</v>
      </c>
      <c r="G1694" s="1">
        <f ca="1">IFERROR(__xludf.DUMMYFUNCTION("""COMPUTED_VALUE"""),3773)</f>
        <v>3773</v>
      </c>
      <c r="H1694" s="1" t="str">
        <f ca="1">IFERROR(__xludf.DUMMYFUNCTION("""COMPUTED_VALUE"""),"MTLSZ003773A20")</f>
        <v>MTLSZ003773A20</v>
      </c>
      <c r="I1694" s="2">
        <f ca="1">IFERROR(__xludf.DUMMYFUNCTION("""COMPUTED_VALUE"""),44157)</f>
        <v>44157</v>
      </c>
      <c r="J1694" s="2">
        <f ca="1">IFERROR(__xludf.DUMMYFUNCTION("""COMPUTED_VALUE"""),44521)</f>
        <v>44521</v>
      </c>
    </row>
    <row r="1695" spans="1:10" x14ac:dyDescent="0.25">
      <c r="A1695" s="1" t="str">
        <f ca="1">IFERROR(__xludf.DUMMYFUNCTION("""COMPUTED_VALUE"""),"Tisza TSE")</f>
        <v>Tisza TSE</v>
      </c>
      <c r="B1695" s="1" t="str">
        <f ca="1">IFERROR(__xludf.DUMMYFUNCTION("""COMPUTED_VALUE"""),"Horvát Miklós")</f>
        <v>Horvát Miklós</v>
      </c>
      <c r="C1695" s="1"/>
      <c r="D1695" s="1" t="str">
        <f ca="1">IFERROR(__xludf.DUMMYFUNCTION("""COMPUTED_VALUE"""),"Férfi")</f>
        <v>Férfi</v>
      </c>
      <c r="E1695" s="1"/>
      <c r="F1695" s="1">
        <f ca="1">IFERROR(__xludf.DUMMYFUNCTION("""COMPUTED_VALUE"""),1970)</f>
        <v>1970</v>
      </c>
      <c r="G1695" s="1">
        <f ca="1">IFERROR(__xludf.DUMMYFUNCTION("""COMPUTED_VALUE"""),3752)</f>
        <v>3752</v>
      </c>
      <c r="H1695" s="1" t="str">
        <f ca="1">IFERROR(__xludf.DUMMYFUNCTION("""COMPUTED_VALUE"""),"MTLSZ003752A20")</f>
        <v>MTLSZ003752A20</v>
      </c>
      <c r="I1695" s="2">
        <f ca="1">IFERROR(__xludf.DUMMYFUNCTION("""COMPUTED_VALUE"""),44157)</f>
        <v>44157</v>
      </c>
      <c r="J1695" s="2">
        <f ca="1">IFERROR(__xludf.DUMMYFUNCTION("""COMPUTED_VALUE"""),44521)</f>
        <v>44521</v>
      </c>
    </row>
    <row r="1696" spans="1:10" x14ac:dyDescent="0.25">
      <c r="A1696" s="1" t="str">
        <f ca="1">IFERROR(__xludf.DUMMYFUNCTION("""COMPUTED_VALUE"""),"Tisza TSE")</f>
        <v>Tisza TSE</v>
      </c>
      <c r="B1696" s="1" t="str">
        <f ca="1">IFERROR(__xludf.DUMMYFUNCTION("""COMPUTED_VALUE"""),"Horváth Gábor")</f>
        <v>Horváth Gábor</v>
      </c>
      <c r="C1696" s="1"/>
      <c r="D1696" s="1" t="str">
        <f ca="1">IFERROR(__xludf.DUMMYFUNCTION("""COMPUTED_VALUE"""),"Férfi")</f>
        <v>Férfi</v>
      </c>
      <c r="E1696" s="1"/>
      <c r="F1696" s="1">
        <f ca="1">IFERROR(__xludf.DUMMYFUNCTION("""COMPUTED_VALUE"""),1968)</f>
        <v>1968</v>
      </c>
      <c r="G1696" s="1">
        <f ca="1">IFERROR(__xludf.DUMMYFUNCTION("""COMPUTED_VALUE"""),3778)</f>
        <v>3778</v>
      </c>
      <c r="H1696" s="1" t="str">
        <f ca="1">IFERROR(__xludf.DUMMYFUNCTION("""COMPUTED_VALUE"""),"MTLSZ003778A20")</f>
        <v>MTLSZ003778A20</v>
      </c>
      <c r="I1696" s="2">
        <f ca="1">IFERROR(__xludf.DUMMYFUNCTION("""COMPUTED_VALUE"""),44157)</f>
        <v>44157</v>
      </c>
      <c r="J1696" s="2">
        <f ca="1">IFERROR(__xludf.DUMMYFUNCTION("""COMPUTED_VALUE"""),44521)</f>
        <v>44521</v>
      </c>
    </row>
    <row r="1697" spans="1:10" x14ac:dyDescent="0.25">
      <c r="A1697" s="1" t="str">
        <f ca="1">IFERROR(__xludf.DUMMYFUNCTION("""COMPUTED_VALUE"""),"Tisza TSE")</f>
        <v>Tisza TSE</v>
      </c>
      <c r="B1697" s="1" t="str">
        <f ca="1">IFERROR(__xludf.DUMMYFUNCTION("""COMPUTED_VALUE"""),"Jakab Gusztáv")</f>
        <v>Jakab Gusztáv</v>
      </c>
      <c r="C1697" s="1"/>
      <c r="D1697" s="1" t="str">
        <f ca="1">IFERROR(__xludf.DUMMYFUNCTION("""COMPUTED_VALUE"""),"Férfi")</f>
        <v>Férfi</v>
      </c>
      <c r="E1697" s="1"/>
      <c r="F1697" s="1">
        <f ca="1">IFERROR(__xludf.DUMMYFUNCTION("""COMPUTED_VALUE"""),1973)</f>
        <v>1973</v>
      </c>
      <c r="G1697" s="1">
        <f ca="1">IFERROR(__xludf.DUMMYFUNCTION("""COMPUTED_VALUE"""),3755)</f>
        <v>3755</v>
      </c>
      <c r="H1697" s="1" t="str">
        <f ca="1">IFERROR(__xludf.DUMMYFUNCTION("""COMPUTED_VALUE"""),"MTLSZ003755A20")</f>
        <v>MTLSZ003755A20</v>
      </c>
      <c r="I1697" s="2">
        <f ca="1">IFERROR(__xludf.DUMMYFUNCTION("""COMPUTED_VALUE"""),44157)</f>
        <v>44157</v>
      </c>
      <c r="J1697" s="2">
        <f ca="1">IFERROR(__xludf.DUMMYFUNCTION("""COMPUTED_VALUE"""),44521)</f>
        <v>44521</v>
      </c>
    </row>
    <row r="1698" spans="1:10" x14ac:dyDescent="0.25">
      <c r="A1698" s="1" t="str">
        <f ca="1">IFERROR(__xludf.DUMMYFUNCTION("""COMPUTED_VALUE"""),"Tisza TSE")</f>
        <v>Tisza TSE</v>
      </c>
      <c r="B1698" s="1" t="str">
        <f ca="1">IFERROR(__xludf.DUMMYFUNCTION("""COMPUTED_VALUE"""),"Kéri János")</f>
        <v>Kéri János</v>
      </c>
      <c r="C1698" s="1"/>
      <c r="D1698" s="1" t="str">
        <f ca="1">IFERROR(__xludf.DUMMYFUNCTION("""COMPUTED_VALUE"""),"Férfi")</f>
        <v>Férfi</v>
      </c>
      <c r="E1698" s="1"/>
      <c r="F1698" s="1">
        <f ca="1">IFERROR(__xludf.DUMMYFUNCTION("""COMPUTED_VALUE"""),1976)</f>
        <v>1976</v>
      </c>
      <c r="G1698" s="1">
        <f ca="1">IFERROR(__xludf.DUMMYFUNCTION("""COMPUTED_VALUE"""),3777)</f>
        <v>3777</v>
      </c>
      <c r="H1698" s="1" t="str">
        <f ca="1">IFERROR(__xludf.DUMMYFUNCTION("""COMPUTED_VALUE"""),"MTLSZ003777A20")</f>
        <v>MTLSZ003777A20</v>
      </c>
      <c r="I1698" s="2">
        <f ca="1">IFERROR(__xludf.DUMMYFUNCTION("""COMPUTED_VALUE"""),44157)</f>
        <v>44157</v>
      </c>
      <c r="J1698" s="2">
        <f ca="1">IFERROR(__xludf.DUMMYFUNCTION("""COMPUTED_VALUE"""),44521)</f>
        <v>44521</v>
      </c>
    </row>
    <row r="1699" spans="1:10" x14ac:dyDescent="0.25">
      <c r="A1699" s="1" t="str">
        <f ca="1">IFERROR(__xludf.DUMMYFUNCTION("""COMPUTED_VALUE"""),"Tisza TSE")</f>
        <v>Tisza TSE</v>
      </c>
      <c r="B1699" s="1" t="str">
        <f ca="1">IFERROR(__xludf.DUMMYFUNCTION("""COMPUTED_VALUE"""),"Kohányi Béla")</f>
        <v>Kohányi Béla</v>
      </c>
      <c r="C1699" s="1"/>
      <c r="D1699" s="1" t="str">
        <f ca="1">IFERROR(__xludf.DUMMYFUNCTION("""COMPUTED_VALUE"""),"Férfi")</f>
        <v>Férfi</v>
      </c>
      <c r="E1699" s="1"/>
      <c r="F1699" s="1">
        <f ca="1">IFERROR(__xludf.DUMMYFUNCTION("""COMPUTED_VALUE"""),1970)</f>
        <v>1970</v>
      </c>
      <c r="G1699" s="1">
        <f ca="1">IFERROR(__xludf.DUMMYFUNCTION("""COMPUTED_VALUE"""),3776)</f>
        <v>3776</v>
      </c>
      <c r="H1699" s="1" t="str">
        <f ca="1">IFERROR(__xludf.DUMMYFUNCTION("""COMPUTED_VALUE"""),"MTLSZ003776A20")</f>
        <v>MTLSZ003776A20</v>
      </c>
      <c r="I1699" s="2">
        <f ca="1">IFERROR(__xludf.DUMMYFUNCTION("""COMPUTED_VALUE"""),44157)</f>
        <v>44157</v>
      </c>
      <c r="J1699" s="2">
        <f ca="1">IFERROR(__xludf.DUMMYFUNCTION("""COMPUTED_VALUE"""),44521)</f>
        <v>44521</v>
      </c>
    </row>
    <row r="1700" spans="1:10" x14ac:dyDescent="0.25">
      <c r="A1700" s="1" t="str">
        <f ca="1">IFERROR(__xludf.DUMMYFUNCTION("""COMPUTED_VALUE"""),"Tisza TSE")</f>
        <v>Tisza TSE</v>
      </c>
      <c r="B1700" s="1" t="str">
        <f ca="1">IFERROR(__xludf.DUMMYFUNCTION("""COMPUTED_VALUE"""),"Koszó Eszter")</f>
        <v>Koszó Eszter</v>
      </c>
      <c r="C1700" s="1"/>
      <c r="D1700" s="1" t="str">
        <f ca="1">IFERROR(__xludf.DUMMYFUNCTION("""COMPUTED_VALUE"""),"Nő")</f>
        <v>Nő</v>
      </c>
      <c r="E1700" s="1"/>
      <c r="F1700" s="1">
        <f ca="1">IFERROR(__xludf.DUMMYFUNCTION("""COMPUTED_VALUE"""),1986)</f>
        <v>1986</v>
      </c>
      <c r="G1700" s="1">
        <f ca="1">IFERROR(__xludf.DUMMYFUNCTION("""COMPUTED_VALUE"""),3762)</f>
        <v>3762</v>
      </c>
      <c r="H1700" s="1" t="str">
        <f ca="1">IFERROR(__xludf.DUMMYFUNCTION("""COMPUTED_VALUE"""),"MTLSZ003762A20")</f>
        <v>MTLSZ003762A20</v>
      </c>
      <c r="I1700" s="2">
        <f ca="1">IFERROR(__xludf.DUMMYFUNCTION("""COMPUTED_VALUE"""),44157)</f>
        <v>44157</v>
      </c>
      <c r="J1700" s="2">
        <f ca="1">IFERROR(__xludf.DUMMYFUNCTION("""COMPUTED_VALUE"""),44521)</f>
        <v>44521</v>
      </c>
    </row>
    <row r="1701" spans="1:10" x14ac:dyDescent="0.25">
      <c r="A1701" s="1" t="str">
        <f ca="1">IFERROR(__xludf.DUMMYFUNCTION("""COMPUTED_VALUE"""),"Tisza TSE")</f>
        <v>Tisza TSE</v>
      </c>
      <c r="B1701" s="1" t="str">
        <f ca="1">IFERROR(__xludf.DUMMYFUNCTION("""COMPUTED_VALUE"""),"Kuti Rita")</f>
        <v>Kuti Rita</v>
      </c>
      <c r="C1701" s="1"/>
      <c r="D1701" s="1" t="str">
        <f ca="1">IFERROR(__xludf.DUMMYFUNCTION("""COMPUTED_VALUE"""),"Nő")</f>
        <v>Nő</v>
      </c>
      <c r="E1701" s="1"/>
      <c r="F1701" s="1">
        <f ca="1">IFERROR(__xludf.DUMMYFUNCTION("""COMPUTED_VALUE"""),1973)</f>
        <v>1973</v>
      </c>
      <c r="G1701" s="1">
        <f ca="1">IFERROR(__xludf.DUMMYFUNCTION("""COMPUTED_VALUE"""),3754)</f>
        <v>3754</v>
      </c>
      <c r="H1701" s="1" t="str">
        <f ca="1">IFERROR(__xludf.DUMMYFUNCTION("""COMPUTED_VALUE"""),"MTLSZ003754A20")</f>
        <v>MTLSZ003754A20</v>
      </c>
      <c r="I1701" s="2">
        <f ca="1">IFERROR(__xludf.DUMMYFUNCTION("""COMPUTED_VALUE"""),44157)</f>
        <v>44157</v>
      </c>
      <c r="J1701" s="2">
        <f ca="1">IFERROR(__xludf.DUMMYFUNCTION("""COMPUTED_VALUE"""),44521)</f>
        <v>44521</v>
      </c>
    </row>
    <row r="1702" spans="1:10" x14ac:dyDescent="0.25">
      <c r="A1702" s="1" t="str">
        <f ca="1">IFERROR(__xludf.DUMMYFUNCTION("""COMPUTED_VALUE"""),"Tisza TSE")</f>
        <v>Tisza TSE</v>
      </c>
      <c r="B1702" s="1" t="str">
        <f ca="1">IFERROR(__xludf.DUMMYFUNCTION("""COMPUTED_VALUE"""),"Lehegyi Zsolt Dr.")</f>
        <v>Lehegyi Zsolt Dr.</v>
      </c>
      <c r="C1702" s="1"/>
      <c r="D1702" s="1" t="str">
        <f ca="1">IFERROR(__xludf.DUMMYFUNCTION("""COMPUTED_VALUE"""),"Férfi")</f>
        <v>Férfi</v>
      </c>
      <c r="E1702" s="1"/>
      <c r="F1702" s="1">
        <f ca="1">IFERROR(__xludf.DUMMYFUNCTION("""COMPUTED_VALUE"""),1970)</f>
        <v>1970</v>
      </c>
      <c r="G1702" s="1">
        <f ca="1">IFERROR(__xludf.DUMMYFUNCTION("""COMPUTED_VALUE"""),3765)</f>
        <v>3765</v>
      </c>
      <c r="H1702" s="1" t="str">
        <f ca="1">IFERROR(__xludf.DUMMYFUNCTION("""COMPUTED_VALUE"""),"MTLSZ003765A20")</f>
        <v>MTLSZ003765A20</v>
      </c>
      <c r="I1702" s="2">
        <f ca="1">IFERROR(__xludf.DUMMYFUNCTION("""COMPUTED_VALUE"""),44157)</f>
        <v>44157</v>
      </c>
      <c r="J1702" s="2">
        <f ca="1">IFERROR(__xludf.DUMMYFUNCTION("""COMPUTED_VALUE"""),44521)</f>
        <v>44521</v>
      </c>
    </row>
    <row r="1703" spans="1:10" x14ac:dyDescent="0.25">
      <c r="A1703" s="1" t="str">
        <f ca="1">IFERROR(__xludf.DUMMYFUNCTION("""COMPUTED_VALUE"""),"Tisza TSE")</f>
        <v>Tisza TSE</v>
      </c>
      <c r="B1703" s="1" t="str">
        <f ca="1">IFERROR(__xludf.DUMMYFUNCTION("""COMPUTED_VALUE"""),"Magyar László")</f>
        <v>Magyar László</v>
      </c>
      <c r="C1703" s="1"/>
      <c r="D1703" s="1" t="str">
        <f ca="1">IFERROR(__xludf.DUMMYFUNCTION("""COMPUTED_VALUE"""),"Férfi")</f>
        <v>Férfi</v>
      </c>
      <c r="E1703" s="1"/>
      <c r="F1703" s="1">
        <f ca="1">IFERROR(__xludf.DUMMYFUNCTION("""COMPUTED_VALUE"""),1969)</f>
        <v>1969</v>
      </c>
      <c r="G1703" s="1">
        <f ca="1">IFERROR(__xludf.DUMMYFUNCTION("""COMPUTED_VALUE"""),3750)</f>
        <v>3750</v>
      </c>
      <c r="H1703" s="1" t="str">
        <f ca="1">IFERROR(__xludf.DUMMYFUNCTION("""COMPUTED_VALUE"""),"MTLSZ003750A20")</f>
        <v>MTLSZ003750A20</v>
      </c>
      <c r="I1703" s="2">
        <f ca="1">IFERROR(__xludf.DUMMYFUNCTION("""COMPUTED_VALUE"""),44157)</f>
        <v>44157</v>
      </c>
      <c r="J1703" s="2">
        <f ca="1">IFERROR(__xludf.DUMMYFUNCTION("""COMPUTED_VALUE"""),44521)</f>
        <v>44521</v>
      </c>
    </row>
    <row r="1704" spans="1:10" x14ac:dyDescent="0.25">
      <c r="A1704" s="1" t="str">
        <f ca="1">IFERROR(__xludf.DUMMYFUNCTION("""COMPUTED_VALUE"""),"Tisza TSE")</f>
        <v>Tisza TSE</v>
      </c>
      <c r="B1704" s="1" t="str">
        <f ca="1">IFERROR(__xludf.DUMMYFUNCTION("""COMPUTED_VALUE"""),"Mucsi Tibor")</f>
        <v>Mucsi Tibor</v>
      </c>
      <c r="C1704" s="1"/>
      <c r="D1704" s="1" t="str">
        <f ca="1">IFERROR(__xludf.DUMMYFUNCTION("""COMPUTED_VALUE"""),"Férfi")</f>
        <v>Férfi</v>
      </c>
      <c r="E1704" s="1"/>
      <c r="F1704" s="1">
        <f ca="1">IFERROR(__xludf.DUMMYFUNCTION("""COMPUTED_VALUE"""),1967)</f>
        <v>1967</v>
      </c>
      <c r="G1704" s="1">
        <f ca="1">IFERROR(__xludf.DUMMYFUNCTION("""COMPUTED_VALUE"""),3781)</f>
        <v>3781</v>
      </c>
      <c r="H1704" s="1" t="str">
        <f ca="1">IFERROR(__xludf.DUMMYFUNCTION("""COMPUTED_VALUE"""),"MTLSZ003781A20")</f>
        <v>MTLSZ003781A20</v>
      </c>
      <c r="I1704" s="2">
        <f ca="1">IFERROR(__xludf.DUMMYFUNCTION("""COMPUTED_VALUE"""),44157)</f>
        <v>44157</v>
      </c>
      <c r="J1704" s="2">
        <f ca="1">IFERROR(__xludf.DUMMYFUNCTION("""COMPUTED_VALUE"""),44521)</f>
        <v>44521</v>
      </c>
    </row>
    <row r="1705" spans="1:10" x14ac:dyDescent="0.25">
      <c r="A1705" s="1" t="str">
        <f ca="1">IFERROR(__xludf.DUMMYFUNCTION("""COMPUTED_VALUE"""),"Tisza TSE")</f>
        <v>Tisza TSE</v>
      </c>
      <c r="B1705" s="1" t="str">
        <f ca="1">IFERROR(__xludf.DUMMYFUNCTION("""COMPUTED_VALUE"""),"Murai Gyöngyi")</f>
        <v>Murai Gyöngyi</v>
      </c>
      <c r="C1705" s="1"/>
      <c r="D1705" s="1" t="str">
        <f ca="1">IFERROR(__xludf.DUMMYFUNCTION("""COMPUTED_VALUE"""),"Nő")</f>
        <v>Nő</v>
      </c>
      <c r="E1705" s="1"/>
      <c r="F1705" s="1">
        <f ca="1">IFERROR(__xludf.DUMMYFUNCTION("""COMPUTED_VALUE"""),1964)</f>
        <v>1964</v>
      </c>
      <c r="G1705" s="1">
        <f ca="1">IFERROR(__xludf.DUMMYFUNCTION("""COMPUTED_VALUE"""),3763)</f>
        <v>3763</v>
      </c>
      <c r="H1705" s="1" t="str">
        <f ca="1">IFERROR(__xludf.DUMMYFUNCTION("""COMPUTED_VALUE"""),"MTLSZ003763A20")</f>
        <v>MTLSZ003763A20</v>
      </c>
      <c r="I1705" s="2">
        <f ca="1">IFERROR(__xludf.DUMMYFUNCTION("""COMPUTED_VALUE"""),44157)</f>
        <v>44157</v>
      </c>
      <c r="J1705" s="2">
        <f ca="1">IFERROR(__xludf.DUMMYFUNCTION("""COMPUTED_VALUE"""),44521)</f>
        <v>44521</v>
      </c>
    </row>
    <row r="1706" spans="1:10" x14ac:dyDescent="0.25">
      <c r="A1706" s="1" t="str">
        <f ca="1">IFERROR(__xludf.DUMMYFUNCTION("""COMPUTED_VALUE"""),"Tisza TSE")</f>
        <v>Tisza TSE</v>
      </c>
      <c r="B1706" s="1" t="str">
        <f ca="1">IFERROR(__xludf.DUMMYFUNCTION("""COMPUTED_VALUE"""),"Pápainé Kertai Ágnes")</f>
        <v>Pápainé Kertai Ágnes</v>
      </c>
      <c r="C1706" s="1"/>
      <c r="D1706" s="1" t="str">
        <f ca="1">IFERROR(__xludf.DUMMYFUNCTION("""COMPUTED_VALUE"""),"Nő")</f>
        <v>Nő</v>
      </c>
      <c r="E1706" s="1"/>
      <c r="F1706" s="1">
        <f ca="1">IFERROR(__xludf.DUMMYFUNCTION("""COMPUTED_VALUE"""),1973)</f>
        <v>1973</v>
      </c>
      <c r="G1706" s="1">
        <f ca="1">IFERROR(__xludf.DUMMYFUNCTION("""COMPUTED_VALUE"""),3774)</f>
        <v>3774</v>
      </c>
      <c r="H1706" s="1" t="str">
        <f ca="1">IFERROR(__xludf.DUMMYFUNCTION("""COMPUTED_VALUE"""),"MTLSZ003774A20")</f>
        <v>MTLSZ003774A20</v>
      </c>
      <c r="I1706" s="2">
        <f ca="1">IFERROR(__xludf.DUMMYFUNCTION("""COMPUTED_VALUE"""),44157)</f>
        <v>44157</v>
      </c>
      <c r="J1706" s="2">
        <f ca="1">IFERROR(__xludf.DUMMYFUNCTION("""COMPUTED_VALUE"""),44521)</f>
        <v>44521</v>
      </c>
    </row>
    <row r="1707" spans="1:10" x14ac:dyDescent="0.25">
      <c r="A1707" s="1" t="str">
        <f ca="1">IFERROR(__xludf.DUMMYFUNCTION("""COMPUTED_VALUE"""),"Tisza TSE")</f>
        <v>Tisza TSE</v>
      </c>
      <c r="B1707" s="1" t="str">
        <f ca="1">IFERROR(__xludf.DUMMYFUNCTION("""COMPUTED_VALUE"""),"Papp Aranka")</f>
        <v>Papp Aranka</v>
      </c>
      <c r="C1707" s="1"/>
      <c r="D1707" s="1" t="str">
        <f ca="1">IFERROR(__xludf.DUMMYFUNCTION("""COMPUTED_VALUE"""),"Nő")</f>
        <v>Nő</v>
      </c>
      <c r="E1707" s="1"/>
      <c r="F1707" s="1">
        <f ca="1">IFERROR(__xludf.DUMMYFUNCTION("""COMPUTED_VALUE"""),1984)</f>
        <v>1984</v>
      </c>
      <c r="G1707" s="1">
        <f ca="1">IFERROR(__xludf.DUMMYFUNCTION("""COMPUTED_VALUE"""),3782)</f>
        <v>3782</v>
      </c>
      <c r="H1707" s="1" t="str">
        <f ca="1">IFERROR(__xludf.DUMMYFUNCTION("""COMPUTED_VALUE"""),"MTLSZ003782A20")</f>
        <v>MTLSZ003782A20</v>
      </c>
      <c r="I1707" s="2">
        <f ca="1">IFERROR(__xludf.DUMMYFUNCTION("""COMPUTED_VALUE"""),44157)</f>
        <v>44157</v>
      </c>
      <c r="J1707" s="2">
        <f ca="1">IFERROR(__xludf.DUMMYFUNCTION("""COMPUTED_VALUE"""),44521)</f>
        <v>44521</v>
      </c>
    </row>
    <row r="1708" spans="1:10" x14ac:dyDescent="0.25">
      <c r="A1708" s="1" t="str">
        <f ca="1">IFERROR(__xludf.DUMMYFUNCTION("""COMPUTED_VALUE"""),"Tisza TSE")</f>
        <v>Tisza TSE</v>
      </c>
      <c r="B1708" s="1" t="str">
        <f ca="1">IFERROR(__xludf.DUMMYFUNCTION("""COMPUTED_VALUE"""),"Patik Gábor")</f>
        <v>Patik Gábor</v>
      </c>
      <c r="C1708" s="1"/>
      <c r="D1708" s="1" t="str">
        <f ca="1">IFERROR(__xludf.DUMMYFUNCTION("""COMPUTED_VALUE"""),"Férfi")</f>
        <v>Férfi</v>
      </c>
      <c r="E1708" s="1"/>
      <c r="F1708" s="1">
        <f ca="1">IFERROR(__xludf.DUMMYFUNCTION("""COMPUTED_VALUE"""),1975)</f>
        <v>1975</v>
      </c>
      <c r="G1708" s="1">
        <f ca="1">IFERROR(__xludf.DUMMYFUNCTION("""COMPUTED_VALUE"""),3759)</f>
        <v>3759</v>
      </c>
      <c r="H1708" s="1" t="str">
        <f ca="1">IFERROR(__xludf.DUMMYFUNCTION("""COMPUTED_VALUE"""),"MTLSZ003759A20")</f>
        <v>MTLSZ003759A20</v>
      </c>
      <c r="I1708" s="2">
        <f ca="1">IFERROR(__xludf.DUMMYFUNCTION("""COMPUTED_VALUE"""),44157)</f>
        <v>44157</v>
      </c>
      <c r="J1708" s="2">
        <f ca="1">IFERROR(__xludf.DUMMYFUNCTION("""COMPUTED_VALUE"""),44521)</f>
        <v>44521</v>
      </c>
    </row>
    <row r="1709" spans="1:10" x14ac:dyDescent="0.25">
      <c r="A1709" s="1" t="str">
        <f ca="1">IFERROR(__xludf.DUMMYFUNCTION("""COMPUTED_VALUE"""),"Tisza TSE")</f>
        <v>Tisza TSE</v>
      </c>
      <c r="B1709" s="1" t="str">
        <f ca="1">IFERROR(__xludf.DUMMYFUNCTION("""COMPUTED_VALUE"""),"Patikné Monostori Rita")</f>
        <v>Patikné Monostori Rita</v>
      </c>
      <c r="C1709" s="1"/>
      <c r="D1709" s="1" t="str">
        <f ca="1">IFERROR(__xludf.DUMMYFUNCTION("""COMPUTED_VALUE"""),"Nő")</f>
        <v>Nő</v>
      </c>
      <c r="E1709" s="1"/>
      <c r="F1709" s="1">
        <f ca="1">IFERROR(__xludf.DUMMYFUNCTION("""COMPUTED_VALUE"""),1983)</f>
        <v>1983</v>
      </c>
      <c r="G1709" s="1">
        <f ca="1">IFERROR(__xludf.DUMMYFUNCTION("""COMPUTED_VALUE"""),3771)</f>
        <v>3771</v>
      </c>
      <c r="H1709" s="1" t="str">
        <f ca="1">IFERROR(__xludf.DUMMYFUNCTION("""COMPUTED_VALUE"""),"MTLSZ003771A20")</f>
        <v>MTLSZ003771A20</v>
      </c>
      <c r="I1709" s="2">
        <f ca="1">IFERROR(__xludf.DUMMYFUNCTION("""COMPUTED_VALUE"""),44157)</f>
        <v>44157</v>
      </c>
      <c r="J1709" s="2">
        <f ca="1">IFERROR(__xludf.DUMMYFUNCTION("""COMPUTED_VALUE"""),44521)</f>
        <v>44521</v>
      </c>
    </row>
    <row r="1710" spans="1:10" x14ac:dyDescent="0.25">
      <c r="A1710" s="1" t="str">
        <f ca="1">IFERROR(__xludf.DUMMYFUNCTION("""COMPUTED_VALUE"""),"Tisza TSE")</f>
        <v>Tisza TSE</v>
      </c>
      <c r="B1710" s="1" t="str">
        <f ca="1">IFERROR(__xludf.DUMMYFUNCTION("""COMPUTED_VALUE"""),"Perényi Ádám")</f>
        <v>Perényi Ádám</v>
      </c>
      <c r="C1710" s="1"/>
      <c r="D1710" s="1" t="str">
        <f ca="1">IFERROR(__xludf.DUMMYFUNCTION("""COMPUTED_VALUE"""),"Férfi")</f>
        <v>Férfi</v>
      </c>
      <c r="E1710" s="1"/>
      <c r="F1710" s="1">
        <f ca="1">IFERROR(__xludf.DUMMYFUNCTION("""COMPUTED_VALUE"""),1972)</f>
        <v>1972</v>
      </c>
      <c r="G1710" s="1">
        <f ca="1">IFERROR(__xludf.DUMMYFUNCTION("""COMPUTED_VALUE"""),3758)</f>
        <v>3758</v>
      </c>
      <c r="H1710" s="1" t="str">
        <f ca="1">IFERROR(__xludf.DUMMYFUNCTION("""COMPUTED_VALUE"""),"MTLSZ003758A20")</f>
        <v>MTLSZ003758A20</v>
      </c>
      <c r="I1710" s="2">
        <f ca="1">IFERROR(__xludf.DUMMYFUNCTION("""COMPUTED_VALUE"""),44157)</f>
        <v>44157</v>
      </c>
      <c r="J1710" s="2">
        <f ca="1">IFERROR(__xludf.DUMMYFUNCTION("""COMPUTED_VALUE"""),44521)</f>
        <v>44521</v>
      </c>
    </row>
    <row r="1711" spans="1:10" x14ac:dyDescent="0.25">
      <c r="A1711" s="1" t="str">
        <f ca="1">IFERROR(__xludf.DUMMYFUNCTION("""COMPUTED_VALUE"""),"Tisza TSE")</f>
        <v>Tisza TSE</v>
      </c>
      <c r="B1711" s="1" t="str">
        <f ca="1">IFERROR(__xludf.DUMMYFUNCTION("""COMPUTED_VALUE"""),"Perényi Tamás")</f>
        <v>Perényi Tamás</v>
      </c>
      <c r="C1711" s="1"/>
      <c r="D1711" s="1" t="str">
        <f ca="1">IFERROR(__xludf.DUMMYFUNCTION("""COMPUTED_VALUE"""),"Férfi")</f>
        <v>Férfi</v>
      </c>
      <c r="E1711" s="1"/>
      <c r="F1711" s="1">
        <f ca="1">IFERROR(__xludf.DUMMYFUNCTION("""COMPUTED_VALUE"""),1983)</f>
        <v>1983</v>
      </c>
      <c r="G1711" s="1">
        <f ca="1">IFERROR(__xludf.DUMMYFUNCTION("""COMPUTED_VALUE"""),3764)</f>
        <v>3764</v>
      </c>
      <c r="H1711" s="1" t="str">
        <f ca="1">IFERROR(__xludf.DUMMYFUNCTION("""COMPUTED_VALUE"""),"MTLSZ003764A20")</f>
        <v>MTLSZ003764A20</v>
      </c>
      <c r="I1711" s="2">
        <f ca="1">IFERROR(__xludf.DUMMYFUNCTION("""COMPUTED_VALUE"""),44157)</f>
        <v>44157</v>
      </c>
      <c r="J1711" s="2">
        <f ca="1">IFERROR(__xludf.DUMMYFUNCTION("""COMPUTED_VALUE"""),44521)</f>
        <v>44521</v>
      </c>
    </row>
    <row r="1712" spans="1:10" x14ac:dyDescent="0.25">
      <c r="A1712" s="1" t="str">
        <f ca="1">IFERROR(__xludf.DUMMYFUNCTION("""COMPUTED_VALUE"""),"Tisza TSE")</f>
        <v>Tisza TSE</v>
      </c>
      <c r="B1712" s="1" t="str">
        <f ca="1">IFERROR(__xludf.DUMMYFUNCTION("""COMPUTED_VALUE"""),"Pintér Gabriella")</f>
        <v>Pintér Gabriella</v>
      </c>
      <c r="C1712" s="1"/>
      <c r="D1712" s="1" t="str">
        <f ca="1">IFERROR(__xludf.DUMMYFUNCTION("""COMPUTED_VALUE"""),"Nő")</f>
        <v>Nő</v>
      </c>
      <c r="E1712" s="1"/>
      <c r="F1712" s="1">
        <f ca="1">IFERROR(__xludf.DUMMYFUNCTION("""COMPUTED_VALUE"""),1974)</f>
        <v>1974</v>
      </c>
      <c r="G1712" s="1">
        <f ca="1">IFERROR(__xludf.DUMMYFUNCTION("""COMPUTED_VALUE"""),3751)</f>
        <v>3751</v>
      </c>
      <c r="H1712" s="1" t="str">
        <f ca="1">IFERROR(__xludf.DUMMYFUNCTION("""COMPUTED_VALUE"""),"MTLSZ003751A20")</f>
        <v>MTLSZ003751A20</v>
      </c>
      <c r="I1712" s="2">
        <f ca="1">IFERROR(__xludf.DUMMYFUNCTION("""COMPUTED_VALUE"""),44157)</f>
        <v>44157</v>
      </c>
      <c r="J1712" s="2">
        <f ca="1">IFERROR(__xludf.DUMMYFUNCTION("""COMPUTED_VALUE"""),44521)</f>
        <v>44521</v>
      </c>
    </row>
    <row r="1713" spans="1:10" x14ac:dyDescent="0.25">
      <c r="A1713" s="1" t="str">
        <f ca="1">IFERROR(__xludf.DUMMYFUNCTION("""COMPUTED_VALUE"""),"Tisza TSE")</f>
        <v>Tisza TSE</v>
      </c>
      <c r="B1713" s="1" t="str">
        <f ca="1">IFERROR(__xludf.DUMMYFUNCTION("""COMPUTED_VALUE"""),"Rappai Attila")</f>
        <v>Rappai Attila</v>
      </c>
      <c r="C1713" s="1"/>
      <c r="D1713" s="1" t="str">
        <f ca="1">IFERROR(__xludf.DUMMYFUNCTION("""COMPUTED_VALUE"""),"Férfi")</f>
        <v>Férfi</v>
      </c>
      <c r="E1713" s="1"/>
      <c r="F1713" s="1">
        <f ca="1">IFERROR(__xludf.DUMMYFUNCTION("""COMPUTED_VALUE"""),1968)</f>
        <v>1968</v>
      </c>
      <c r="G1713" s="1">
        <f ca="1">IFERROR(__xludf.DUMMYFUNCTION("""COMPUTED_VALUE"""),3779)</f>
        <v>3779</v>
      </c>
      <c r="H1713" s="1" t="str">
        <f ca="1">IFERROR(__xludf.DUMMYFUNCTION("""COMPUTED_VALUE"""),"MTLSZ003779A20")</f>
        <v>MTLSZ003779A20</v>
      </c>
      <c r="I1713" s="2">
        <f ca="1">IFERROR(__xludf.DUMMYFUNCTION("""COMPUTED_VALUE"""),44157)</f>
        <v>44157</v>
      </c>
      <c r="J1713" s="2">
        <f ca="1">IFERROR(__xludf.DUMMYFUNCTION("""COMPUTED_VALUE"""),44521)</f>
        <v>44521</v>
      </c>
    </row>
    <row r="1714" spans="1:10" x14ac:dyDescent="0.25">
      <c r="A1714" s="1" t="str">
        <f ca="1">IFERROR(__xludf.DUMMYFUNCTION("""COMPUTED_VALUE"""),"Tisza TSE")</f>
        <v>Tisza TSE</v>
      </c>
      <c r="B1714" s="1" t="str">
        <f ca="1">IFERROR(__xludf.DUMMYFUNCTION("""COMPUTED_VALUE"""),"Szalai Imre József")</f>
        <v>Szalai Imre József</v>
      </c>
      <c r="C1714" s="1"/>
      <c r="D1714" s="1" t="str">
        <f ca="1">IFERROR(__xludf.DUMMYFUNCTION("""COMPUTED_VALUE"""),"Férfi")</f>
        <v>Férfi</v>
      </c>
      <c r="E1714" s="1"/>
      <c r="F1714" s="1">
        <f ca="1">IFERROR(__xludf.DUMMYFUNCTION("""COMPUTED_VALUE"""),1965)</f>
        <v>1965</v>
      </c>
      <c r="G1714" s="1">
        <f ca="1">IFERROR(__xludf.DUMMYFUNCTION("""COMPUTED_VALUE"""),3780)</f>
        <v>3780</v>
      </c>
      <c r="H1714" s="1" t="str">
        <f ca="1">IFERROR(__xludf.DUMMYFUNCTION("""COMPUTED_VALUE"""),"MTLSZ003780A20")</f>
        <v>MTLSZ003780A20</v>
      </c>
      <c r="I1714" s="2">
        <f ca="1">IFERROR(__xludf.DUMMYFUNCTION("""COMPUTED_VALUE"""),44157)</f>
        <v>44157</v>
      </c>
      <c r="J1714" s="2">
        <f ca="1">IFERROR(__xludf.DUMMYFUNCTION("""COMPUTED_VALUE"""),44521)</f>
        <v>44521</v>
      </c>
    </row>
    <row r="1715" spans="1:10" x14ac:dyDescent="0.25">
      <c r="A1715" s="1" t="str">
        <f ca="1">IFERROR(__xludf.DUMMYFUNCTION("""COMPUTED_VALUE"""),"Tisza TSE")</f>
        <v>Tisza TSE</v>
      </c>
      <c r="B1715" s="1" t="str">
        <f ca="1">IFERROR(__xludf.DUMMYFUNCTION("""COMPUTED_VALUE"""),"Trogmayer Olivér")</f>
        <v>Trogmayer Olivér</v>
      </c>
      <c r="C1715" s="1"/>
      <c r="D1715" s="1" t="str">
        <f ca="1">IFERROR(__xludf.DUMMYFUNCTION("""COMPUTED_VALUE"""),"Férfi")</f>
        <v>Férfi</v>
      </c>
      <c r="E1715" s="1"/>
      <c r="F1715" s="1">
        <f ca="1">IFERROR(__xludf.DUMMYFUNCTION("""COMPUTED_VALUE"""),1977)</f>
        <v>1977</v>
      </c>
      <c r="G1715" s="1">
        <f ca="1">IFERROR(__xludf.DUMMYFUNCTION("""COMPUTED_VALUE"""),3770)</f>
        <v>3770</v>
      </c>
      <c r="H1715" s="1" t="str">
        <f ca="1">IFERROR(__xludf.DUMMYFUNCTION("""COMPUTED_VALUE"""),"MTLSZ003770A20")</f>
        <v>MTLSZ003770A20</v>
      </c>
      <c r="I1715" s="2">
        <f ca="1">IFERROR(__xludf.DUMMYFUNCTION("""COMPUTED_VALUE"""),44157)</f>
        <v>44157</v>
      </c>
      <c r="J1715" s="2">
        <f ca="1">IFERROR(__xludf.DUMMYFUNCTION("""COMPUTED_VALUE"""),44521)</f>
        <v>44521</v>
      </c>
    </row>
    <row r="1716" spans="1:10" x14ac:dyDescent="0.25">
      <c r="A1716" s="1" t="str">
        <f ca="1">IFERROR(__xludf.DUMMYFUNCTION("""COMPUTED_VALUE"""),"Tisza TSE")</f>
        <v>Tisza TSE</v>
      </c>
      <c r="B1716" s="1" t="str">
        <f ca="1">IFERROR(__xludf.DUMMYFUNCTION("""COMPUTED_VALUE"""),"Varga Zoltán")</f>
        <v>Varga Zoltán</v>
      </c>
      <c r="C1716" s="1"/>
      <c r="D1716" s="1" t="str">
        <f ca="1">IFERROR(__xludf.DUMMYFUNCTION("""COMPUTED_VALUE"""),"Férfi")</f>
        <v>Férfi</v>
      </c>
      <c r="E1716" s="1"/>
      <c r="F1716" s="1">
        <f ca="1">IFERROR(__xludf.DUMMYFUNCTION("""COMPUTED_VALUE"""),1978)</f>
        <v>1978</v>
      </c>
      <c r="G1716" s="1">
        <f ca="1">IFERROR(__xludf.DUMMYFUNCTION("""COMPUTED_VALUE"""),3749)</f>
        <v>3749</v>
      </c>
      <c r="H1716" s="1" t="str">
        <f ca="1">IFERROR(__xludf.DUMMYFUNCTION("""COMPUTED_VALUE"""),"MTLSZ003749A20")</f>
        <v>MTLSZ003749A20</v>
      </c>
      <c r="I1716" s="2">
        <f ca="1">IFERROR(__xludf.DUMMYFUNCTION("""COMPUTED_VALUE"""),44157)</f>
        <v>44157</v>
      </c>
      <c r="J1716" s="2">
        <f ca="1">IFERROR(__xludf.DUMMYFUNCTION("""COMPUTED_VALUE"""),44521)</f>
        <v>44521</v>
      </c>
    </row>
    <row r="1717" spans="1:10" x14ac:dyDescent="0.25">
      <c r="A1717" s="1" t="str">
        <f ca="1">IFERROR(__xludf.DUMMYFUNCTION("""COMPUTED_VALUE"""),"HZSE")</f>
        <v>HZSE</v>
      </c>
      <c r="B1717" s="1" t="str">
        <f ca="1">IFERROR(__xludf.DUMMYFUNCTION("""COMPUTED_VALUE"""),"Morvai Péter")</f>
        <v>Morvai Péter</v>
      </c>
      <c r="C1717" s="1"/>
      <c r="D1717" s="1" t="str">
        <f ca="1">IFERROR(__xludf.DUMMYFUNCTION("""COMPUTED_VALUE"""),"Férfi")</f>
        <v>Férfi</v>
      </c>
      <c r="E1717" s="1"/>
      <c r="F1717" s="1">
        <f ca="1">IFERROR(__xludf.DUMMYFUNCTION("""COMPUTED_VALUE"""),1972)</f>
        <v>1972</v>
      </c>
      <c r="G1717" s="1">
        <f ca="1">IFERROR(__xludf.DUMMYFUNCTION("""COMPUTED_VALUE"""),3748)</f>
        <v>3748</v>
      </c>
      <c r="H1717" s="1" t="str">
        <f ca="1">IFERROR(__xludf.DUMMYFUNCTION("""COMPUTED_VALUE"""),"MTLSZ003748A20")</f>
        <v>MTLSZ003748A20</v>
      </c>
      <c r="I1717" s="2">
        <f ca="1">IFERROR(__xludf.DUMMYFUNCTION("""COMPUTED_VALUE"""),44155)</f>
        <v>44155</v>
      </c>
      <c r="J1717" s="2">
        <f ca="1">IFERROR(__xludf.DUMMYFUNCTION("""COMPUTED_VALUE"""),44519)</f>
        <v>44519</v>
      </c>
    </row>
    <row r="1718" spans="1:10" x14ac:dyDescent="0.25">
      <c r="A1718" s="1" t="str">
        <f ca="1">IFERROR(__xludf.DUMMYFUNCTION("""COMPUTED_VALUE"""),"Pillangó TK")</f>
        <v>Pillangó TK</v>
      </c>
      <c r="B1718" s="1" t="str">
        <f ca="1">IFERROR(__xludf.DUMMYFUNCTION("""COMPUTED_VALUE"""),"Varga Vendel")</f>
        <v>Varga Vendel</v>
      </c>
      <c r="C1718" s="1"/>
      <c r="D1718" s="1" t="str">
        <f ca="1">IFERROR(__xludf.DUMMYFUNCTION("""COMPUTED_VALUE"""),"Férfi")</f>
        <v>Férfi</v>
      </c>
      <c r="E1718" s="1"/>
      <c r="F1718" s="1">
        <f ca="1">IFERROR(__xludf.DUMMYFUNCTION("""COMPUTED_VALUE"""),2009)</f>
        <v>2009</v>
      </c>
      <c r="G1718" s="1">
        <f ca="1">IFERROR(__xludf.DUMMYFUNCTION("""COMPUTED_VALUE"""),3747)</f>
        <v>3747</v>
      </c>
      <c r="H1718" s="1" t="str">
        <f ca="1">IFERROR(__xludf.DUMMYFUNCTION("""COMPUTED_VALUE"""),"MTLSZ003747A20")</f>
        <v>MTLSZ003747A20</v>
      </c>
      <c r="I1718" s="2">
        <f ca="1">IFERROR(__xludf.DUMMYFUNCTION("""COMPUTED_VALUE"""),44155)</f>
        <v>44155</v>
      </c>
      <c r="J1718" s="2">
        <f ca="1">IFERROR(__xludf.DUMMYFUNCTION("""COMPUTED_VALUE"""),44519)</f>
        <v>44519</v>
      </c>
    </row>
    <row r="1719" spans="1:10" x14ac:dyDescent="0.25">
      <c r="A1719" s="1" t="str">
        <f ca="1">IFERROR(__xludf.DUMMYFUNCTION("""COMPUTED_VALUE"""),"Pillangó TK")</f>
        <v>Pillangó TK</v>
      </c>
      <c r="B1719" s="1" t="str">
        <f ca="1">IFERROR(__xludf.DUMMYFUNCTION("""COMPUTED_VALUE"""),"Vaskó Rebeka")</f>
        <v>Vaskó Rebeka</v>
      </c>
      <c r="C1719" s="1"/>
      <c r="D1719" s="1" t="str">
        <f ca="1">IFERROR(__xludf.DUMMYFUNCTION("""COMPUTED_VALUE"""),"Nő")</f>
        <v>Nő</v>
      </c>
      <c r="E1719" s="1"/>
      <c r="F1719" s="1">
        <f ca="1">IFERROR(__xludf.DUMMYFUNCTION("""COMPUTED_VALUE"""),2011)</f>
        <v>2011</v>
      </c>
      <c r="G1719" s="1">
        <f ca="1">IFERROR(__xludf.DUMMYFUNCTION("""COMPUTED_VALUE"""),3746)</f>
        <v>3746</v>
      </c>
      <c r="H1719" s="1" t="str">
        <f ca="1">IFERROR(__xludf.DUMMYFUNCTION("""COMPUTED_VALUE"""),"MTLSZ003746A20")</f>
        <v>MTLSZ003746A20</v>
      </c>
      <c r="I1719" s="2">
        <f ca="1">IFERROR(__xludf.DUMMYFUNCTION("""COMPUTED_VALUE"""),44155)</f>
        <v>44155</v>
      </c>
      <c r="J1719" s="2">
        <f ca="1">IFERROR(__xludf.DUMMYFUNCTION("""COMPUTED_VALUE"""),44519)</f>
        <v>44519</v>
      </c>
    </row>
    <row r="1720" spans="1:10" x14ac:dyDescent="0.25">
      <c r="A1720" s="1" t="str">
        <f ca="1">IFERROR(__xludf.DUMMYFUNCTION("""COMPUTED_VALUE"""),"Újpest TSE")</f>
        <v>Újpest TSE</v>
      </c>
      <c r="B1720" s="1" t="str">
        <f ca="1">IFERROR(__xludf.DUMMYFUNCTION("""COMPUTED_VALUE"""),"Aranyossy Dániel")</f>
        <v>Aranyossy Dániel</v>
      </c>
      <c r="C1720" s="1"/>
      <c r="D1720" s="1" t="str">
        <f ca="1">IFERROR(__xludf.DUMMYFUNCTION("""COMPUTED_VALUE"""),"Férfi")</f>
        <v>Férfi</v>
      </c>
      <c r="E1720" s="1"/>
      <c r="F1720" s="1">
        <f ca="1">IFERROR(__xludf.DUMMYFUNCTION("""COMPUTED_VALUE"""),1968)</f>
        <v>1968</v>
      </c>
      <c r="G1720" s="1">
        <f ca="1">IFERROR(__xludf.DUMMYFUNCTION("""COMPUTED_VALUE"""),3162)</f>
        <v>3162</v>
      </c>
      <c r="H1720" s="1" t="str">
        <f ca="1">IFERROR(__xludf.DUMMYFUNCTION("""COMPUTED_VALUE"""),"MTLSZ003162A20")</f>
        <v>MTLSZ003162A20</v>
      </c>
      <c r="I1720" s="2">
        <f ca="1">IFERROR(__xludf.DUMMYFUNCTION("""COMPUTED_VALUE"""),44155)</f>
        <v>44155</v>
      </c>
      <c r="J1720" s="2">
        <f ca="1">IFERROR(__xludf.DUMMYFUNCTION("""COMPUTED_VALUE"""),44519)</f>
        <v>44519</v>
      </c>
    </row>
    <row r="1721" spans="1:10" x14ac:dyDescent="0.25">
      <c r="A1721" s="1" t="str">
        <f ca="1">IFERROR(__xludf.DUMMYFUNCTION("""COMPUTED_VALUE"""),"Újpest TSE")</f>
        <v>Újpest TSE</v>
      </c>
      <c r="B1721" s="1" t="str">
        <f ca="1">IFERROR(__xludf.DUMMYFUNCTION("""COMPUTED_VALUE"""),"Simon Attila")</f>
        <v>Simon Attila</v>
      </c>
      <c r="C1721" s="1"/>
      <c r="D1721" s="1" t="str">
        <f ca="1">IFERROR(__xludf.DUMMYFUNCTION("""COMPUTED_VALUE"""),"Férfi")</f>
        <v>Férfi</v>
      </c>
      <c r="E1721" s="1"/>
      <c r="F1721" s="1">
        <f ca="1">IFERROR(__xludf.DUMMYFUNCTION("""COMPUTED_VALUE"""),1974)</f>
        <v>1974</v>
      </c>
      <c r="G1721" s="1">
        <f ca="1">IFERROR(__xludf.DUMMYFUNCTION("""COMPUTED_VALUE"""),2806)</f>
        <v>2806</v>
      </c>
      <c r="H1721" s="1" t="str">
        <f ca="1">IFERROR(__xludf.DUMMYFUNCTION("""COMPUTED_VALUE"""),"MTLSZ002806A20")</f>
        <v>MTLSZ002806A20</v>
      </c>
      <c r="I1721" s="2">
        <f ca="1">IFERROR(__xludf.DUMMYFUNCTION("""COMPUTED_VALUE"""),44155)</f>
        <v>44155</v>
      </c>
      <c r="J1721" s="2">
        <f ca="1">IFERROR(__xludf.DUMMYFUNCTION("""COMPUTED_VALUE"""),44519)</f>
        <v>44519</v>
      </c>
    </row>
    <row r="1722" spans="1:10" x14ac:dyDescent="0.25">
      <c r="A1722" s="1" t="str">
        <f ca="1">IFERROR(__xludf.DUMMYFUNCTION("""COMPUTED_VALUE"""),"BTBK")</f>
        <v>BTBK</v>
      </c>
      <c r="B1722" s="1" t="str">
        <f ca="1">IFERROR(__xludf.DUMMYFUNCTION("""COMPUTED_VALUE"""),"Frankovics Zoltán")</f>
        <v>Frankovics Zoltán</v>
      </c>
      <c r="C1722" s="1"/>
      <c r="D1722" s="1" t="str">
        <f ca="1">IFERROR(__xludf.DUMMYFUNCTION("""COMPUTED_VALUE"""),"Férfi")</f>
        <v>Férfi</v>
      </c>
      <c r="E1722" s="1"/>
      <c r="F1722" s="1">
        <f ca="1">IFERROR(__xludf.DUMMYFUNCTION("""COMPUTED_VALUE"""),1977)</f>
        <v>1977</v>
      </c>
      <c r="G1722" s="1">
        <f ca="1">IFERROR(__xludf.DUMMYFUNCTION("""COMPUTED_VALUE"""),263)</f>
        <v>263</v>
      </c>
      <c r="H1722" s="1" t="str">
        <f ca="1">IFERROR(__xludf.DUMMYFUNCTION("""COMPUTED_VALUE"""),"MTLSZ000263A20")</f>
        <v>MTLSZ000263A20</v>
      </c>
      <c r="I1722" s="2">
        <f ca="1">IFERROR(__xludf.DUMMYFUNCTION("""COMPUTED_VALUE"""),44153)</f>
        <v>44153</v>
      </c>
      <c r="J1722" s="2">
        <f ca="1">IFERROR(__xludf.DUMMYFUNCTION("""COMPUTED_VALUE"""),44517)</f>
        <v>44517</v>
      </c>
    </row>
    <row r="1723" spans="1:10" x14ac:dyDescent="0.25">
      <c r="A1723" s="1" t="str">
        <f ca="1">IFERROR(__xludf.DUMMYFUNCTION("""COMPUTED_VALUE"""),"BTBK")</f>
        <v>BTBK</v>
      </c>
      <c r="B1723" s="1" t="str">
        <f ca="1">IFERROR(__xludf.DUMMYFUNCTION("""COMPUTED_VALUE"""),"Jóvér József")</f>
        <v>Jóvér József</v>
      </c>
      <c r="C1723" s="1"/>
      <c r="D1723" s="1" t="str">
        <f ca="1">IFERROR(__xludf.DUMMYFUNCTION("""COMPUTED_VALUE"""),"Férfi")</f>
        <v>Férfi</v>
      </c>
      <c r="E1723" s="1"/>
      <c r="F1723" s="1">
        <f ca="1">IFERROR(__xludf.DUMMYFUNCTION("""COMPUTED_VALUE"""),1957)</f>
        <v>1957</v>
      </c>
      <c r="G1723" s="1">
        <f ca="1">IFERROR(__xludf.DUMMYFUNCTION("""COMPUTED_VALUE"""),415)</f>
        <v>415</v>
      </c>
      <c r="H1723" s="1" t="str">
        <f ca="1">IFERROR(__xludf.DUMMYFUNCTION("""COMPUTED_VALUE"""),"MTLSZ000415A20")</f>
        <v>MTLSZ000415A20</v>
      </c>
      <c r="I1723" s="2">
        <f ca="1">IFERROR(__xludf.DUMMYFUNCTION("""COMPUTED_VALUE"""),44153)</f>
        <v>44153</v>
      </c>
      <c r="J1723" s="2">
        <f ca="1">IFERROR(__xludf.DUMMYFUNCTION("""COMPUTED_VALUE"""),44517)</f>
        <v>44517</v>
      </c>
    </row>
    <row r="1724" spans="1:10" x14ac:dyDescent="0.25">
      <c r="A1724" s="1" t="str">
        <f ca="1">IFERROR(__xludf.DUMMYFUNCTION("""COMPUTED_VALUE"""),"Életmód SE")</f>
        <v>Életmód SE</v>
      </c>
      <c r="B1724" s="1" t="str">
        <f ca="1">IFERROR(__xludf.DUMMYFUNCTION("""COMPUTED_VALUE"""),"Balogh-Fekete Károly")</f>
        <v>Balogh-Fekete Károly</v>
      </c>
      <c r="C1724" s="1"/>
      <c r="D1724" s="1" t="str">
        <f ca="1">IFERROR(__xludf.DUMMYFUNCTION("""COMPUTED_VALUE"""),"Férfi")</f>
        <v>Férfi</v>
      </c>
      <c r="E1724" s="1"/>
      <c r="F1724" s="1">
        <f ca="1">IFERROR(__xludf.DUMMYFUNCTION("""COMPUTED_VALUE"""),1977)</f>
        <v>1977</v>
      </c>
      <c r="G1724" s="1">
        <f ca="1">IFERROR(__xludf.DUMMYFUNCTION("""COMPUTED_VALUE"""),3727)</f>
        <v>3727</v>
      </c>
      <c r="H1724" s="1" t="str">
        <f ca="1">IFERROR(__xludf.DUMMYFUNCTION("""COMPUTED_VALUE"""),"MTLSZ003727A20")</f>
        <v>MTLSZ003727A20</v>
      </c>
      <c r="I1724" s="2">
        <f ca="1">IFERROR(__xludf.DUMMYFUNCTION("""COMPUTED_VALUE"""),44153)</f>
        <v>44153</v>
      </c>
      <c r="J1724" s="2">
        <f ca="1">IFERROR(__xludf.DUMMYFUNCTION("""COMPUTED_VALUE"""),44517)</f>
        <v>44517</v>
      </c>
    </row>
    <row r="1725" spans="1:10" x14ac:dyDescent="0.25">
      <c r="A1725" s="1" t="str">
        <f ca="1">IFERROR(__xludf.DUMMYFUNCTION("""COMPUTED_VALUE"""),"Életmód SE")</f>
        <v>Életmód SE</v>
      </c>
      <c r="B1725" s="1" t="str">
        <f ca="1">IFERROR(__xludf.DUMMYFUNCTION("""COMPUTED_VALUE"""),"Ivády Róbert")</f>
        <v>Ivády Róbert</v>
      </c>
      <c r="C1725" s="1"/>
      <c r="D1725" s="1" t="str">
        <f ca="1">IFERROR(__xludf.DUMMYFUNCTION("""COMPUTED_VALUE"""),"Férfi")</f>
        <v>Férfi</v>
      </c>
      <c r="E1725" s="1"/>
      <c r="F1725" s="1">
        <f ca="1">IFERROR(__xludf.DUMMYFUNCTION("""COMPUTED_VALUE"""),1954)</f>
        <v>1954</v>
      </c>
      <c r="G1725" s="1">
        <f ca="1">IFERROR(__xludf.DUMMYFUNCTION("""COMPUTED_VALUE"""),3728)</f>
        <v>3728</v>
      </c>
      <c r="H1725" s="1" t="str">
        <f ca="1">IFERROR(__xludf.DUMMYFUNCTION("""COMPUTED_VALUE"""),"MTLSZ003728A20")</f>
        <v>MTLSZ003728A20</v>
      </c>
      <c r="I1725" s="2">
        <f ca="1">IFERROR(__xludf.DUMMYFUNCTION("""COMPUTED_VALUE"""),44153)</f>
        <v>44153</v>
      </c>
      <c r="J1725" s="2">
        <f ca="1">IFERROR(__xludf.DUMMYFUNCTION("""COMPUTED_VALUE"""),44517)</f>
        <v>44517</v>
      </c>
    </row>
    <row r="1726" spans="1:10" x14ac:dyDescent="0.25">
      <c r="A1726" s="1" t="str">
        <f ca="1">IFERROR(__xludf.DUMMYFUNCTION("""COMPUTED_VALUE"""),"Főtaxi SC")</f>
        <v>Főtaxi SC</v>
      </c>
      <c r="B1726" s="1" t="str">
        <f ca="1">IFERROR(__xludf.DUMMYFUNCTION("""COMPUTED_VALUE"""),"Antosz János Titusz")</f>
        <v>Antosz János Titusz</v>
      </c>
      <c r="C1726" s="1"/>
      <c r="D1726" s="1" t="str">
        <f ca="1">IFERROR(__xludf.DUMMYFUNCTION("""COMPUTED_VALUE"""),"Férfi")</f>
        <v>Férfi</v>
      </c>
      <c r="E1726" s="1"/>
      <c r="F1726" s="1">
        <f ca="1">IFERROR(__xludf.DUMMYFUNCTION("""COMPUTED_VALUE"""),1973)</f>
        <v>1973</v>
      </c>
      <c r="G1726" s="1">
        <f ca="1">IFERROR(__xludf.DUMMYFUNCTION("""COMPUTED_VALUE"""),3712)</f>
        <v>3712</v>
      </c>
      <c r="H1726" s="1" t="str">
        <f ca="1">IFERROR(__xludf.DUMMYFUNCTION("""COMPUTED_VALUE"""),"MTLSZ003712A20")</f>
        <v>MTLSZ003712A20</v>
      </c>
      <c r="I1726" s="2">
        <f ca="1">IFERROR(__xludf.DUMMYFUNCTION("""COMPUTED_VALUE"""),44153)</f>
        <v>44153</v>
      </c>
      <c r="J1726" s="2">
        <f ca="1">IFERROR(__xludf.DUMMYFUNCTION("""COMPUTED_VALUE"""),44517)</f>
        <v>44517</v>
      </c>
    </row>
    <row r="1727" spans="1:10" x14ac:dyDescent="0.25">
      <c r="A1727" s="1" t="str">
        <f ca="1">IFERROR(__xludf.DUMMYFUNCTION("""COMPUTED_VALUE"""),"Főtaxi SC")</f>
        <v>Főtaxi SC</v>
      </c>
      <c r="B1727" s="1" t="str">
        <f ca="1">IFERROR(__xludf.DUMMYFUNCTION("""COMPUTED_VALUE"""),"Bartha Domonkos Bulcsú")</f>
        <v>Bartha Domonkos Bulcsú</v>
      </c>
      <c r="C1727" s="1"/>
      <c r="D1727" s="1" t="str">
        <f ca="1">IFERROR(__xludf.DUMMYFUNCTION("""COMPUTED_VALUE"""),"Férfi")</f>
        <v>Férfi</v>
      </c>
      <c r="E1727" s="1"/>
      <c r="F1727" s="1">
        <f ca="1">IFERROR(__xludf.DUMMYFUNCTION("""COMPUTED_VALUE"""),2009)</f>
        <v>2009</v>
      </c>
      <c r="G1727" s="1">
        <f ca="1">IFERROR(__xludf.DUMMYFUNCTION("""COMPUTED_VALUE"""),3723)</f>
        <v>3723</v>
      </c>
      <c r="H1727" s="1" t="str">
        <f ca="1">IFERROR(__xludf.DUMMYFUNCTION("""COMPUTED_VALUE"""),"MTLSZ003723A20")</f>
        <v>MTLSZ003723A20</v>
      </c>
      <c r="I1727" s="2">
        <f ca="1">IFERROR(__xludf.DUMMYFUNCTION("""COMPUTED_VALUE"""),44153)</f>
        <v>44153</v>
      </c>
      <c r="J1727" s="2">
        <f ca="1">IFERROR(__xludf.DUMMYFUNCTION("""COMPUTED_VALUE"""),44517)</f>
        <v>44517</v>
      </c>
    </row>
    <row r="1728" spans="1:10" x14ac:dyDescent="0.25">
      <c r="A1728" s="1" t="str">
        <f ca="1">IFERROR(__xludf.DUMMYFUNCTION("""COMPUTED_VALUE"""),"Főtaxi SC")</f>
        <v>Főtaxi SC</v>
      </c>
      <c r="B1728" s="1" t="str">
        <f ca="1">IFERROR(__xludf.DUMMYFUNCTION("""COMPUTED_VALUE"""),"Bezzeg Dénes")</f>
        <v>Bezzeg Dénes</v>
      </c>
      <c r="C1728" s="1"/>
      <c r="D1728" s="1" t="str">
        <f ca="1">IFERROR(__xludf.DUMMYFUNCTION("""COMPUTED_VALUE"""),"Férfi")</f>
        <v>Férfi</v>
      </c>
      <c r="E1728" s="1"/>
      <c r="F1728" s="1">
        <f ca="1">IFERROR(__xludf.DUMMYFUNCTION("""COMPUTED_VALUE"""),1975)</f>
        <v>1975</v>
      </c>
      <c r="G1728" s="1">
        <f ca="1">IFERROR(__xludf.DUMMYFUNCTION("""COMPUTED_VALUE"""),3704)</f>
        <v>3704</v>
      </c>
      <c r="H1728" s="1" t="str">
        <f ca="1">IFERROR(__xludf.DUMMYFUNCTION("""COMPUTED_VALUE"""),"MTLSZ003704A20")</f>
        <v>MTLSZ003704A20</v>
      </c>
      <c r="I1728" s="2">
        <f ca="1">IFERROR(__xludf.DUMMYFUNCTION("""COMPUTED_VALUE"""),44153)</f>
        <v>44153</v>
      </c>
      <c r="J1728" s="2">
        <f ca="1">IFERROR(__xludf.DUMMYFUNCTION("""COMPUTED_VALUE"""),44517)</f>
        <v>44517</v>
      </c>
    </row>
    <row r="1729" spans="1:10" x14ac:dyDescent="0.25">
      <c r="A1729" s="1" t="str">
        <f ca="1">IFERROR(__xludf.DUMMYFUNCTION("""COMPUTED_VALUE"""),"Főtaxi SC")</f>
        <v>Főtaxi SC</v>
      </c>
      <c r="B1729" s="1" t="str">
        <f ca="1">IFERROR(__xludf.DUMMYFUNCTION("""COMPUTED_VALUE"""),"Buzási Szilveszter")</f>
        <v>Buzási Szilveszter</v>
      </c>
      <c r="C1729" s="1"/>
      <c r="D1729" s="1" t="str">
        <f ca="1">IFERROR(__xludf.DUMMYFUNCTION("""COMPUTED_VALUE"""),"Férfi")</f>
        <v>Férfi</v>
      </c>
      <c r="E1729" s="1"/>
      <c r="F1729" s="1">
        <f ca="1">IFERROR(__xludf.DUMMYFUNCTION("""COMPUTED_VALUE"""),1975)</f>
        <v>1975</v>
      </c>
      <c r="G1729" s="1">
        <f ca="1">IFERROR(__xludf.DUMMYFUNCTION("""COMPUTED_VALUE"""),3742)</f>
        <v>3742</v>
      </c>
      <c r="H1729" s="1" t="str">
        <f ca="1">IFERROR(__xludf.DUMMYFUNCTION("""COMPUTED_VALUE"""),"MTLSZ003742A20")</f>
        <v>MTLSZ003742A20</v>
      </c>
      <c r="I1729" s="2">
        <f ca="1">IFERROR(__xludf.DUMMYFUNCTION("""COMPUTED_VALUE"""),44153)</f>
        <v>44153</v>
      </c>
      <c r="J1729" s="2">
        <f ca="1">IFERROR(__xludf.DUMMYFUNCTION("""COMPUTED_VALUE"""),44517)</f>
        <v>44517</v>
      </c>
    </row>
    <row r="1730" spans="1:10" x14ac:dyDescent="0.25">
      <c r="A1730" s="1" t="str">
        <f ca="1">IFERROR(__xludf.DUMMYFUNCTION("""COMPUTED_VALUE"""),"Főtaxi SC")</f>
        <v>Főtaxi SC</v>
      </c>
      <c r="B1730" s="1" t="str">
        <f ca="1">IFERROR(__xludf.DUMMYFUNCTION("""COMPUTED_VALUE"""),"Csatló Aléna")</f>
        <v>Csatló Aléna</v>
      </c>
      <c r="C1730" s="1"/>
      <c r="D1730" s="1" t="str">
        <f ca="1">IFERROR(__xludf.DUMMYFUNCTION("""COMPUTED_VALUE"""),"Nő")</f>
        <v>Nő</v>
      </c>
      <c r="E1730" s="1"/>
      <c r="F1730" s="1">
        <f ca="1">IFERROR(__xludf.DUMMYFUNCTION("""COMPUTED_VALUE"""),2009)</f>
        <v>2009</v>
      </c>
      <c r="G1730" s="1">
        <f ca="1">IFERROR(__xludf.DUMMYFUNCTION("""COMPUTED_VALUE"""),3743)</f>
        <v>3743</v>
      </c>
      <c r="H1730" s="1" t="str">
        <f ca="1">IFERROR(__xludf.DUMMYFUNCTION("""COMPUTED_VALUE"""),"MTLSZ003743A20")</f>
        <v>MTLSZ003743A20</v>
      </c>
      <c r="I1730" s="2">
        <f ca="1">IFERROR(__xludf.DUMMYFUNCTION("""COMPUTED_VALUE"""),44153)</f>
        <v>44153</v>
      </c>
      <c r="J1730" s="2">
        <f ca="1">IFERROR(__xludf.DUMMYFUNCTION("""COMPUTED_VALUE"""),44517)</f>
        <v>44517</v>
      </c>
    </row>
    <row r="1731" spans="1:10" x14ac:dyDescent="0.25">
      <c r="A1731" s="1" t="str">
        <f ca="1">IFERROR(__xludf.DUMMYFUNCTION("""COMPUTED_VALUE"""),"Főtaxi SC")</f>
        <v>Főtaxi SC</v>
      </c>
      <c r="B1731" s="1" t="str">
        <f ca="1">IFERROR(__xludf.DUMMYFUNCTION("""COMPUTED_VALUE"""),"Elek Károly")</f>
        <v>Elek Károly</v>
      </c>
      <c r="C1731" s="1"/>
      <c r="D1731" s="1" t="str">
        <f ca="1">IFERROR(__xludf.DUMMYFUNCTION("""COMPUTED_VALUE"""),"Férfi")</f>
        <v>Férfi</v>
      </c>
      <c r="E1731" s="1"/>
      <c r="F1731" s="1">
        <f ca="1">IFERROR(__xludf.DUMMYFUNCTION("""COMPUTED_VALUE"""),1978)</f>
        <v>1978</v>
      </c>
      <c r="G1731" s="1">
        <f ca="1">IFERROR(__xludf.DUMMYFUNCTION("""COMPUTED_VALUE"""),3707)</f>
        <v>3707</v>
      </c>
      <c r="H1731" s="1" t="str">
        <f ca="1">IFERROR(__xludf.DUMMYFUNCTION("""COMPUTED_VALUE"""),"MTLSZ003707A20")</f>
        <v>MTLSZ003707A20</v>
      </c>
      <c r="I1731" s="2">
        <f ca="1">IFERROR(__xludf.DUMMYFUNCTION("""COMPUTED_VALUE"""),44153)</f>
        <v>44153</v>
      </c>
      <c r="J1731" s="2">
        <f ca="1">IFERROR(__xludf.DUMMYFUNCTION("""COMPUTED_VALUE"""),44517)</f>
        <v>44517</v>
      </c>
    </row>
    <row r="1732" spans="1:10" x14ac:dyDescent="0.25">
      <c r="A1732" s="1" t="str">
        <f ca="1">IFERROR(__xludf.DUMMYFUNCTION("""COMPUTED_VALUE"""),"Főtaxi SC")</f>
        <v>Főtaxi SC</v>
      </c>
      <c r="B1732" s="1" t="str">
        <f ca="1">IFERROR(__xludf.DUMMYFUNCTION("""COMPUTED_VALUE"""),"Gálya Anikó")</f>
        <v>Gálya Anikó</v>
      </c>
      <c r="C1732" s="1"/>
      <c r="D1732" s="1" t="str">
        <f ca="1">IFERROR(__xludf.DUMMYFUNCTION("""COMPUTED_VALUE"""),"Nő")</f>
        <v>Nő</v>
      </c>
      <c r="E1732" s="1"/>
      <c r="F1732" s="1">
        <f ca="1">IFERROR(__xludf.DUMMYFUNCTION("""COMPUTED_VALUE"""),1975)</f>
        <v>1975</v>
      </c>
      <c r="G1732" s="1">
        <f ca="1">IFERROR(__xludf.DUMMYFUNCTION("""COMPUTED_VALUE"""),3715)</f>
        <v>3715</v>
      </c>
      <c r="H1732" s="1" t="str">
        <f ca="1">IFERROR(__xludf.DUMMYFUNCTION("""COMPUTED_VALUE"""),"MTLSZ003715A20")</f>
        <v>MTLSZ003715A20</v>
      </c>
      <c r="I1732" s="2">
        <f ca="1">IFERROR(__xludf.DUMMYFUNCTION("""COMPUTED_VALUE"""),44153)</f>
        <v>44153</v>
      </c>
      <c r="J1732" s="2">
        <f ca="1">IFERROR(__xludf.DUMMYFUNCTION("""COMPUTED_VALUE"""),44517)</f>
        <v>44517</v>
      </c>
    </row>
    <row r="1733" spans="1:10" x14ac:dyDescent="0.25">
      <c r="A1733" s="1" t="str">
        <f ca="1">IFERROR(__xludf.DUMMYFUNCTION("""COMPUTED_VALUE"""),"Főtaxi SC")</f>
        <v>Főtaxi SC</v>
      </c>
      <c r="B1733" s="1" t="str">
        <f ca="1">IFERROR(__xludf.DUMMYFUNCTION("""COMPUTED_VALUE"""),"Hajdu Tímea")</f>
        <v>Hajdu Tímea</v>
      </c>
      <c r="C1733" s="1"/>
      <c r="D1733" s="1" t="str">
        <f ca="1">IFERROR(__xludf.DUMMYFUNCTION("""COMPUTED_VALUE"""),"Nő")</f>
        <v>Nő</v>
      </c>
      <c r="E1733" s="1"/>
      <c r="F1733" s="1">
        <f ca="1">IFERROR(__xludf.DUMMYFUNCTION("""COMPUTED_VALUE"""),2001)</f>
        <v>2001</v>
      </c>
      <c r="G1733" s="1">
        <f ca="1">IFERROR(__xludf.DUMMYFUNCTION("""COMPUTED_VALUE"""),3701)</f>
        <v>3701</v>
      </c>
      <c r="H1733" s="1" t="str">
        <f ca="1">IFERROR(__xludf.DUMMYFUNCTION("""COMPUTED_VALUE"""),"MTLSZ003701A20")</f>
        <v>MTLSZ003701A20</v>
      </c>
      <c r="I1733" s="2">
        <f ca="1">IFERROR(__xludf.DUMMYFUNCTION("""COMPUTED_VALUE"""),44153)</f>
        <v>44153</v>
      </c>
      <c r="J1733" s="2">
        <f ca="1">IFERROR(__xludf.DUMMYFUNCTION("""COMPUTED_VALUE"""),44517)</f>
        <v>44517</v>
      </c>
    </row>
    <row r="1734" spans="1:10" x14ac:dyDescent="0.25">
      <c r="A1734" s="1" t="str">
        <f ca="1">IFERROR(__xludf.DUMMYFUNCTION("""COMPUTED_VALUE"""),"Főtaxi SC")</f>
        <v>Főtaxi SC</v>
      </c>
      <c r="B1734" s="1" t="str">
        <f ca="1">IFERROR(__xludf.DUMMYFUNCTION("""COMPUTED_VALUE"""),"Horváth Lajos")</f>
        <v>Horváth Lajos</v>
      </c>
      <c r="C1734" s="1"/>
      <c r="D1734" s="1" t="str">
        <f ca="1">IFERROR(__xludf.DUMMYFUNCTION("""COMPUTED_VALUE"""),"Férfi")</f>
        <v>Férfi</v>
      </c>
      <c r="E1734" s="1"/>
      <c r="F1734" s="1">
        <f ca="1">IFERROR(__xludf.DUMMYFUNCTION("""COMPUTED_VALUE"""),1972)</f>
        <v>1972</v>
      </c>
      <c r="G1734" s="1">
        <f ca="1">IFERROR(__xludf.DUMMYFUNCTION("""COMPUTED_VALUE"""),3717)</f>
        <v>3717</v>
      </c>
      <c r="H1734" s="1" t="str">
        <f ca="1">IFERROR(__xludf.DUMMYFUNCTION("""COMPUTED_VALUE"""),"MTLSZ003717A20")</f>
        <v>MTLSZ003717A20</v>
      </c>
      <c r="I1734" s="2">
        <f ca="1">IFERROR(__xludf.DUMMYFUNCTION("""COMPUTED_VALUE"""),44153)</f>
        <v>44153</v>
      </c>
      <c r="J1734" s="2">
        <f ca="1">IFERROR(__xludf.DUMMYFUNCTION("""COMPUTED_VALUE"""),44517)</f>
        <v>44517</v>
      </c>
    </row>
    <row r="1735" spans="1:10" x14ac:dyDescent="0.25">
      <c r="A1735" s="1" t="str">
        <f ca="1">IFERROR(__xludf.DUMMYFUNCTION("""COMPUTED_VALUE"""),"Főtaxi SC")</f>
        <v>Főtaxi SC</v>
      </c>
      <c r="B1735" s="1" t="str">
        <f ca="1">IFERROR(__xludf.DUMMYFUNCTION("""COMPUTED_VALUE"""),"Horváth-Demeter Ágota")</f>
        <v>Horváth-Demeter Ágota</v>
      </c>
      <c r="C1735" s="1"/>
      <c r="D1735" s="1" t="str">
        <f ca="1">IFERROR(__xludf.DUMMYFUNCTION("""COMPUTED_VALUE"""),"Nő")</f>
        <v>Nő</v>
      </c>
      <c r="E1735" s="1"/>
      <c r="F1735" s="1">
        <f ca="1">IFERROR(__xludf.DUMMYFUNCTION("""COMPUTED_VALUE"""),1971)</f>
        <v>1971</v>
      </c>
      <c r="G1735" s="1">
        <f ca="1">IFERROR(__xludf.DUMMYFUNCTION("""COMPUTED_VALUE"""),3706)</f>
        <v>3706</v>
      </c>
      <c r="H1735" s="1" t="str">
        <f ca="1">IFERROR(__xludf.DUMMYFUNCTION("""COMPUTED_VALUE"""),"MTLSZ003706A20")</f>
        <v>MTLSZ003706A20</v>
      </c>
      <c r="I1735" s="2">
        <f ca="1">IFERROR(__xludf.DUMMYFUNCTION("""COMPUTED_VALUE"""),44153)</f>
        <v>44153</v>
      </c>
      <c r="J1735" s="2">
        <f ca="1">IFERROR(__xludf.DUMMYFUNCTION("""COMPUTED_VALUE"""),44517)</f>
        <v>44517</v>
      </c>
    </row>
    <row r="1736" spans="1:10" x14ac:dyDescent="0.25">
      <c r="A1736" s="1" t="str">
        <f ca="1">IFERROR(__xludf.DUMMYFUNCTION("""COMPUTED_VALUE"""),"Főtaxi SC")</f>
        <v>Főtaxi SC</v>
      </c>
      <c r="B1736" s="1" t="str">
        <f ca="1">IFERROR(__xludf.DUMMYFUNCTION("""COMPUTED_VALUE"""),"Lugosi Balázs")</f>
        <v>Lugosi Balázs</v>
      </c>
      <c r="C1736" s="1"/>
      <c r="D1736" s="1" t="str">
        <f ca="1">IFERROR(__xludf.DUMMYFUNCTION("""COMPUTED_VALUE"""),"Férfi")</f>
        <v>Férfi</v>
      </c>
      <c r="E1736" s="1"/>
      <c r="F1736" s="1">
        <f ca="1">IFERROR(__xludf.DUMMYFUNCTION("""COMPUTED_VALUE"""),2008)</f>
        <v>2008</v>
      </c>
      <c r="G1736" s="1">
        <f ca="1">IFERROR(__xludf.DUMMYFUNCTION("""COMPUTED_VALUE"""),3722)</f>
        <v>3722</v>
      </c>
      <c r="H1736" s="1" t="str">
        <f ca="1">IFERROR(__xludf.DUMMYFUNCTION("""COMPUTED_VALUE"""),"MTLSZ003722A20")</f>
        <v>MTLSZ003722A20</v>
      </c>
      <c r="I1736" s="2">
        <f ca="1">IFERROR(__xludf.DUMMYFUNCTION("""COMPUTED_VALUE"""),44153)</f>
        <v>44153</v>
      </c>
      <c r="J1736" s="2">
        <f ca="1">IFERROR(__xludf.DUMMYFUNCTION("""COMPUTED_VALUE"""),44517)</f>
        <v>44517</v>
      </c>
    </row>
    <row r="1737" spans="1:10" x14ac:dyDescent="0.25">
      <c r="A1737" s="1" t="str">
        <f ca="1">IFERROR(__xludf.DUMMYFUNCTION("""COMPUTED_VALUE"""),"Főtaxi SC")</f>
        <v>Főtaxi SC</v>
      </c>
      <c r="B1737" s="1" t="str">
        <f ca="1">IFERROR(__xludf.DUMMYFUNCTION("""COMPUTED_VALUE"""),"Mező Zoltán")</f>
        <v>Mező Zoltán</v>
      </c>
      <c r="C1737" s="1"/>
      <c r="D1737" s="1" t="str">
        <f ca="1">IFERROR(__xludf.DUMMYFUNCTION("""COMPUTED_VALUE"""),"Férfi")</f>
        <v>Férfi</v>
      </c>
      <c r="E1737" s="1"/>
      <c r="F1737" s="1">
        <f ca="1">IFERROR(__xludf.DUMMYFUNCTION("""COMPUTED_VALUE"""),1969)</f>
        <v>1969</v>
      </c>
      <c r="G1737" s="1">
        <f ca="1">IFERROR(__xludf.DUMMYFUNCTION("""COMPUTED_VALUE"""),3716)</f>
        <v>3716</v>
      </c>
      <c r="H1737" s="1" t="str">
        <f ca="1">IFERROR(__xludf.DUMMYFUNCTION("""COMPUTED_VALUE"""),"MTLSZ003716A20")</f>
        <v>MTLSZ003716A20</v>
      </c>
      <c r="I1737" s="2">
        <f ca="1">IFERROR(__xludf.DUMMYFUNCTION("""COMPUTED_VALUE"""),44153)</f>
        <v>44153</v>
      </c>
      <c r="J1737" s="2">
        <f ca="1">IFERROR(__xludf.DUMMYFUNCTION("""COMPUTED_VALUE"""),44517)</f>
        <v>44517</v>
      </c>
    </row>
    <row r="1738" spans="1:10" x14ac:dyDescent="0.25">
      <c r="A1738" s="1" t="str">
        <f ca="1">IFERROR(__xludf.DUMMYFUNCTION("""COMPUTED_VALUE"""),"Főtaxi SC")</f>
        <v>Főtaxi SC</v>
      </c>
      <c r="B1738" s="1" t="str">
        <f ca="1">IFERROR(__xludf.DUMMYFUNCTION("""COMPUTED_VALUE"""),"Nagy Imre Attila Dr.")</f>
        <v>Nagy Imre Attila Dr.</v>
      </c>
      <c r="C1738" s="1"/>
      <c r="D1738" s="1" t="str">
        <f ca="1">IFERROR(__xludf.DUMMYFUNCTION("""COMPUTED_VALUE"""),"Férfi")</f>
        <v>Férfi</v>
      </c>
      <c r="E1738" s="1"/>
      <c r="F1738" s="1">
        <f ca="1">IFERROR(__xludf.DUMMYFUNCTION("""COMPUTED_VALUE"""),1954)</f>
        <v>1954</v>
      </c>
      <c r="G1738" s="1">
        <f ca="1">IFERROR(__xludf.DUMMYFUNCTION("""COMPUTED_VALUE"""),3714)</f>
        <v>3714</v>
      </c>
      <c r="H1738" s="1" t="str">
        <f ca="1">IFERROR(__xludf.DUMMYFUNCTION("""COMPUTED_VALUE"""),"MTLSZ003714A20")</f>
        <v>MTLSZ003714A20</v>
      </c>
      <c r="I1738" s="2">
        <f ca="1">IFERROR(__xludf.DUMMYFUNCTION("""COMPUTED_VALUE"""),44153)</f>
        <v>44153</v>
      </c>
      <c r="J1738" s="2">
        <f ca="1">IFERROR(__xludf.DUMMYFUNCTION("""COMPUTED_VALUE"""),44517)</f>
        <v>44517</v>
      </c>
    </row>
    <row r="1739" spans="1:10" x14ac:dyDescent="0.25">
      <c r="A1739" s="1" t="str">
        <f ca="1">IFERROR(__xludf.DUMMYFUNCTION("""COMPUTED_VALUE"""),"Főtaxi SC")</f>
        <v>Főtaxi SC</v>
      </c>
      <c r="B1739" s="1" t="str">
        <f ca="1">IFERROR(__xludf.DUMMYFUNCTION("""COMPUTED_VALUE"""),"Nagy István")</f>
        <v>Nagy István</v>
      </c>
      <c r="C1739" s="1"/>
      <c r="D1739" s="1" t="str">
        <f ca="1">IFERROR(__xludf.DUMMYFUNCTION("""COMPUTED_VALUE"""),"Férfi")</f>
        <v>Férfi</v>
      </c>
      <c r="E1739" s="1"/>
      <c r="F1739" s="1">
        <f ca="1">IFERROR(__xludf.DUMMYFUNCTION("""COMPUTED_VALUE"""),1965)</f>
        <v>1965</v>
      </c>
      <c r="G1739" s="1">
        <f ca="1">IFERROR(__xludf.DUMMYFUNCTION("""COMPUTED_VALUE"""),3710)</f>
        <v>3710</v>
      </c>
      <c r="H1739" s="1" t="str">
        <f ca="1">IFERROR(__xludf.DUMMYFUNCTION("""COMPUTED_VALUE"""),"MTLSZ003710A20")</f>
        <v>MTLSZ003710A20</v>
      </c>
      <c r="I1739" s="2">
        <f ca="1">IFERROR(__xludf.DUMMYFUNCTION("""COMPUTED_VALUE"""),44153)</f>
        <v>44153</v>
      </c>
      <c r="J1739" s="2">
        <f ca="1">IFERROR(__xludf.DUMMYFUNCTION("""COMPUTED_VALUE"""),44517)</f>
        <v>44517</v>
      </c>
    </row>
    <row r="1740" spans="1:10" x14ac:dyDescent="0.25">
      <c r="A1740" s="1" t="str">
        <f ca="1">IFERROR(__xludf.DUMMYFUNCTION("""COMPUTED_VALUE"""),"Főtaxi SC")</f>
        <v>Főtaxi SC</v>
      </c>
      <c r="B1740" s="1" t="str">
        <f ca="1">IFERROR(__xludf.DUMMYFUNCTION("""COMPUTED_VALUE"""),"Nánay János András dr.")</f>
        <v>Nánay János András dr.</v>
      </c>
      <c r="C1740" s="1"/>
      <c r="D1740" s="1" t="str">
        <f ca="1">IFERROR(__xludf.DUMMYFUNCTION("""COMPUTED_VALUE"""),"Férfi")</f>
        <v>Férfi</v>
      </c>
      <c r="E1740" s="1"/>
      <c r="F1740" s="1">
        <f ca="1">IFERROR(__xludf.DUMMYFUNCTION("""COMPUTED_VALUE"""),1983)</f>
        <v>1983</v>
      </c>
      <c r="G1740" s="1">
        <f ca="1">IFERROR(__xludf.DUMMYFUNCTION("""COMPUTED_VALUE"""),3725)</f>
        <v>3725</v>
      </c>
      <c r="H1740" s="1" t="str">
        <f ca="1">IFERROR(__xludf.DUMMYFUNCTION("""COMPUTED_VALUE"""),"MTLSZ003725A20")</f>
        <v>MTLSZ003725A20</v>
      </c>
      <c r="I1740" s="2">
        <f ca="1">IFERROR(__xludf.DUMMYFUNCTION("""COMPUTED_VALUE"""),44153)</f>
        <v>44153</v>
      </c>
      <c r="J1740" s="2">
        <f ca="1">IFERROR(__xludf.DUMMYFUNCTION("""COMPUTED_VALUE"""),44517)</f>
        <v>44517</v>
      </c>
    </row>
    <row r="1741" spans="1:10" x14ac:dyDescent="0.25">
      <c r="A1741" s="1" t="str">
        <f ca="1">IFERROR(__xludf.DUMMYFUNCTION("""COMPUTED_VALUE"""),"Főtaxi SC")</f>
        <v>Főtaxi SC</v>
      </c>
      <c r="B1741" s="1" t="str">
        <f ca="1">IFERROR(__xludf.DUMMYFUNCTION("""COMPUTED_VALUE"""),"Polereczky Tamás")</f>
        <v>Polereczky Tamás</v>
      </c>
      <c r="C1741" s="1"/>
      <c r="D1741" s="1" t="str">
        <f ca="1">IFERROR(__xludf.DUMMYFUNCTION("""COMPUTED_VALUE"""),"Férfi")</f>
        <v>Férfi</v>
      </c>
      <c r="E1741" s="1"/>
      <c r="F1741" s="1">
        <f ca="1">IFERROR(__xludf.DUMMYFUNCTION("""COMPUTED_VALUE"""),1973)</f>
        <v>1973</v>
      </c>
      <c r="G1741" s="1">
        <f ca="1">IFERROR(__xludf.DUMMYFUNCTION("""COMPUTED_VALUE"""),3721)</f>
        <v>3721</v>
      </c>
      <c r="H1741" s="1" t="str">
        <f ca="1">IFERROR(__xludf.DUMMYFUNCTION("""COMPUTED_VALUE"""),"MTLSZ003721A20")</f>
        <v>MTLSZ003721A20</v>
      </c>
      <c r="I1741" s="2">
        <f ca="1">IFERROR(__xludf.DUMMYFUNCTION("""COMPUTED_VALUE"""),44153)</f>
        <v>44153</v>
      </c>
      <c r="J1741" s="2">
        <f ca="1">IFERROR(__xludf.DUMMYFUNCTION("""COMPUTED_VALUE"""),44517)</f>
        <v>44517</v>
      </c>
    </row>
    <row r="1742" spans="1:10" x14ac:dyDescent="0.25">
      <c r="A1742" s="1" t="str">
        <f ca="1">IFERROR(__xludf.DUMMYFUNCTION("""COMPUTED_VALUE"""),"Főtaxi SC")</f>
        <v>Főtaxi SC</v>
      </c>
      <c r="B1742" s="1" t="str">
        <f ca="1">IFERROR(__xludf.DUMMYFUNCTION("""COMPUTED_VALUE"""),"Szabó György")</f>
        <v>Szabó György</v>
      </c>
      <c r="C1742" s="1"/>
      <c r="D1742" s="1" t="str">
        <f ca="1">IFERROR(__xludf.DUMMYFUNCTION("""COMPUTED_VALUE"""),"Férfi")</f>
        <v>Férfi</v>
      </c>
      <c r="E1742" s="1"/>
      <c r="F1742" s="1">
        <f ca="1">IFERROR(__xludf.DUMMYFUNCTION("""COMPUTED_VALUE"""),1972)</f>
        <v>1972</v>
      </c>
      <c r="G1742" s="1">
        <f ca="1">IFERROR(__xludf.DUMMYFUNCTION("""COMPUTED_VALUE"""),3705)</f>
        <v>3705</v>
      </c>
      <c r="H1742" s="1" t="str">
        <f ca="1">IFERROR(__xludf.DUMMYFUNCTION("""COMPUTED_VALUE"""),"MTLSZ003705A20")</f>
        <v>MTLSZ003705A20</v>
      </c>
      <c r="I1742" s="2">
        <f ca="1">IFERROR(__xludf.DUMMYFUNCTION("""COMPUTED_VALUE"""),44153)</f>
        <v>44153</v>
      </c>
      <c r="J1742" s="2">
        <f ca="1">IFERROR(__xludf.DUMMYFUNCTION("""COMPUTED_VALUE"""),44517)</f>
        <v>44517</v>
      </c>
    </row>
    <row r="1743" spans="1:10" x14ac:dyDescent="0.25">
      <c r="A1743" s="1" t="str">
        <f ca="1">IFERROR(__xludf.DUMMYFUNCTION("""COMPUTED_VALUE"""),"Főtaxi SC")</f>
        <v>Főtaxi SC</v>
      </c>
      <c r="B1743" s="1" t="str">
        <f ca="1">IFERROR(__xludf.DUMMYFUNCTION("""COMPUTED_VALUE"""),"Szűcsné Bakonyi Piroska")</f>
        <v>Szűcsné Bakonyi Piroska</v>
      </c>
      <c r="C1743" s="1"/>
      <c r="D1743" s="1" t="str">
        <f ca="1">IFERROR(__xludf.DUMMYFUNCTION("""COMPUTED_VALUE"""),"Nő")</f>
        <v>Nő</v>
      </c>
      <c r="E1743" s="1"/>
      <c r="F1743" s="1">
        <f ca="1">IFERROR(__xludf.DUMMYFUNCTION("""COMPUTED_VALUE"""),1968)</f>
        <v>1968</v>
      </c>
      <c r="G1743" s="1">
        <f ca="1">IFERROR(__xludf.DUMMYFUNCTION("""COMPUTED_VALUE"""),3719)</f>
        <v>3719</v>
      </c>
      <c r="H1743" s="1" t="str">
        <f ca="1">IFERROR(__xludf.DUMMYFUNCTION("""COMPUTED_VALUE"""),"MTLSZ003719A20")</f>
        <v>MTLSZ003719A20</v>
      </c>
      <c r="I1743" s="2">
        <f ca="1">IFERROR(__xludf.DUMMYFUNCTION("""COMPUTED_VALUE"""),44153)</f>
        <v>44153</v>
      </c>
      <c r="J1743" s="2">
        <f ca="1">IFERROR(__xludf.DUMMYFUNCTION("""COMPUTED_VALUE"""),44517)</f>
        <v>44517</v>
      </c>
    </row>
    <row r="1744" spans="1:10" x14ac:dyDescent="0.25">
      <c r="A1744" s="1" t="str">
        <f ca="1">IFERROR(__xludf.DUMMYFUNCTION("""COMPUTED_VALUE"""),"Főtaxi SC")</f>
        <v>Főtaxi SC</v>
      </c>
      <c r="B1744" s="1" t="str">
        <f ca="1">IFERROR(__xludf.DUMMYFUNCTION("""COMPUTED_VALUE"""),"Tarjányi Péter")</f>
        <v>Tarjányi Péter</v>
      </c>
      <c r="C1744" s="1"/>
      <c r="D1744" s="1" t="str">
        <f ca="1">IFERROR(__xludf.DUMMYFUNCTION("""COMPUTED_VALUE"""),"Férfi")</f>
        <v>Férfi</v>
      </c>
      <c r="E1744" s="1"/>
      <c r="F1744" s="1">
        <f ca="1">IFERROR(__xludf.DUMMYFUNCTION("""COMPUTED_VALUE"""),2008)</f>
        <v>2008</v>
      </c>
      <c r="G1744" s="1">
        <f ca="1">IFERROR(__xludf.DUMMYFUNCTION("""COMPUTED_VALUE"""),3702)</f>
        <v>3702</v>
      </c>
      <c r="H1744" s="1" t="str">
        <f ca="1">IFERROR(__xludf.DUMMYFUNCTION("""COMPUTED_VALUE"""),"MTLSZ003702A20")</f>
        <v>MTLSZ003702A20</v>
      </c>
      <c r="I1744" s="2">
        <f ca="1">IFERROR(__xludf.DUMMYFUNCTION("""COMPUTED_VALUE"""),44153)</f>
        <v>44153</v>
      </c>
      <c r="J1744" s="2">
        <f ca="1">IFERROR(__xludf.DUMMYFUNCTION("""COMPUTED_VALUE"""),44517)</f>
        <v>44517</v>
      </c>
    </row>
    <row r="1745" spans="1:10" x14ac:dyDescent="0.25">
      <c r="A1745" s="1" t="str">
        <f ca="1">IFERROR(__xludf.DUMMYFUNCTION("""COMPUTED_VALUE"""),"Főtaxi SC")</f>
        <v>Főtaxi SC</v>
      </c>
      <c r="B1745" s="1" t="str">
        <f ca="1">IFERROR(__xludf.DUMMYFUNCTION("""COMPUTED_VALUE"""),"Tarjányi Péter")</f>
        <v>Tarjányi Péter</v>
      </c>
      <c r="C1745" s="1"/>
      <c r="D1745" s="1" t="str">
        <f ca="1">IFERROR(__xludf.DUMMYFUNCTION("""COMPUTED_VALUE"""),"Férfi")</f>
        <v>Férfi</v>
      </c>
      <c r="E1745" s="1"/>
      <c r="F1745" s="1">
        <f ca="1">IFERROR(__xludf.DUMMYFUNCTION("""COMPUTED_VALUE"""),1976)</f>
        <v>1976</v>
      </c>
      <c r="G1745" s="1">
        <f ca="1">IFERROR(__xludf.DUMMYFUNCTION("""COMPUTED_VALUE"""),3703)</f>
        <v>3703</v>
      </c>
      <c r="H1745" s="1" t="str">
        <f ca="1">IFERROR(__xludf.DUMMYFUNCTION("""COMPUTED_VALUE"""),"MTLSZ003703A20")</f>
        <v>MTLSZ003703A20</v>
      </c>
      <c r="I1745" s="2">
        <f ca="1">IFERROR(__xludf.DUMMYFUNCTION("""COMPUTED_VALUE"""),44153)</f>
        <v>44153</v>
      </c>
      <c r="J1745" s="2">
        <f ca="1">IFERROR(__xludf.DUMMYFUNCTION("""COMPUTED_VALUE"""),44517)</f>
        <v>44517</v>
      </c>
    </row>
    <row r="1746" spans="1:10" x14ac:dyDescent="0.25">
      <c r="A1746" s="1" t="str">
        <f ca="1">IFERROR(__xludf.DUMMYFUNCTION("""COMPUTED_VALUE"""),"Főtaxi SC")</f>
        <v>Főtaxi SC</v>
      </c>
      <c r="B1746" s="1" t="str">
        <f ca="1">IFERROR(__xludf.DUMMYFUNCTION("""COMPUTED_VALUE"""),"Turmezey Luca")</f>
        <v>Turmezey Luca</v>
      </c>
      <c r="C1746" s="1"/>
      <c r="D1746" s="1" t="str">
        <f ca="1">IFERROR(__xludf.DUMMYFUNCTION("""COMPUTED_VALUE"""),"Nő")</f>
        <v>Nő</v>
      </c>
      <c r="E1746" s="1"/>
      <c r="F1746" s="1">
        <f ca="1">IFERROR(__xludf.DUMMYFUNCTION("""COMPUTED_VALUE"""),1981)</f>
        <v>1981</v>
      </c>
      <c r="G1746" s="1">
        <f ca="1">IFERROR(__xludf.DUMMYFUNCTION("""COMPUTED_VALUE"""),3711)</f>
        <v>3711</v>
      </c>
      <c r="H1746" s="1" t="str">
        <f ca="1">IFERROR(__xludf.DUMMYFUNCTION("""COMPUTED_VALUE"""),"MTLSZ003711A20")</f>
        <v>MTLSZ003711A20</v>
      </c>
      <c r="I1746" s="2">
        <f ca="1">IFERROR(__xludf.DUMMYFUNCTION("""COMPUTED_VALUE"""),44153)</f>
        <v>44153</v>
      </c>
      <c r="J1746" s="2">
        <f ca="1">IFERROR(__xludf.DUMMYFUNCTION("""COMPUTED_VALUE"""),44517)</f>
        <v>44517</v>
      </c>
    </row>
    <row r="1747" spans="1:10" x14ac:dyDescent="0.25">
      <c r="A1747" s="1" t="str">
        <f ca="1">IFERROR(__xludf.DUMMYFUNCTION("""COMPUTED_VALUE"""),"Főtaxi SC")</f>
        <v>Főtaxi SC</v>
      </c>
      <c r="B1747" s="1" t="str">
        <f ca="1">IFERROR(__xludf.DUMMYFUNCTION("""COMPUTED_VALUE"""),"Vecsey Ádám")</f>
        <v>Vecsey Ádám</v>
      </c>
      <c r="C1747" s="1"/>
      <c r="D1747" s="1" t="str">
        <f ca="1">IFERROR(__xludf.DUMMYFUNCTION("""COMPUTED_VALUE"""),"Férfi")</f>
        <v>Férfi</v>
      </c>
      <c r="E1747" s="1"/>
      <c r="F1747" s="1">
        <f ca="1">IFERROR(__xludf.DUMMYFUNCTION("""COMPUTED_VALUE"""),1978)</f>
        <v>1978</v>
      </c>
      <c r="G1747" s="1">
        <f ca="1">IFERROR(__xludf.DUMMYFUNCTION("""COMPUTED_VALUE"""),3709)</f>
        <v>3709</v>
      </c>
      <c r="H1747" s="1" t="str">
        <f ca="1">IFERROR(__xludf.DUMMYFUNCTION("""COMPUTED_VALUE"""),"MTLSZ003709A20")</f>
        <v>MTLSZ003709A20</v>
      </c>
      <c r="I1747" s="2">
        <f ca="1">IFERROR(__xludf.DUMMYFUNCTION("""COMPUTED_VALUE"""),44153)</f>
        <v>44153</v>
      </c>
      <c r="J1747" s="2">
        <f ca="1">IFERROR(__xludf.DUMMYFUNCTION("""COMPUTED_VALUE"""),44517)</f>
        <v>44517</v>
      </c>
    </row>
    <row r="1748" spans="1:10" x14ac:dyDescent="0.25">
      <c r="A1748" s="1" t="str">
        <f ca="1">IFERROR(__xludf.DUMMYFUNCTION("""COMPUTED_VALUE"""),"Főtaxi SC")</f>
        <v>Főtaxi SC</v>
      </c>
      <c r="B1748" s="1" t="str">
        <f ca="1">IFERROR(__xludf.DUMMYFUNCTION("""COMPUTED_VALUE"""),"Vilusz Edgár")</f>
        <v>Vilusz Edgár</v>
      </c>
      <c r="C1748" s="1"/>
      <c r="D1748" s="1" t="str">
        <f ca="1">IFERROR(__xludf.DUMMYFUNCTION("""COMPUTED_VALUE"""),"Férfi")</f>
        <v>Férfi</v>
      </c>
      <c r="E1748" s="1"/>
      <c r="F1748" s="1">
        <f ca="1">IFERROR(__xludf.DUMMYFUNCTION("""COMPUTED_VALUE"""),1966)</f>
        <v>1966</v>
      </c>
      <c r="G1748" s="1">
        <f ca="1">IFERROR(__xludf.DUMMYFUNCTION("""COMPUTED_VALUE"""),3720)</f>
        <v>3720</v>
      </c>
      <c r="H1748" s="1" t="str">
        <f ca="1">IFERROR(__xludf.DUMMYFUNCTION("""COMPUTED_VALUE"""),"MTLSZ003720A20")</f>
        <v>MTLSZ003720A20</v>
      </c>
      <c r="I1748" s="2">
        <f ca="1">IFERROR(__xludf.DUMMYFUNCTION("""COMPUTED_VALUE"""),44153)</f>
        <v>44153</v>
      </c>
      <c r="J1748" s="2">
        <f ca="1">IFERROR(__xludf.DUMMYFUNCTION("""COMPUTED_VALUE"""),44517)</f>
        <v>44517</v>
      </c>
    </row>
    <row r="1749" spans="1:10" x14ac:dyDescent="0.25">
      <c r="A1749" s="1" t="str">
        <f ca="1">IFERROR(__xludf.DUMMYFUNCTION("""COMPUTED_VALUE"""),"Főtaxi SC")</f>
        <v>Főtaxi SC</v>
      </c>
      <c r="B1749" s="1" t="str">
        <f ca="1">IFERROR(__xludf.DUMMYFUNCTION("""COMPUTED_VALUE"""),"Vizi Gábor")</f>
        <v>Vizi Gábor</v>
      </c>
      <c r="C1749" s="1"/>
      <c r="D1749" s="1" t="str">
        <f ca="1">IFERROR(__xludf.DUMMYFUNCTION("""COMPUTED_VALUE"""),"Férfi")</f>
        <v>Férfi</v>
      </c>
      <c r="E1749" s="1"/>
      <c r="F1749" s="1">
        <f ca="1">IFERROR(__xludf.DUMMYFUNCTION("""COMPUTED_VALUE"""),1956)</f>
        <v>1956</v>
      </c>
      <c r="G1749" s="1">
        <f ca="1">IFERROR(__xludf.DUMMYFUNCTION("""COMPUTED_VALUE"""),3713)</f>
        <v>3713</v>
      </c>
      <c r="H1749" s="1" t="str">
        <f ca="1">IFERROR(__xludf.DUMMYFUNCTION("""COMPUTED_VALUE"""),"MTLSZ003713A20")</f>
        <v>MTLSZ003713A20</v>
      </c>
      <c r="I1749" s="2">
        <f ca="1">IFERROR(__xludf.DUMMYFUNCTION("""COMPUTED_VALUE"""),44153)</f>
        <v>44153</v>
      </c>
      <c r="J1749" s="2">
        <f ca="1">IFERROR(__xludf.DUMMYFUNCTION("""COMPUTED_VALUE"""),44517)</f>
        <v>44517</v>
      </c>
    </row>
    <row r="1750" spans="1:10" x14ac:dyDescent="0.25">
      <c r="A1750" s="1" t="str">
        <f ca="1">IFERROR(__xludf.DUMMYFUNCTION("""COMPUTED_VALUE"""),"Főtaxi SC")</f>
        <v>Főtaxi SC</v>
      </c>
      <c r="B1750" s="1" t="str">
        <f ca="1">IFERROR(__xludf.DUMMYFUNCTION("""COMPUTED_VALUE"""),"Vizi Tünde")</f>
        <v>Vizi Tünde</v>
      </c>
      <c r="C1750" s="1"/>
      <c r="D1750" s="1" t="str">
        <f ca="1">IFERROR(__xludf.DUMMYFUNCTION("""COMPUTED_VALUE"""),"Nő")</f>
        <v>Nő</v>
      </c>
      <c r="E1750" s="1"/>
      <c r="F1750" s="1">
        <f ca="1">IFERROR(__xludf.DUMMYFUNCTION("""COMPUTED_VALUE"""),1975)</f>
        <v>1975</v>
      </c>
      <c r="G1750" s="1">
        <f ca="1">IFERROR(__xludf.DUMMYFUNCTION("""COMPUTED_VALUE"""),3718)</f>
        <v>3718</v>
      </c>
      <c r="H1750" s="1" t="str">
        <f ca="1">IFERROR(__xludf.DUMMYFUNCTION("""COMPUTED_VALUE"""),"MTLSZ003718A20")</f>
        <v>MTLSZ003718A20</v>
      </c>
      <c r="I1750" s="2">
        <f ca="1">IFERROR(__xludf.DUMMYFUNCTION("""COMPUTED_VALUE"""),44153)</f>
        <v>44153</v>
      </c>
      <c r="J1750" s="2">
        <f ca="1">IFERROR(__xludf.DUMMYFUNCTION("""COMPUTED_VALUE"""),44517)</f>
        <v>44517</v>
      </c>
    </row>
    <row r="1751" spans="1:10" x14ac:dyDescent="0.25">
      <c r="A1751" s="1" t="str">
        <f ca="1">IFERROR(__xludf.DUMMYFUNCTION("""COMPUTED_VALUE"""),"Főtaxi SC")</f>
        <v>Főtaxi SC</v>
      </c>
      <c r="B1751" s="1"/>
      <c r="C1751" s="1"/>
      <c r="D1751" s="1"/>
      <c r="E1751" s="1"/>
      <c r="F1751" s="1">
        <f ca="1">IFERROR(__xludf.DUMMYFUNCTION("""COMPUTED_VALUE"""),1899)</f>
        <v>1899</v>
      </c>
      <c r="G1751" s="1">
        <f ca="1">IFERROR(__xludf.DUMMYFUNCTION("""COMPUTED_VALUE"""),3724)</f>
        <v>3724</v>
      </c>
      <c r="H1751" s="1"/>
      <c r="I1751" s="2">
        <f ca="1">IFERROR(__xludf.DUMMYFUNCTION("""COMPUTED_VALUE"""),44153)</f>
        <v>44153</v>
      </c>
      <c r="J1751" s="2">
        <f ca="1">IFERROR(__xludf.DUMMYFUNCTION("""COMPUTED_VALUE"""),44517)</f>
        <v>44517</v>
      </c>
    </row>
    <row r="1752" spans="1:10" x14ac:dyDescent="0.25">
      <c r="A1752" s="1" t="str">
        <f ca="1">IFERROR(__xludf.DUMMYFUNCTION("""COMPUTED_VALUE"""),"Gyöngyösoroszi SK")</f>
        <v>Gyöngyösoroszi SK</v>
      </c>
      <c r="B1752" s="1" t="str">
        <f ca="1">IFERROR(__xludf.DUMMYFUNCTION("""COMPUTED_VALUE"""),"Kertész Tamás")</f>
        <v>Kertész Tamás</v>
      </c>
      <c r="C1752" s="1"/>
      <c r="D1752" s="1" t="str">
        <f ca="1">IFERROR(__xludf.DUMMYFUNCTION("""COMPUTED_VALUE"""),"Férfi")</f>
        <v>Férfi</v>
      </c>
      <c r="E1752" s="1"/>
      <c r="F1752" s="1">
        <f ca="1">IFERROR(__xludf.DUMMYFUNCTION("""COMPUTED_VALUE"""),1993)</f>
        <v>1993</v>
      </c>
      <c r="G1752" s="1">
        <f ca="1">IFERROR(__xludf.DUMMYFUNCTION("""COMPUTED_VALUE"""),1366)</f>
        <v>1366</v>
      </c>
      <c r="H1752" s="1" t="str">
        <f ca="1">IFERROR(__xludf.DUMMYFUNCTION("""COMPUTED_VALUE"""),"MTLSZ001366A20")</f>
        <v>MTLSZ001366A20</v>
      </c>
      <c r="I1752" s="2">
        <f ca="1">IFERROR(__xludf.DUMMYFUNCTION("""COMPUTED_VALUE"""),44153)</f>
        <v>44153</v>
      </c>
      <c r="J1752" s="2">
        <f ca="1">IFERROR(__xludf.DUMMYFUNCTION("""COMPUTED_VALUE"""),44517)</f>
        <v>44517</v>
      </c>
    </row>
    <row r="1753" spans="1:10" x14ac:dyDescent="0.25">
      <c r="A1753" s="1" t="str">
        <f ca="1">IFERROR(__xludf.DUMMYFUNCTION("""COMPUTED_VALUE"""),"HZSE")</f>
        <v>HZSE</v>
      </c>
      <c r="B1753" s="1" t="str">
        <f ca="1">IFERROR(__xludf.DUMMYFUNCTION("""COMPUTED_VALUE"""),"Buziássy Dávid")</f>
        <v>Buziássy Dávid</v>
      </c>
      <c r="C1753" s="1"/>
      <c r="D1753" s="1" t="str">
        <f ca="1">IFERROR(__xludf.DUMMYFUNCTION("""COMPUTED_VALUE"""),"Férfi")</f>
        <v>Férfi</v>
      </c>
      <c r="E1753" s="1"/>
      <c r="F1753" s="1">
        <f ca="1">IFERROR(__xludf.DUMMYFUNCTION("""COMPUTED_VALUE"""),1990)</f>
        <v>1990</v>
      </c>
      <c r="G1753" s="1">
        <f ca="1">IFERROR(__xludf.DUMMYFUNCTION("""COMPUTED_VALUE"""),3697)</f>
        <v>3697</v>
      </c>
      <c r="H1753" s="1" t="str">
        <f ca="1">IFERROR(__xludf.DUMMYFUNCTION("""COMPUTED_VALUE"""),"MTLSZ003697A20")</f>
        <v>MTLSZ003697A20</v>
      </c>
      <c r="I1753" s="2">
        <f ca="1">IFERROR(__xludf.DUMMYFUNCTION("""COMPUTED_VALUE"""),44153)</f>
        <v>44153</v>
      </c>
      <c r="J1753" s="2">
        <f ca="1">IFERROR(__xludf.DUMMYFUNCTION("""COMPUTED_VALUE"""),44517)</f>
        <v>44517</v>
      </c>
    </row>
    <row r="1754" spans="1:10" x14ac:dyDescent="0.25">
      <c r="A1754" s="1" t="str">
        <f ca="1">IFERROR(__xludf.DUMMYFUNCTION("""COMPUTED_VALUE"""),"HZSE")</f>
        <v>HZSE</v>
      </c>
      <c r="B1754" s="1" t="str">
        <f ca="1">IFERROR(__xludf.DUMMYFUNCTION("""COMPUTED_VALUE"""),"Buziássy-Kneifel Andrea")</f>
        <v>Buziássy-Kneifel Andrea</v>
      </c>
      <c r="C1754" s="1"/>
      <c r="D1754" s="1" t="str">
        <f ca="1">IFERROR(__xludf.DUMMYFUNCTION("""COMPUTED_VALUE"""),"Nő")</f>
        <v>Nő</v>
      </c>
      <c r="E1754" s="1"/>
      <c r="F1754" s="1">
        <f ca="1">IFERROR(__xludf.DUMMYFUNCTION("""COMPUTED_VALUE"""),1992)</f>
        <v>1992</v>
      </c>
      <c r="G1754" s="1">
        <f ca="1">IFERROR(__xludf.DUMMYFUNCTION("""COMPUTED_VALUE"""),3699)</f>
        <v>3699</v>
      </c>
      <c r="H1754" s="1" t="str">
        <f ca="1">IFERROR(__xludf.DUMMYFUNCTION("""COMPUTED_VALUE"""),"MTLSZ003699A20")</f>
        <v>MTLSZ003699A20</v>
      </c>
      <c r="I1754" s="2">
        <f ca="1">IFERROR(__xludf.DUMMYFUNCTION("""COMPUTED_VALUE"""),44153)</f>
        <v>44153</v>
      </c>
      <c r="J1754" s="2">
        <f ca="1">IFERROR(__xludf.DUMMYFUNCTION("""COMPUTED_VALUE"""),44517)</f>
        <v>44517</v>
      </c>
    </row>
    <row r="1755" spans="1:10" x14ac:dyDescent="0.25">
      <c r="A1755" s="1" t="str">
        <f ca="1">IFERROR(__xludf.DUMMYFUNCTION("""COMPUTED_VALUE"""),"HZSE")</f>
        <v>HZSE</v>
      </c>
      <c r="B1755" s="1" t="str">
        <f ca="1">IFERROR(__xludf.DUMMYFUNCTION("""COMPUTED_VALUE"""),"Gerendy Péter Dr.")</f>
        <v>Gerendy Péter Dr.</v>
      </c>
      <c r="C1755" s="1"/>
      <c r="D1755" s="1" t="str">
        <f ca="1">IFERROR(__xludf.DUMMYFUNCTION("""COMPUTED_VALUE"""),"Férfi")</f>
        <v>Férfi</v>
      </c>
      <c r="E1755" s="1"/>
      <c r="F1755" s="1">
        <f ca="1">IFERROR(__xludf.DUMMYFUNCTION("""COMPUTED_VALUE"""),1967)</f>
        <v>1967</v>
      </c>
      <c r="G1755" s="1">
        <f ca="1">IFERROR(__xludf.DUMMYFUNCTION("""COMPUTED_VALUE"""),3695)</f>
        <v>3695</v>
      </c>
      <c r="H1755" s="1" t="str">
        <f ca="1">IFERROR(__xludf.DUMMYFUNCTION("""COMPUTED_VALUE"""),"MTLSZ003695A20")</f>
        <v>MTLSZ003695A20</v>
      </c>
      <c r="I1755" s="2">
        <f ca="1">IFERROR(__xludf.DUMMYFUNCTION("""COMPUTED_VALUE"""),44153)</f>
        <v>44153</v>
      </c>
      <c r="J1755" s="2">
        <f ca="1">IFERROR(__xludf.DUMMYFUNCTION("""COMPUTED_VALUE"""),44517)</f>
        <v>44517</v>
      </c>
    </row>
    <row r="1756" spans="1:10" x14ac:dyDescent="0.25">
      <c r="A1756" s="1" t="str">
        <f ca="1">IFERROR(__xludf.DUMMYFUNCTION("""COMPUTED_VALUE"""),"HZSE")</f>
        <v>HZSE</v>
      </c>
      <c r="B1756" s="1" t="str">
        <f ca="1">IFERROR(__xludf.DUMMYFUNCTION("""COMPUTED_VALUE"""),"Horváth Endre")</f>
        <v>Horváth Endre</v>
      </c>
      <c r="C1756" s="1"/>
      <c r="D1756" s="1" t="str">
        <f ca="1">IFERROR(__xludf.DUMMYFUNCTION("""COMPUTED_VALUE"""),"Férfi")</f>
        <v>Férfi</v>
      </c>
      <c r="E1756" s="1"/>
      <c r="F1756" s="1">
        <f ca="1">IFERROR(__xludf.DUMMYFUNCTION("""COMPUTED_VALUE"""),1978)</f>
        <v>1978</v>
      </c>
      <c r="G1756" s="1">
        <f ca="1">IFERROR(__xludf.DUMMYFUNCTION("""COMPUTED_VALUE"""),3698)</f>
        <v>3698</v>
      </c>
      <c r="H1756" s="1" t="str">
        <f ca="1">IFERROR(__xludf.DUMMYFUNCTION("""COMPUTED_VALUE"""),"MTLSZ003698A20")</f>
        <v>MTLSZ003698A20</v>
      </c>
      <c r="I1756" s="2">
        <f ca="1">IFERROR(__xludf.DUMMYFUNCTION("""COMPUTED_VALUE"""),44153)</f>
        <v>44153</v>
      </c>
      <c r="J1756" s="2">
        <f ca="1">IFERROR(__xludf.DUMMYFUNCTION("""COMPUTED_VALUE"""),44517)</f>
        <v>44517</v>
      </c>
    </row>
    <row r="1757" spans="1:10" x14ac:dyDescent="0.25">
      <c r="A1757" s="1" t="str">
        <f ca="1">IFERROR(__xludf.DUMMYFUNCTION("""COMPUTED_VALUE"""),"HZSE")</f>
        <v>HZSE</v>
      </c>
      <c r="B1757" s="1" t="str">
        <f ca="1">IFERROR(__xludf.DUMMYFUNCTION("""COMPUTED_VALUE"""),"Kovács Gergely")</f>
        <v>Kovács Gergely</v>
      </c>
      <c r="C1757" s="1"/>
      <c r="D1757" s="1" t="str">
        <f ca="1">IFERROR(__xludf.DUMMYFUNCTION("""COMPUTED_VALUE"""),"Férfi")</f>
        <v>Férfi</v>
      </c>
      <c r="E1757" s="1"/>
      <c r="F1757" s="1">
        <f ca="1">IFERROR(__xludf.DUMMYFUNCTION("""COMPUTED_VALUE"""),1973)</f>
        <v>1973</v>
      </c>
      <c r="G1757" s="1">
        <f ca="1">IFERROR(__xludf.DUMMYFUNCTION("""COMPUTED_VALUE"""),3696)</f>
        <v>3696</v>
      </c>
      <c r="H1757" s="1" t="str">
        <f ca="1">IFERROR(__xludf.DUMMYFUNCTION("""COMPUTED_VALUE"""),"MTLSZ003696A20")</f>
        <v>MTLSZ003696A20</v>
      </c>
      <c r="I1757" s="2">
        <f ca="1">IFERROR(__xludf.DUMMYFUNCTION("""COMPUTED_VALUE"""),44153)</f>
        <v>44153</v>
      </c>
      <c r="J1757" s="2">
        <f ca="1">IFERROR(__xludf.DUMMYFUNCTION("""COMPUTED_VALUE"""),44517)</f>
        <v>44517</v>
      </c>
    </row>
    <row r="1758" spans="1:10" x14ac:dyDescent="0.25">
      <c r="A1758" s="1" t="str">
        <f ca="1">IFERROR(__xludf.DUMMYFUNCTION("""COMPUTED_VALUE"""),"HZSE")</f>
        <v>HZSE</v>
      </c>
      <c r="B1758" s="1" t="str">
        <f ca="1">IFERROR(__xludf.DUMMYFUNCTION("""COMPUTED_VALUE"""),"Mayer Marianna")</f>
        <v>Mayer Marianna</v>
      </c>
      <c r="C1758" s="1"/>
      <c r="D1758" s="1" t="str">
        <f ca="1">IFERROR(__xludf.DUMMYFUNCTION("""COMPUTED_VALUE"""),"Nő")</f>
        <v>Nő</v>
      </c>
      <c r="E1758" s="1"/>
      <c r="F1758" s="1">
        <f ca="1">IFERROR(__xludf.DUMMYFUNCTION("""COMPUTED_VALUE"""),1982)</f>
        <v>1982</v>
      </c>
      <c r="G1758" s="1">
        <f ca="1">IFERROR(__xludf.DUMMYFUNCTION("""COMPUTED_VALUE"""),3694)</f>
        <v>3694</v>
      </c>
      <c r="H1758" s="1" t="str">
        <f ca="1">IFERROR(__xludf.DUMMYFUNCTION("""COMPUTED_VALUE"""),"MTLSZ003694A20")</f>
        <v>MTLSZ003694A20</v>
      </c>
      <c r="I1758" s="2">
        <f ca="1">IFERROR(__xludf.DUMMYFUNCTION("""COMPUTED_VALUE"""),44153)</f>
        <v>44153</v>
      </c>
      <c r="J1758" s="2">
        <f ca="1">IFERROR(__xludf.DUMMYFUNCTION("""COMPUTED_VALUE"""),44517)</f>
        <v>44517</v>
      </c>
    </row>
    <row r="1759" spans="1:10" x14ac:dyDescent="0.25">
      <c r="A1759" s="1" t="str">
        <f ca="1">IFERROR(__xludf.DUMMYFUNCTION("""COMPUTED_VALUE"""),"Pillangó TK")</f>
        <v>Pillangó TK</v>
      </c>
      <c r="B1759" s="1" t="str">
        <f ca="1">IFERROR(__xludf.DUMMYFUNCTION("""COMPUTED_VALUE"""),"Balaton Viola")</f>
        <v>Balaton Viola</v>
      </c>
      <c r="C1759" s="1"/>
      <c r="D1759" s="1" t="str">
        <f ca="1">IFERROR(__xludf.DUMMYFUNCTION("""COMPUTED_VALUE"""),"Nő")</f>
        <v>Nő</v>
      </c>
      <c r="E1759" s="1"/>
      <c r="F1759" s="1">
        <f ca="1">IFERROR(__xludf.DUMMYFUNCTION("""COMPUTED_VALUE"""),2010)</f>
        <v>2010</v>
      </c>
      <c r="G1759" s="1">
        <f ca="1">IFERROR(__xludf.DUMMYFUNCTION("""COMPUTED_VALUE"""),3733)</f>
        <v>3733</v>
      </c>
      <c r="H1759" s="1" t="str">
        <f ca="1">IFERROR(__xludf.DUMMYFUNCTION("""COMPUTED_VALUE"""),"MTLSZ003733A20")</f>
        <v>MTLSZ003733A20</v>
      </c>
      <c r="I1759" s="2">
        <f ca="1">IFERROR(__xludf.DUMMYFUNCTION("""COMPUTED_VALUE"""),44153)</f>
        <v>44153</v>
      </c>
      <c r="J1759" s="2">
        <f ca="1">IFERROR(__xludf.DUMMYFUNCTION("""COMPUTED_VALUE"""),44517)</f>
        <v>44517</v>
      </c>
    </row>
    <row r="1760" spans="1:10" x14ac:dyDescent="0.25">
      <c r="A1760" s="1" t="str">
        <f ca="1">IFERROR(__xludf.DUMMYFUNCTION("""COMPUTED_VALUE"""),"Pillangó TK")</f>
        <v>Pillangó TK</v>
      </c>
      <c r="B1760" s="1" t="str">
        <f ca="1">IFERROR(__xludf.DUMMYFUNCTION("""COMPUTED_VALUE"""),"Geosits Donát")</f>
        <v>Geosits Donát</v>
      </c>
      <c r="C1760" s="1"/>
      <c r="D1760" s="1" t="str">
        <f ca="1">IFERROR(__xludf.DUMMYFUNCTION("""COMPUTED_VALUE"""),"Férfi")</f>
        <v>Férfi</v>
      </c>
      <c r="E1760" s="1"/>
      <c r="F1760" s="1">
        <f ca="1">IFERROR(__xludf.DUMMYFUNCTION("""COMPUTED_VALUE"""),2008)</f>
        <v>2008</v>
      </c>
      <c r="G1760" s="1">
        <f ca="1">IFERROR(__xludf.DUMMYFUNCTION("""COMPUTED_VALUE"""),3731)</f>
        <v>3731</v>
      </c>
      <c r="H1760" s="1" t="str">
        <f ca="1">IFERROR(__xludf.DUMMYFUNCTION("""COMPUTED_VALUE"""),"MTLSZ003731A20")</f>
        <v>MTLSZ003731A20</v>
      </c>
      <c r="I1760" s="2">
        <f ca="1">IFERROR(__xludf.DUMMYFUNCTION("""COMPUTED_VALUE"""),44153)</f>
        <v>44153</v>
      </c>
      <c r="J1760" s="2">
        <f ca="1">IFERROR(__xludf.DUMMYFUNCTION("""COMPUTED_VALUE"""),44517)</f>
        <v>44517</v>
      </c>
    </row>
    <row r="1761" spans="1:10" x14ac:dyDescent="0.25">
      <c r="A1761" s="1" t="str">
        <f ca="1">IFERROR(__xludf.DUMMYFUNCTION("""COMPUTED_VALUE"""),"Pillangó TK")</f>
        <v>Pillangó TK</v>
      </c>
      <c r="B1761" s="1" t="str">
        <f ca="1">IFERROR(__xludf.DUMMYFUNCTION("""COMPUTED_VALUE"""),"Gletter Ariane")</f>
        <v>Gletter Ariane</v>
      </c>
      <c r="C1761" s="1"/>
      <c r="D1761" s="1" t="str">
        <f ca="1">IFERROR(__xludf.DUMMYFUNCTION("""COMPUTED_VALUE"""),"Nő")</f>
        <v>Nő</v>
      </c>
      <c r="E1761" s="1"/>
      <c r="F1761" s="1">
        <f ca="1">IFERROR(__xludf.DUMMYFUNCTION("""COMPUTED_VALUE"""),2002)</f>
        <v>2002</v>
      </c>
      <c r="G1761" s="1">
        <f ca="1">IFERROR(__xludf.DUMMYFUNCTION("""COMPUTED_VALUE"""),3730)</f>
        <v>3730</v>
      </c>
      <c r="H1761" s="1" t="str">
        <f ca="1">IFERROR(__xludf.DUMMYFUNCTION("""COMPUTED_VALUE"""),"MTLSZ003730A20")</f>
        <v>MTLSZ003730A20</v>
      </c>
      <c r="I1761" s="2">
        <f ca="1">IFERROR(__xludf.DUMMYFUNCTION("""COMPUTED_VALUE"""),44153)</f>
        <v>44153</v>
      </c>
      <c r="J1761" s="2">
        <f ca="1">IFERROR(__xludf.DUMMYFUNCTION("""COMPUTED_VALUE"""),44517)</f>
        <v>44517</v>
      </c>
    </row>
    <row r="1762" spans="1:10" x14ac:dyDescent="0.25">
      <c r="A1762" s="1" t="str">
        <f ca="1">IFERROR(__xludf.DUMMYFUNCTION("""COMPUTED_VALUE"""),"Pillangó TK")</f>
        <v>Pillangó TK</v>
      </c>
      <c r="B1762" s="1" t="str">
        <f ca="1">IFERROR(__xludf.DUMMYFUNCTION("""COMPUTED_VALUE"""),"Halmágyi Letícia")</f>
        <v>Halmágyi Letícia</v>
      </c>
      <c r="C1762" s="1"/>
      <c r="D1762" s="1" t="str">
        <f ca="1">IFERROR(__xludf.DUMMYFUNCTION("""COMPUTED_VALUE"""),"Nő")</f>
        <v>Nő</v>
      </c>
      <c r="E1762" s="1"/>
      <c r="F1762" s="1">
        <f ca="1">IFERROR(__xludf.DUMMYFUNCTION("""COMPUTED_VALUE"""),2012)</f>
        <v>2012</v>
      </c>
      <c r="G1762" s="1">
        <f ca="1">IFERROR(__xludf.DUMMYFUNCTION("""COMPUTED_VALUE"""),3734)</f>
        <v>3734</v>
      </c>
      <c r="H1762" s="1" t="str">
        <f ca="1">IFERROR(__xludf.DUMMYFUNCTION("""COMPUTED_VALUE"""),"MTLSZ003734A20")</f>
        <v>MTLSZ003734A20</v>
      </c>
      <c r="I1762" s="2">
        <f ca="1">IFERROR(__xludf.DUMMYFUNCTION("""COMPUTED_VALUE"""),44153)</f>
        <v>44153</v>
      </c>
      <c r="J1762" s="2">
        <f ca="1">IFERROR(__xludf.DUMMYFUNCTION("""COMPUTED_VALUE"""),44517)</f>
        <v>44517</v>
      </c>
    </row>
    <row r="1763" spans="1:10" x14ac:dyDescent="0.25">
      <c r="A1763" s="1" t="str">
        <f ca="1">IFERROR(__xludf.DUMMYFUNCTION("""COMPUTED_VALUE"""),"Pillangó TK")</f>
        <v>Pillangó TK</v>
      </c>
      <c r="B1763" s="1" t="str">
        <f ca="1">IFERROR(__xludf.DUMMYFUNCTION("""COMPUTED_VALUE"""),"Simon Márton")</f>
        <v>Simon Márton</v>
      </c>
      <c r="C1763" s="1"/>
      <c r="D1763" s="1" t="str">
        <f ca="1">IFERROR(__xludf.DUMMYFUNCTION("""COMPUTED_VALUE"""),"Férfi")</f>
        <v>Férfi</v>
      </c>
      <c r="E1763" s="1"/>
      <c r="F1763" s="1">
        <f ca="1">IFERROR(__xludf.DUMMYFUNCTION("""COMPUTED_VALUE"""),2009)</f>
        <v>2009</v>
      </c>
      <c r="G1763" s="1">
        <f ca="1">IFERROR(__xludf.DUMMYFUNCTION("""COMPUTED_VALUE"""),3729)</f>
        <v>3729</v>
      </c>
      <c r="H1763" s="1" t="str">
        <f ca="1">IFERROR(__xludf.DUMMYFUNCTION("""COMPUTED_VALUE"""),"MTLSZ003729A20")</f>
        <v>MTLSZ003729A20</v>
      </c>
      <c r="I1763" s="2">
        <f ca="1">IFERROR(__xludf.DUMMYFUNCTION("""COMPUTED_VALUE"""),44153)</f>
        <v>44153</v>
      </c>
      <c r="J1763" s="2">
        <f ca="1">IFERROR(__xludf.DUMMYFUNCTION("""COMPUTED_VALUE"""),44517)</f>
        <v>44517</v>
      </c>
    </row>
    <row r="1764" spans="1:10" x14ac:dyDescent="0.25">
      <c r="A1764" s="1" t="str">
        <f ca="1">IFERROR(__xludf.DUMMYFUNCTION("""COMPUTED_VALUE"""),"Pillangó TK")</f>
        <v>Pillangó TK</v>
      </c>
      <c r="B1764" s="1" t="str">
        <f ca="1">IFERROR(__xludf.DUMMYFUNCTION("""COMPUTED_VALUE"""),"Szabó Marcell")</f>
        <v>Szabó Marcell</v>
      </c>
      <c r="C1764" s="1"/>
      <c r="D1764" s="1" t="str">
        <f ca="1">IFERROR(__xludf.DUMMYFUNCTION("""COMPUTED_VALUE"""),"Férfi")</f>
        <v>Férfi</v>
      </c>
      <c r="E1764" s="1"/>
      <c r="F1764" s="1">
        <f ca="1">IFERROR(__xludf.DUMMYFUNCTION("""COMPUTED_VALUE"""),2009)</f>
        <v>2009</v>
      </c>
      <c r="G1764" s="1">
        <f ca="1">IFERROR(__xludf.DUMMYFUNCTION("""COMPUTED_VALUE"""),3737)</f>
        <v>3737</v>
      </c>
      <c r="H1764" s="1" t="str">
        <f ca="1">IFERROR(__xludf.DUMMYFUNCTION("""COMPUTED_VALUE"""),"MTLSZ003737A20")</f>
        <v>MTLSZ003737A20</v>
      </c>
      <c r="I1764" s="2">
        <f ca="1">IFERROR(__xludf.DUMMYFUNCTION("""COMPUTED_VALUE"""),44153)</f>
        <v>44153</v>
      </c>
      <c r="J1764" s="2">
        <f ca="1">IFERROR(__xludf.DUMMYFUNCTION("""COMPUTED_VALUE"""),44517)</f>
        <v>44517</v>
      </c>
    </row>
    <row r="1765" spans="1:10" x14ac:dyDescent="0.25">
      <c r="A1765" s="1" t="str">
        <f ca="1">IFERROR(__xludf.DUMMYFUNCTION("""COMPUTED_VALUE"""),"Pillangó TK")</f>
        <v>Pillangó TK</v>
      </c>
      <c r="B1765" s="1" t="str">
        <f ca="1">IFERROR(__xludf.DUMMYFUNCTION("""COMPUTED_VALUE"""),"Szűcs Illangó")</f>
        <v>Szűcs Illangó</v>
      </c>
      <c r="C1765" s="1"/>
      <c r="D1765" s="1" t="str">
        <f ca="1">IFERROR(__xludf.DUMMYFUNCTION("""COMPUTED_VALUE"""),"Nő")</f>
        <v>Nő</v>
      </c>
      <c r="E1765" s="1"/>
      <c r="F1765" s="1">
        <f ca="1">IFERROR(__xludf.DUMMYFUNCTION("""COMPUTED_VALUE"""),2009)</f>
        <v>2009</v>
      </c>
      <c r="G1765" s="1">
        <f ca="1">IFERROR(__xludf.DUMMYFUNCTION("""COMPUTED_VALUE"""),3736)</f>
        <v>3736</v>
      </c>
      <c r="H1765" s="1" t="str">
        <f ca="1">IFERROR(__xludf.DUMMYFUNCTION("""COMPUTED_VALUE"""),"MTLSZ003736A20")</f>
        <v>MTLSZ003736A20</v>
      </c>
      <c r="I1765" s="2">
        <f ca="1">IFERROR(__xludf.DUMMYFUNCTION("""COMPUTED_VALUE"""),44153)</f>
        <v>44153</v>
      </c>
      <c r="J1765" s="2">
        <f ca="1">IFERROR(__xludf.DUMMYFUNCTION("""COMPUTED_VALUE"""),44517)</f>
        <v>44517</v>
      </c>
    </row>
    <row r="1766" spans="1:10" x14ac:dyDescent="0.25">
      <c r="A1766" s="1" t="str">
        <f ca="1">IFERROR(__xludf.DUMMYFUNCTION("""COMPUTED_VALUE"""),"Pillangó TK")</f>
        <v>Pillangó TK</v>
      </c>
      <c r="B1766" s="1" t="str">
        <f ca="1">IFERROR(__xludf.DUMMYFUNCTION("""COMPUTED_VALUE"""),"Szűcs Iringó")</f>
        <v>Szűcs Iringó</v>
      </c>
      <c r="C1766" s="1"/>
      <c r="D1766" s="1" t="str">
        <f ca="1">IFERROR(__xludf.DUMMYFUNCTION("""COMPUTED_VALUE"""),"Nő")</f>
        <v>Nő</v>
      </c>
      <c r="E1766" s="1"/>
      <c r="F1766" s="1">
        <f ca="1">IFERROR(__xludf.DUMMYFUNCTION("""COMPUTED_VALUE"""),2013)</f>
        <v>2013</v>
      </c>
      <c r="G1766" s="1">
        <f ca="1">IFERROR(__xludf.DUMMYFUNCTION("""COMPUTED_VALUE"""),3735)</f>
        <v>3735</v>
      </c>
      <c r="H1766" s="1" t="str">
        <f ca="1">IFERROR(__xludf.DUMMYFUNCTION("""COMPUTED_VALUE"""),"MTLSZ003735A20")</f>
        <v>MTLSZ003735A20</v>
      </c>
      <c r="I1766" s="2">
        <f ca="1">IFERROR(__xludf.DUMMYFUNCTION("""COMPUTED_VALUE"""),44153)</f>
        <v>44153</v>
      </c>
      <c r="J1766" s="2">
        <f ca="1">IFERROR(__xludf.DUMMYFUNCTION("""COMPUTED_VALUE"""),44517)</f>
        <v>44517</v>
      </c>
    </row>
    <row r="1767" spans="1:10" x14ac:dyDescent="0.25">
      <c r="A1767" s="1" t="str">
        <f ca="1">IFERROR(__xludf.DUMMYFUNCTION("""COMPUTED_VALUE"""),"Pillangó TK")</f>
        <v>Pillangó TK</v>
      </c>
      <c r="B1767" s="1" t="str">
        <f ca="1">IFERROR(__xludf.DUMMYFUNCTION("""COMPUTED_VALUE"""),"Tóth Barnabás")</f>
        <v>Tóth Barnabás</v>
      </c>
      <c r="C1767" s="1"/>
      <c r="D1767" s="1" t="str">
        <f ca="1">IFERROR(__xludf.DUMMYFUNCTION("""COMPUTED_VALUE"""),"Férfi")</f>
        <v>Férfi</v>
      </c>
      <c r="E1767" s="1"/>
      <c r="F1767" s="1">
        <f ca="1">IFERROR(__xludf.DUMMYFUNCTION("""COMPUTED_VALUE"""),2003)</f>
        <v>2003</v>
      </c>
      <c r="G1767" s="1">
        <f ca="1">IFERROR(__xludf.DUMMYFUNCTION("""COMPUTED_VALUE"""),3732)</f>
        <v>3732</v>
      </c>
      <c r="H1767" s="1" t="str">
        <f ca="1">IFERROR(__xludf.DUMMYFUNCTION("""COMPUTED_VALUE"""),"MTLSZ003732A20")</f>
        <v>MTLSZ003732A20</v>
      </c>
      <c r="I1767" s="2">
        <f ca="1">IFERROR(__xludf.DUMMYFUNCTION("""COMPUTED_VALUE"""),44153)</f>
        <v>44153</v>
      </c>
      <c r="J1767" s="2">
        <f ca="1">IFERROR(__xludf.DUMMYFUNCTION("""COMPUTED_VALUE"""),44517)</f>
        <v>44517</v>
      </c>
    </row>
    <row r="1768" spans="1:10" x14ac:dyDescent="0.25">
      <c r="A1768" s="1" t="str">
        <f ca="1">IFERROR(__xludf.DUMMYFUNCTION("""COMPUTED_VALUE"""),"Pillangó TK")</f>
        <v>Pillangó TK</v>
      </c>
      <c r="B1768" s="1" t="str">
        <f ca="1">IFERROR(__xludf.DUMMYFUNCTION("""COMPUTED_VALUE"""),"Tóth János Márk")</f>
        <v>Tóth János Márk</v>
      </c>
      <c r="C1768" s="1"/>
      <c r="D1768" s="1" t="str">
        <f ca="1">IFERROR(__xludf.DUMMYFUNCTION("""COMPUTED_VALUE"""),"Férfi")</f>
        <v>Férfi</v>
      </c>
      <c r="E1768" s="1"/>
      <c r="F1768" s="1">
        <f ca="1">IFERROR(__xludf.DUMMYFUNCTION("""COMPUTED_VALUE"""),2009)</f>
        <v>2009</v>
      </c>
      <c r="G1768" s="1">
        <f ca="1">IFERROR(__xludf.DUMMYFUNCTION("""COMPUTED_VALUE"""),3738)</f>
        <v>3738</v>
      </c>
      <c r="H1768" s="1" t="str">
        <f ca="1">IFERROR(__xludf.DUMMYFUNCTION("""COMPUTED_VALUE"""),"MTLSZ003738A20")</f>
        <v>MTLSZ003738A20</v>
      </c>
      <c r="I1768" s="2">
        <f ca="1">IFERROR(__xludf.DUMMYFUNCTION("""COMPUTED_VALUE"""),44153)</f>
        <v>44153</v>
      </c>
      <c r="J1768" s="2">
        <f ca="1">IFERROR(__xludf.DUMMYFUNCTION("""COMPUTED_VALUE"""),44517)</f>
        <v>44517</v>
      </c>
    </row>
    <row r="1769" spans="1:10" x14ac:dyDescent="0.25">
      <c r="A1769" s="1" t="str">
        <f ca="1">IFERROR(__xludf.DUMMYFUNCTION("""COMPUTED_VALUE"""),"Talentum TSE")</f>
        <v>Talentum TSE</v>
      </c>
      <c r="B1769" s="1" t="str">
        <f ca="1">IFERROR(__xludf.DUMMYFUNCTION("""COMPUTED_VALUE"""),"Földesi Flóra")</f>
        <v>Földesi Flóra</v>
      </c>
      <c r="C1769" s="1"/>
      <c r="D1769" s="1" t="str">
        <f ca="1">IFERROR(__xludf.DUMMYFUNCTION("""COMPUTED_VALUE"""),"Nő")</f>
        <v>Nő</v>
      </c>
      <c r="E1769" s="1"/>
      <c r="F1769" s="1">
        <f ca="1">IFERROR(__xludf.DUMMYFUNCTION("""COMPUTED_VALUE"""),2004)</f>
        <v>2004</v>
      </c>
      <c r="G1769" s="1">
        <f ca="1">IFERROR(__xludf.DUMMYFUNCTION("""COMPUTED_VALUE"""),3745)</f>
        <v>3745</v>
      </c>
      <c r="H1769" s="1" t="str">
        <f ca="1">IFERROR(__xludf.DUMMYFUNCTION("""COMPUTED_VALUE"""),"MTLSZ003745A20")</f>
        <v>MTLSZ003745A20</v>
      </c>
      <c r="I1769" s="2">
        <f ca="1">IFERROR(__xludf.DUMMYFUNCTION("""COMPUTED_VALUE"""),44153)</f>
        <v>44153</v>
      </c>
      <c r="J1769" s="2">
        <f ca="1">IFERROR(__xludf.DUMMYFUNCTION("""COMPUTED_VALUE"""),44517)</f>
        <v>44517</v>
      </c>
    </row>
    <row r="1770" spans="1:10" x14ac:dyDescent="0.25">
      <c r="A1770" s="1" t="str">
        <f ca="1">IFERROR(__xludf.DUMMYFUNCTION("""COMPUTED_VALUE"""),"Talentum TSE")</f>
        <v>Talentum TSE</v>
      </c>
      <c r="B1770" s="1" t="str">
        <f ca="1">IFERROR(__xludf.DUMMYFUNCTION("""COMPUTED_VALUE"""),"Szalóki Márton")</f>
        <v>Szalóki Márton</v>
      </c>
      <c r="C1770" s="1"/>
      <c r="D1770" s="1" t="str">
        <f ca="1">IFERROR(__xludf.DUMMYFUNCTION("""COMPUTED_VALUE"""),"Férfi")</f>
        <v>Férfi</v>
      </c>
      <c r="E1770" s="1"/>
      <c r="F1770" s="1">
        <f ca="1">IFERROR(__xludf.DUMMYFUNCTION("""COMPUTED_VALUE"""),2005)</f>
        <v>2005</v>
      </c>
      <c r="G1770" s="1">
        <f ca="1">IFERROR(__xludf.DUMMYFUNCTION("""COMPUTED_VALUE"""),3744)</f>
        <v>3744</v>
      </c>
      <c r="H1770" s="1" t="str">
        <f ca="1">IFERROR(__xludf.DUMMYFUNCTION("""COMPUTED_VALUE"""),"MTLSZ003744A20")</f>
        <v>MTLSZ003744A20</v>
      </c>
      <c r="I1770" s="2">
        <f ca="1">IFERROR(__xludf.DUMMYFUNCTION("""COMPUTED_VALUE"""),44153)</f>
        <v>44153</v>
      </c>
      <c r="J1770" s="2">
        <f ca="1">IFERROR(__xludf.DUMMYFUNCTION("""COMPUTED_VALUE"""),44517)</f>
        <v>44517</v>
      </c>
    </row>
    <row r="1771" spans="1:10" x14ac:dyDescent="0.25">
      <c r="A1771" s="1" t="str">
        <f ca="1">IFERROR(__xludf.DUMMYFUNCTION("""COMPUTED_VALUE"""),"Tisza TSE")</f>
        <v>Tisza TSE</v>
      </c>
      <c r="B1771" s="1" t="str">
        <f ca="1">IFERROR(__xludf.DUMMYFUNCTION("""COMPUTED_VALUE"""),"Tóth Sándor")</f>
        <v>Tóth Sándor</v>
      </c>
      <c r="C1771" s="1"/>
      <c r="D1771" s="1" t="str">
        <f ca="1">IFERROR(__xludf.DUMMYFUNCTION("""COMPUTED_VALUE"""),"Férfi")</f>
        <v>Férfi</v>
      </c>
      <c r="E1771" s="1"/>
      <c r="F1771" s="1">
        <f ca="1">IFERROR(__xludf.DUMMYFUNCTION("""COMPUTED_VALUE"""),1965)</f>
        <v>1965</v>
      </c>
      <c r="G1771" s="1">
        <f ca="1">IFERROR(__xludf.DUMMYFUNCTION("""COMPUTED_VALUE"""),3700)</f>
        <v>3700</v>
      </c>
      <c r="H1771" s="1" t="str">
        <f ca="1">IFERROR(__xludf.DUMMYFUNCTION("""COMPUTED_VALUE"""),"MTLSZ003700A20")</f>
        <v>MTLSZ003700A20</v>
      </c>
      <c r="I1771" s="2">
        <f ca="1">IFERROR(__xludf.DUMMYFUNCTION("""COMPUTED_VALUE"""),44153)</f>
        <v>44153</v>
      </c>
      <c r="J1771" s="2">
        <f ca="1">IFERROR(__xludf.DUMMYFUNCTION("""COMPUTED_VALUE"""),44517)</f>
        <v>44517</v>
      </c>
    </row>
    <row r="1772" spans="1:10" x14ac:dyDescent="0.25">
      <c r="A1772" s="1" t="str">
        <f ca="1">IFERROR(__xludf.DUMMYFUNCTION("""COMPUTED_VALUE"""),"Újpest TSE")</f>
        <v>Újpest TSE</v>
      </c>
      <c r="B1772" s="1" t="str">
        <f ca="1">IFERROR(__xludf.DUMMYFUNCTION("""COMPUTED_VALUE"""),"Földesi György")</f>
        <v>Földesi György</v>
      </c>
      <c r="C1772" s="1"/>
      <c r="D1772" s="1" t="str">
        <f ca="1">IFERROR(__xludf.DUMMYFUNCTION("""COMPUTED_VALUE"""),"Férfi")</f>
        <v>Férfi</v>
      </c>
      <c r="E1772" s="1"/>
      <c r="F1772" s="1">
        <f ca="1">IFERROR(__xludf.DUMMYFUNCTION("""COMPUTED_VALUE"""),1974)</f>
        <v>1974</v>
      </c>
      <c r="G1772" s="1">
        <f ca="1">IFERROR(__xludf.DUMMYFUNCTION("""COMPUTED_VALUE"""),3741)</f>
        <v>3741</v>
      </c>
      <c r="H1772" s="1" t="str">
        <f ca="1">IFERROR(__xludf.DUMMYFUNCTION("""COMPUTED_VALUE"""),"MTLSZ003741A20")</f>
        <v>MTLSZ003741A20</v>
      </c>
      <c r="I1772" s="2">
        <f ca="1">IFERROR(__xludf.DUMMYFUNCTION("""COMPUTED_VALUE"""),44153)</f>
        <v>44153</v>
      </c>
      <c r="J1772" s="2">
        <f ca="1">IFERROR(__xludf.DUMMYFUNCTION("""COMPUTED_VALUE"""),44517)</f>
        <v>44517</v>
      </c>
    </row>
    <row r="1773" spans="1:10" x14ac:dyDescent="0.25">
      <c r="A1773" s="1" t="str">
        <f ca="1">IFERROR(__xludf.DUMMYFUNCTION("""COMPUTED_VALUE"""),"Újpest TSE")</f>
        <v>Újpest TSE</v>
      </c>
      <c r="B1773" s="1" t="str">
        <f ca="1">IFERROR(__xludf.DUMMYFUNCTION("""COMPUTED_VALUE"""),"Pintér Tamás")</f>
        <v>Pintér Tamás</v>
      </c>
      <c r="C1773" s="1"/>
      <c r="D1773" s="1" t="str">
        <f ca="1">IFERROR(__xludf.DUMMYFUNCTION("""COMPUTED_VALUE"""),"Férfi")</f>
        <v>Férfi</v>
      </c>
      <c r="E1773" s="1"/>
      <c r="F1773" s="1">
        <f ca="1">IFERROR(__xludf.DUMMYFUNCTION("""COMPUTED_VALUE"""),1967)</f>
        <v>1967</v>
      </c>
      <c r="G1773" s="1">
        <f ca="1">IFERROR(__xludf.DUMMYFUNCTION("""COMPUTED_VALUE"""),3740)</f>
        <v>3740</v>
      </c>
      <c r="H1773" s="1" t="str">
        <f ca="1">IFERROR(__xludf.DUMMYFUNCTION("""COMPUTED_VALUE"""),"MTLSZ003740A20")</f>
        <v>MTLSZ003740A20</v>
      </c>
      <c r="I1773" s="2">
        <f ca="1">IFERROR(__xludf.DUMMYFUNCTION("""COMPUTED_VALUE"""),44153)</f>
        <v>44153</v>
      </c>
      <c r="J1773" s="2">
        <f ca="1">IFERROR(__xludf.DUMMYFUNCTION("""COMPUTED_VALUE"""),44517)</f>
        <v>44517</v>
      </c>
    </row>
    <row r="1774" spans="1:10" x14ac:dyDescent="0.25">
      <c r="A1774" s="1" t="str">
        <f ca="1">IFERROR(__xludf.DUMMYFUNCTION("""COMPUTED_VALUE"""),"BTBK")</f>
        <v>BTBK</v>
      </c>
      <c r="B1774" s="1" t="str">
        <f ca="1">IFERROR(__xludf.DUMMYFUNCTION("""COMPUTED_VALUE"""),"Marton Roland")</f>
        <v>Marton Roland</v>
      </c>
      <c r="C1774" s="1"/>
      <c r="D1774" s="1" t="str">
        <f ca="1">IFERROR(__xludf.DUMMYFUNCTION("""COMPUTED_VALUE"""),"Férfi")</f>
        <v>Férfi</v>
      </c>
      <c r="E1774" s="1"/>
      <c r="F1774" s="1">
        <f ca="1">IFERROR(__xludf.DUMMYFUNCTION("""COMPUTED_VALUE"""),1975)</f>
        <v>1975</v>
      </c>
      <c r="G1774" s="1">
        <f ca="1">IFERROR(__xludf.DUMMYFUNCTION("""COMPUTED_VALUE"""),2417)</f>
        <v>2417</v>
      </c>
      <c r="H1774" s="1" t="str">
        <f ca="1">IFERROR(__xludf.DUMMYFUNCTION("""COMPUTED_VALUE"""),"MTLSZ002417A20")</f>
        <v>MTLSZ002417A20</v>
      </c>
      <c r="I1774" s="2">
        <f ca="1">IFERROR(__xludf.DUMMYFUNCTION("""COMPUTED_VALUE"""),44152)</f>
        <v>44152</v>
      </c>
      <c r="J1774" s="2">
        <f ca="1">IFERROR(__xludf.DUMMYFUNCTION("""COMPUTED_VALUE"""),44516)</f>
        <v>44516</v>
      </c>
    </row>
    <row r="1775" spans="1:10" x14ac:dyDescent="0.25">
      <c r="A1775" s="1" t="str">
        <f ca="1">IFERROR(__xludf.DUMMYFUNCTION("""COMPUTED_VALUE"""),"CET SE")</f>
        <v>CET SE</v>
      </c>
      <c r="B1775" s="1" t="str">
        <f ca="1">IFERROR(__xludf.DUMMYFUNCTION("""COMPUTED_VALUE"""),"Zátonyi Szonja")</f>
        <v>Zátonyi Szonja</v>
      </c>
      <c r="C1775" s="1"/>
      <c r="D1775" s="1" t="str">
        <f ca="1">IFERROR(__xludf.DUMMYFUNCTION("""COMPUTED_VALUE"""),"Nő")</f>
        <v>Nő</v>
      </c>
      <c r="E1775" s="1"/>
      <c r="F1775" s="1">
        <f ca="1">IFERROR(__xludf.DUMMYFUNCTION("""COMPUTED_VALUE"""),2014)</f>
        <v>2014</v>
      </c>
      <c r="G1775" s="1">
        <f ca="1">IFERROR(__xludf.DUMMYFUNCTION("""COMPUTED_VALUE"""),3666)</f>
        <v>3666</v>
      </c>
      <c r="H1775" s="1" t="str">
        <f ca="1">IFERROR(__xludf.DUMMYFUNCTION("""COMPUTED_VALUE"""),"MTLSZ003666A20")</f>
        <v>MTLSZ003666A20</v>
      </c>
      <c r="I1775" s="2">
        <f ca="1">IFERROR(__xludf.DUMMYFUNCTION("""COMPUTED_VALUE"""),44152)</f>
        <v>44152</v>
      </c>
      <c r="J1775" s="2">
        <f ca="1">IFERROR(__xludf.DUMMYFUNCTION("""COMPUTED_VALUE"""),44516)</f>
        <v>44516</v>
      </c>
    </row>
    <row r="1776" spans="1:10" x14ac:dyDescent="0.25">
      <c r="A1776" s="1" t="str">
        <f ca="1">IFERROR(__xludf.DUMMYFUNCTION("""COMPUTED_VALUE"""),"Diaboló SE")</f>
        <v>Diaboló SE</v>
      </c>
      <c r="B1776" s="1" t="str">
        <f ca="1">IFERROR(__xludf.DUMMYFUNCTION("""COMPUTED_VALUE"""),"Kiss Zsuzsa")</f>
        <v>Kiss Zsuzsa</v>
      </c>
      <c r="C1776" s="1"/>
      <c r="D1776" s="1" t="str">
        <f ca="1">IFERROR(__xludf.DUMMYFUNCTION("""COMPUTED_VALUE"""),"Nő")</f>
        <v>Nő</v>
      </c>
      <c r="E1776" s="1"/>
      <c r="F1776" s="1">
        <f ca="1">IFERROR(__xludf.DUMMYFUNCTION("""COMPUTED_VALUE"""),1988)</f>
        <v>1988</v>
      </c>
      <c r="G1776" s="1">
        <f ca="1">IFERROR(__xludf.DUMMYFUNCTION("""COMPUTED_VALUE"""),498)</f>
        <v>498</v>
      </c>
      <c r="H1776" s="1" t="str">
        <f ca="1">IFERROR(__xludf.DUMMYFUNCTION("""COMPUTED_VALUE"""),"MTLSZ000498A20")</f>
        <v>MTLSZ000498A20</v>
      </c>
      <c r="I1776" s="2">
        <f ca="1">IFERROR(__xludf.DUMMYFUNCTION("""COMPUTED_VALUE"""),44152)</f>
        <v>44152</v>
      </c>
      <c r="J1776" s="2">
        <f ca="1">IFERROR(__xludf.DUMMYFUNCTION("""COMPUTED_VALUE"""),44516)</f>
        <v>44516</v>
      </c>
    </row>
    <row r="1777" spans="1:10" x14ac:dyDescent="0.25">
      <c r="A1777" s="1" t="str">
        <f ca="1">IFERROR(__xludf.DUMMYFUNCTION("""COMPUTED_VALUE"""),"Dunakanyar TSE")</f>
        <v>Dunakanyar TSE</v>
      </c>
      <c r="B1777" s="1" t="str">
        <f ca="1">IFERROR(__xludf.DUMMYFUNCTION("""COMPUTED_VALUE"""),"Aranyosi István")</f>
        <v>Aranyosi István</v>
      </c>
      <c r="C1777" s="1"/>
      <c r="D1777" s="1" t="str">
        <f ca="1">IFERROR(__xludf.DUMMYFUNCTION("""COMPUTED_VALUE"""),"Férfi")</f>
        <v>Férfi</v>
      </c>
      <c r="E1777" s="1"/>
      <c r="F1777" s="1">
        <f ca="1">IFERROR(__xludf.DUMMYFUNCTION("""COMPUTED_VALUE"""),1966)</f>
        <v>1966</v>
      </c>
      <c r="G1777" s="1">
        <f ca="1">IFERROR(__xludf.DUMMYFUNCTION("""COMPUTED_VALUE"""),3678)</f>
        <v>3678</v>
      </c>
      <c r="H1777" s="1" t="str">
        <f ca="1">IFERROR(__xludf.DUMMYFUNCTION("""COMPUTED_VALUE"""),"MTLSZ003678A20")</f>
        <v>MTLSZ003678A20</v>
      </c>
      <c r="I1777" s="2">
        <f ca="1">IFERROR(__xludf.DUMMYFUNCTION("""COMPUTED_VALUE"""),44152)</f>
        <v>44152</v>
      </c>
      <c r="J1777" s="2">
        <f ca="1">IFERROR(__xludf.DUMMYFUNCTION("""COMPUTED_VALUE"""),44516)</f>
        <v>44516</v>
      </c>
    </row>
    <row r="1778" spans="1:10" x14ac:dyDescent="0.25">
      <c r="A1778" s="1" t="str">
        <f ca="1">IFERROR(__xludf.DUMMYFUNCTION("""COMPUTED_VALUE"""),"Dunakanyar TSE")</f>
        <v>Dunakanyar TSE</v>
      </c>
      <c r="B1778" s="1" t="str">
        <f ca="1">IFERROR(__xludf.DUMMYFUNCTION("""COMPUTED_VALUE"""),"Bartos Zsolt")</f>
        <v>Bartos Zsolt</v>
      </c>
      <c r="C1778" s="1"/>
      <c r="D1778" s="1" t="str">
        <f ca="1">IFERROR(__xludf.DUMMYFUNCTION("""COMPUTED_VALUE"""),"Férfi")</f>
        <v>Férfi</v>
      </c>
      <c r="E1778" s="1"/>
      <c r="F1778" s="1">
        <f ca="1">IFERROR(__xludf.DUMMYFUNCTION("""COMPUTED_VALUE"""),1970)</f>
        <v>1970</v>
      </c>
      <c r="G1778" s="1">
        <f ca="1">IFERROR(__xludf.DUMMYFUNCTION("""COMPUTED_VALUE"""),3677)</f>
        <v>3677</v>
      </c>
      <c r="H1778" s="1" t="str">
        <f ca="1">IFERROR(__xludf.DUMMYFUNCTION("""COMPUTED_VALUE"""),"MTLSZ003677A20")</f>
        <v>MTLSZ003677A20</v>
      </c>
      <c r="I1778" s="2">
        <f ca="1">IFERROR(__xludf.DUMMYFUNCTION("""COMPUTED_VALUE"""),44152)</f>
        <v>44152</v>
      </c>
      <c r="J1778" s="2">
        <f ca="1">IFERROR(__xludf.DUMMYFUNCTION("""COMPUTED_VALUE"""),44516)</f>
        <v>44516</v>
      </c>
    </row>
    <row r="1779" spans="1:10" x14ac:dyDescent="0.25">
      <c r="A1779" s="1" t="str">
        <f ca="1">IFERROR(__xludf.DUMMYFUNCTION("""COMPUTED_VALUE"""),"Dunakanyar TSE")</f>
        <v>Dunakanyar TSE</v>
      </c>
      <c r="B1779" s="1" t="str">
        <f ca="1">IFERROR(__xludf.DUMMYFUNCTION("""COMPUTED_VALUE"""),"Briznik Béla")</f>
        <v>Briznik Béla</v>
      </c>
      <c r="C1779" s="1"/>
      <c r="D1779" s="1" t="str">
        <f ca="1">IFERROR(__xludf.DUMMYFUNCTION("""COMPUTED_VALUE"""),"Férfi")</f>
        <v>Férfi</v>
      </c>
      <c r="E1779" s="1"/>
      <c r="F1779" s="1">
        <f ca="1">IFERROR(__xludf.DUMMYFUNCTION("""COMPUTED_VALUE"""),1971)</f>
        <v>1971</v>
      </c>
      <c r="G1779" s="1">
        <f ca="1">IFERROR(__xludf.DUMMYFUNCTION("""COMPUTED_VALUE"""),3686)</f>
        <v>3686</v>
      </c>
      <c r="H1779" s="1" t="str">
        <f ca="1">IFERROR(__xludf.DUMMYFUNCTION("""COMPUTED_VALUE"""),"MTLSZ003686A20")</f>
        <v>MTLSZ003686A20</v>
      </c>
      <c r="I1779" s="2">
        <f ca="1">IFERROR(__xludf.DUMMYFUNCTION("""COMPUTED_VALUE"""),44152)</f>
        <v>44152</v>
      </c>
      <c r="J1779" s="2">
        <f ca="1">IFERROR(__xludf.DUMMYFUNCTION("""COMPUTED_VALUE"""),44516)</f>
        <v>44516</v>
      </c>
    </row>
    <row r="1780" spans="1:10" x14ac:dyDescent="0.25">
      <c r="A1780" s="1" t="str">
        <f ca="1">IFERROR(__xludf.DUMMYFUNCTION("""COMPUTED_VALUE"""),"Dunakanyar TSE")</f>
        <v>Dunakanyar TSE</v>
      </c>
      <c r="B1780" s="1" t="str">
        <f ca="1">IFERROR(__xludf.DUMMYFUNCTION("""COMPUTED_VALUE"""),"Csabai István")</f>
        <v>Csabai István</v>
      </c>
      <c r="C1780" s="1"/>
      <c r="D1780" s="1" t="str">
        <f ca="1">IFERROR(__xludf.DUMMYFUNCTION("""COMPUTED_VALUE"""),"Férfi")</f>
        <v>Férfi</v>
      </c>
      <c r="E1780" s="1"/>
      <c r="F1780" s="1">
        <f ca="1">IFERROR(__xludf.DUMMYFUNCTION("""COMPUTED_VALUE"""),1971)</f>
        <v>1971</v>
      </c>
      <c r="G1780" s="1">
        <f ca="1">IFERROR(__xludf.DUMMYFUNCTION("""COMPUTED_VALUE"""),1930)</f>
        <v>1930</v>
      </c>
      <c r="H1780" s="1" t="str">
        <f ca="1">IFERROR(__xludf.DUMMYFUNCTION("""COMPUTED_VALUE"""),"MTLSZ001930A20")</f>
        <v>MTLSZ001930A20</v>
      </c>
      <c r="I1780" s="2">
        <f ca="1">IFERROR(__xludf.DUMMYFUNCTION("""COMPUTED_VALUE"""),44152)</f>
        <v>44152</v>
      </c>
      <c r="J1780" s="2">
        <f ca="1">IFERROR(__xludf.DUMMYFUNCTION("""COMPUTED_VALUE"""),44516)</f>
        <v>44516</v>
      </c>
    </row>
    <row r="1781" spans="1:10" x14ac:dyDescent="0.25">
      <c r="A1781" s="1" t="str">
        <f ca="1">IFERROR(__xludf.DUMMYFUNCTION("""COMPUTED_VALUE"""),"Dunakanyar TSE")</f>
        <v>Dunakanyar TSE</v>
      </c>
      <c r="B1781" s="1" t="str">
        <f ca="1">IFERROR(__xludf.DUMMYFUNCTION("""COMPUTED_VALUE"""),"Császár Ferenc")</f>
        <v>Császár Ferenc</v>
      </c>
      <c r="C1781" s="1"/>
      <c r="D1781" s="1" t="str">
        <f ca="1">IFERROR(__xludf.DUMMYFUNCTION("""COMPUTED_VALUE"""),"Férfi")</f>
        <v>Férfi</v>
      </c>
      <c r="E1781" s="1"/>
      <c r="F1781" s="1">
        <f ca="1">IFERROR(__xludf.DUMMYFUNCTION("""COMPUTED_VALUE"""),1963)</f>
        <v>1963</v>
      </c>
      <c r="G1781" s="1">
        <f ca="1">IFERROR(__xludf.DUMMYFUNCTION("""COMPUTED_VALUE"""),3670)</f>
        <v>3670</v>
      </c>
      <c r="H1781" s="1" t="str">
        <f ca="1">IFERROR(__xludf.DUMMYFUNCTION("""COMPUTED_VALUE"""),"MTLSZ003670A20")</f>
        <v>MTLSZ003670A20</v>
      </c>
      <c r="I1781" s="2">
        <f ca="1">IFERROR(__xludf.DUMMYFUNCTION("""COMPUTED_VALUE"""),44152)</f>
        <v>44152</v>
      </c>
      <c r="J1781" s="2">
        <f ca="1">IFERROR(__xludf.DUMMYFUNCTION("""COMPUTED_VALUE"""),44516)</f>
        <v>44516</v>
      </c>
    </row>
    <row r="1782" spans="1:10" x14ac:dyDescent="0.25">
      <c r="A1782" s="1" t="str">
        <f ca="1">IFERROR(__xludf.DUMMYFUNCTION("""COMPUTED_VALUE"""),"Dunakanyar TSE")</f>
        <v>Dunakanyar TSE</v>
      </c>
      <c r="B1782" s="1" t="str">
        <f ca="1">IFERROR(__xludf.DUMMYFUNCTION("""COMPUTED_VALUE"""),"Farkas Zoltán")</f>
        <v>Farkas Zoltán</v>
      </c>
      <c r="C1782" s="1"/>
      <c r="D1782" s="1" t="str">
        <f ca="1">IFERROR(__xludf.DUMMYFUNCTION("""COMPUTED_VALUE"""),"Férfi")</f>
        <v>Férfi</v>
      </c>
      <c r="E1782" s="1"/>
      <c r="F1782" s="1">
        <f ca="1">IFERROR(__xludf.DUMMYFUNCTION("""COMPUTED_VALUE"""),1969)</f>
        <v>1969</v>
      </c>
      <c r="G1782" s="1">
        <f ca="1">IFERROR(__xludf.DUMMYFUNCTION("""COMPUTED_VALUE"""),3690)</f>
        <v>3690</v>
      </c>
      <c r="H1782" s="1" t="str">
        <f ca="1">IFERROR(__xludf.DUMMYFUNCTION("""COMPUTED_VALUE"""),"MTLSZ003690A20")</f>
        <v>MTLSZ003690A20</v>
      </c>
      <c r="I1782" s="2">
        <f ca="1">IFERROR(__xludf.DUMMYFUNCTION("""COMPUTED_VALUE"""),44152)</f>
        <v>44152</v>
      </c>
      <c r="J1782" s="2">
        <f ca="1">IFERROR(__xludf.DUMMYFUNCTION("""COMPUTED_VALUE"""),44516)</f>
        <v>44516</v>
      </c>
    </row>
    <row r="1783" spans="1:10" x14ac:dyDescent="0.25">
      <c r="A1783" s="1" t="str">
        <f ca="1">IFERROR(__xludf.DUMMYFUNCTION("""COMPUTED_VALUE"""),"Dunakanyar TSE")</f>
        <v>Dunakanyar TSE</v>
      </c>
      <c r="B1783" s="1" t="str">
        <f ca="1">IFERROR(__xludf.DUMMYFUNCTION("""COMPUTED_VALUE"""),"Gecsényi Róbert")</f>
        <v>Gecsényi Róbert</v>
      </c>
      <c r="C1783" s="1"/>
      <c r="D1783" s="1" t="str">
        <f ca="1">IFERROR(__xludf.DUMMYFUNCTION("""COMPUTED_VALUE"""),"Férfi")</f>
        <v>Férfi</v>
      </c>
      <c r="E1783" s="1"/>
      <c r="F1783" s="1">
        <f ca="1">IFERROR(__xludf.DUMMYFUNCTION("""COMPUTED_VALUE"""),1961)</f>
        <v>1961</v>
      </c>
      <c r="G1783" s="1">
        <f ca="1">IFERROR(__xludf.DUMMYFUNCTION("""COMPUTED_VALUE"""),2673)</f>
        <v>2673</v>
      </c>
      <c r="H1783" s="1" t="str">
        <f ca="1">IFERROR(__xludf.DUMMYFUNCTION("""COMPUTED_VALUE"""),"MTLSZ002673A20")</f>
        <v>MTLSZ002673A20</v>
      </c>
      <c r="I1783" s="2">
        <f ca="1">IFERROR(__xludf.DUMMYFUNCTION("""COMPUTED_VALUE"""),44152)</f>
        <v>44152</v>
      </c>
      <c r="J1783" s="2">
        <f ca="1">IFERROR(__xludf.DUMMYFUNCTION("""COMPUTED_VALUE"""),44516)</f>
        <v>44516</v>
      </c>
    </row>
    <row r="1784" spans="1:10" x14ac:dyDescent="0.25">
      <c r="A1784" s="1" t="str">
        <f ca="1">IFERROR(__xludf.DUMMYFUNCTION("""COMPUTED_VALUE"""),"Dunakanyar TSE")</f>
        <v>Dunakanyar TSE</v>
      </c>
      <c r="B1784" s="1" t="str">
        <f ca="1">IFERROR(__xludf.DUMMYFUNCTION("""COMPUTED_VALUE"""),"Hegedűs Sándor")</f>
        <v>Hegedűs Sándor</v>
      </c>
      <c r="C1784" s="1"/>
      <c r="D1784" s="1" t="str">
        <f ca="1">IFERROR(__xludf.DUMMYFUNCTION("""COMPUTED_VALUE"""),"Férfi")</f>
        <v>Férfi</v>
      </c>
      <c r="E1784" s="1"/>
      <c r="F1784" s="1">
        <f ca="1">IFERROR(__xludf.DUMMYFUNCTION("""COMPUTED_VALUE"""),1974)</f>
        <v>1974</v>
      </c>
      <c r="G1784" s="1">
        <f ca="1">IFERROR(__xludf.DUMMYFUNCTION("""COMPUTED_VALUE"""),3687)</f>
        <v>3687</v>
      </c>
      <c r="H1784" s="1" t="str">
        <f ca="1">IFERROR(__xludf.DUMMYFUNCTION("""COMPUTED_VALUE"""),"MTLSZ003687A20")</f>
        <v>MTLSZ003687A20</v>
      </c>
      <c r="I1784" s="2">
        <f ca="1">IFERROR(__xludf.DUMMYFUNCTION("""COMPUTED_VALUE"""),44152)</f>
        <v>44152</v>
      </c>
      <c r="J1784" s="2">
        <f ca="1">IFERROR(__xludf.DUMMYFUNCTION("""COMPUTED_VALUE"""),44516)</f>
        <v>44516</v>
      </c>
    </row>
    <row r="1785" spans="1:10" x14ac:dyDescent="0.25">
      <c r="A1785" s="1" t="str">
        <f ca="1">IFERROR(__xludf.DUMMYFUNCTION("""COMPUTED_VALUE"""),"Dunakanyar TSE")</f>
        <v>Dunakanyar TSE</v>
      </c>
      <c r="B1785" s="1" t="str">
        <f ca="1">IFERROR(__xludf.DUMMYFUNCTION("""COMPUTED_VALUE"""),"Horváth Ágnes")</f>
        <v>Horváth Ágnes</v>
      </c>
      <c r="C1785" s="1"/>
      <c r="D1785" s="1" t="str">
        <f ca="1">IFERROR(__xludf.DUMMYFUNCTION("""COMPUTED_VALUE"""),"Nő")</f>
        <v>Nő</v>
      </c>
      <c r="E1785" s="1"/>
      <c r="F1785" s="1">
        <f ca="1">IFERROR(__xludf.DUMMYFUNCTION("""COMPUTED_VALUE"""),1973)</f>
        <v>1973</v>
      </c>
      <c r="G1785" s="1">
        <f ca="1">IFERROR(__xludf.DUMMYFUNCTION("""COMPUTED_VALUE"""),3685)</f>
        <v>3685</v>
      </c>
      <c r="H1785" s="1" t="str">
        <f ca="1">IFERROR(__xludf.DUMMYFUNCTION("""COMPUTED_VALUE"""),"MTLSZ003685A20")</f>
        <v>MTLSZ003685A20</v>
      </c>
      <c r="I1785" s="2">
        <f ca="1">IFERROR(__xludf.DUMMYFUNCTION("""COMPUTED_VALUE"""),44152)</f>
        <v>44152</v>
      </c>
      <c r="J1785" s="2">
        <f ca="1">IFERROR(__xludf.DUMMYFUNCTION("""COMPUTED_VALUE"""),44516)</f>
        <v>44516</v>
      </c>
    </row>
    <row r="1786" spans="1:10" x14ac:dyDescent="0.25">
      <c r="A1786" s="1" t="str">
        <f ca="1">IFERROR(__xludf.DUMMYFUNCTION("""COMPUTED_VALUE"""),"Dunakanyar TSE")</f>
        <v>Dunakanyar TSE</v>
      </c>
      <c r="B1786" s="1" t="str">
        <f ca="1">IFERROR(__xludf.DUMMYFUNCTION("""COMPUTED_VALUE"""),"Károlyi Dávid Áron")</f>
        <v>Károlyi Dávid Áron</v>
      </c>
      <c r="C1786" s="1"/>
      <c r="D1786" s="1" t="str">
        <f ca="1">IFERROR(__xludf.DUMMYFUNCTION("""COMPUTED_VALUE"""),"Férfi")</f>
        <v>Férfi</v>
      </c>
      <c r="E1786" s="1"/>
      <c r="F1786" s="1">
        <f ca="1">IFERROR(__xludf.DUMMYFUNCTION("""COMPUTED_VALUE"""),1991)</f>
        <v>1991</v>
      </c>
      <c r="G1786" s="1">
        <f ca="1">IFERROR(__xludf.DUMMYFUNCTION("""COMPUTED_VALUE"""),3683)</f>
        <v>3683</v>
      </c>
      <c r="H1786" s="1" t="str">
        <f ca="1">IFERROR(__xludf.DUMMYFUNCTION("""COMPUTED_VALUE"""),"MTLSZ003683A20")</f>
        <v>MTLSZ003683A20</v>
      </c>
      <c r="I1786" s="2">
        <f ca="1">IFERROR(__xludf.DUMMYFUNCTION("""COMPUTED_VALUE"""),44152)</f>
        <v>44152</v>
      </c>
      <c r="J1786" s="2">
        <f ca="1">IFERROR(__xludf.DUMMYFUNCTION("""COMPUTED_VALUE"""),44516)</f>
        <v>44516</v>
      </c>
    </row>
    <row r="1787" spans="1:10" x14ac:dyDescent="0.25">
      <c r="A1787" s="1" t="str">
        <f ca="1">IFERROR(__xludf.DUMMYFUNCTION("""COMPUTED_VALUE"""),"Dunakanyar TSE")</f>
        <v>Dunakanyar TSE</v>
      </c>
      <c r="B1787" s="1" t="str">
        <f ca="1">IFERROR(__xludf.DUMMYFUNCTION("""COMPUTED_VALUE"""),"Kéner Krisztián")</f>
        <v>Kéner Krisztián</v>
      </c>
      <c r="C1787" s="1"/>
      <c r="D1787" s="1" t="str">
        <f ca="1">IFERROR(__xludf.DUMMYFUNCTION("""COMPUTED_VALUE"""),"Férfi")</f>
        <v>Férfi</v>
      </c>
      <c r="E1787" s="1"/>
      <c r="F1787" s="1">
        <f ca="1">IFERROR(__xludf.DUMMYFUNCTION("""COMPUTED_VALUE"""),1972)</f>
        <v>1972</v>
      </c>
      <c r="G1787" s="1">
        <f ca="1">IFERROR(__xludf.DUMMYFUNCTION("""COMPUTED_VALUE"""),3672)</f>
        <v>3672</v>
      </c>
      <c r="H1787" s="1" t="str">
        <f ca="1">IFERROR(__xludf.DUMMYFUNCTION("""COMPUTED_VALUE"""),"MTLSZ003672A20")</f>
        <v>MTLSZ003672A20</v>
      </c>
      <c r="I1787" s="2">
        <f ca="1">IFERROR(__xludf.DUMMYFUNCTION("""COMPUTED_VALUE"""),44152)</f>
        <v>44152</v>
      </c>
      <c r="J1787" s="2">
        <f ca="1">IFERROR(__xludf.DUMMYFUNCTION("""COMPUTED_VALUE"""),44516)</f>
        <v>44516</v>
      </c>
    </row>
    <row r="1788" spans="1:10" x14ac:dyDescent="0.25">
      <c r="A1788" s="1" t="str">
        <f ca="1">IFERROR(__xludf.DUMMYFUNCTION("""COMPUTED_VALUE"""),"Dunakanyar TSE")</f>
        <v>Dunakanyar TSE</v>
      </c>
      <c r="B1788" s="1" t="str">
        <f ca="1">IFERROR(__xludf.DUMMYFUNCTION("""COMPUTED_VALUE"""),"Kormos Lajos")</f>
        <v>Kormos Lajos</v>
      </c>
      <c r="C1788" s="1"/>
      <c r="D1788" s="1" t="str">
        <f ca="1">IFERROR(__xludf.DUMMYFUNCTION("""COMPUTED_VALUE"""),"Férfi")</f>
        <v>Férfi</v>
      </c>
      <c r="E1788" s="1"/>
      <c r="F1788" s="1">
        <f ca="1">IFERROR(__xludf.DUMMYFUNCTION("""COMPUTED_VALUE"""),1963)</f>
        <v>1963</v>
      </c>
      <c r="G1788" s="1">
        <f ca="1">IFERROR(__xludf.DUMMYFUNCTION("""COMPUTED_VALUE"""),1896)</f>
        <v>1896</v>
      </c>
      <c r="H1788" s="1" t="str">
        <f ca="1">IFERROR(__xludf.DUMMYFUNCTION("""COMPUTED_VALUE"""),"MTLSZ001896A20")</f>
        <v>MTLSZ001896A20</v>
      </c>
      <c r="I1788" s="2">
        <f ca="1">IFERROR(__xludf.DUMMYFUNCTION("""COMPUTED_VALUE"""),44152)</f>
        <v>44152</v>
      </c>
      <c r="J1788" s="2">
        <f ca="1">IFERROR(__xludf.DUMMYFUNCTION("""COMPUTED_VALUE"""),44516)</f>
        <v>44516</v>
      </c>
    </row>
    <row r="1789" spans="1:10" x14ac:dyDescent="0.25">
      <c r="A1789" s="1" t="str">
        <f ca="1">IFERROR(__xludf.DUMMYFUNCTION("""COMPUTED_VALUE"""),"Dunakanyar TSE")</f>
        <v>Dunakanyar TSE</v>
      </c>
      <c r="B1789" s="1" t="str">
        <f ca="1">IFERROR(__xludf.DUMMYFUNCTION("""COMPUTED_VALUE"""),"Kovács Tibor")</f>
        <v>Kovács Tibor</v>
      </c>
      <c r="C1789" s="1"/>
      <c r="D1789" s="1" t="str">
        <f ca="1">IFERROR(__xludf.DUMMYFUNCTION("""COMPUTED_VALUE"""),"Férfi")</f>
        <v>Férfi</v>
      </c>
      <c r="E1789" s="1"/>
      <c r="F1789" s="1">
        <f ca="1">IFERROR(__xludf.DUMMYFUNCTION("""COMPUTED_VALUE"""),1962)</f>
        <v>1962</v>
      </c>
      <c r="G1789" s="1">
        <f ca="1">IFERROR(__xludf.DUMMYFUNCTION("""COMPUTED_VALUE"""),3680)</f>
        <v>3680</v>
      </c>
      <c r="H1789" s="1" t="str">
        <f ca="1">IFERROR(__xludf.DUMMYFUNCTION("""COMPUTED_VALUE"""),"MTLSZ003680A20")</f>
        <v>MTLSZ003680A20</v>
      </c>
      <c r="I1789" s="2">
        <f ca="1">IFERROR(__xludf.DUMMYFUNCTION("""COMPUTED_VALUE"""),44152)</f>
        <v>44152</v>
      </c>
      <c r="J1789" s="2">
        <f ca="1">IFERROR(__xludf.DUMMYFUNCTION("""COMPUTED_VALUE"""),44516)</f>
        <v>44516</v>
      </c>
    </row>
    <row r="1790" spans="1:10" x14ac:dyDescent="0.25">
      <c r="A1790" s="1" t="str">
        <f ca="1">IFERROR(__xludf.DUMMYFUNCTION("""COMPUTED_VALUE"""),"Dunakanyar TSE")</f>
        <v>Dunakanyar TSE</v>
      </c>
      <c r="B1790" s="1" t="str">
        <f ca="1">IFERROR(__xludf.DUMMYFUNCTION("""COMPUTED_VALUE"""),"Kőgyesi Zoltán")</f>
        <v>Kőgyesi Zoltán</v>
      </c>
      <c r="C1790" s="1"/>
      <c r="D1790" s="1" t="str">
        <f ca="1">IFERROR(__xludf.DUMMYFUNCTION("""COMPUTED_VALUE"""),"Férfi")</f>
        <v>Férfi</v>
      </c>
      <c r="E1790" s="1"/>
      <c r="F1790" s="1">
        <f ca="1">IFERROR(__xludf.DUMMYFUNCTION("""COMPUTED_VALUE"""),1969)</f>
        <v>1969</v>
      </c>
      <c r="G1790" s="1">
        <f ca="1">IFERROR(__xludf.DUMMYFUNCTION("""COMPUTED_VALUE"""),3673)</f>
        <v>3673</v>
      </c>
      <c r="H1790" s="1" t="str">
        <f ca="1">IFERROR(__xludf.DUMMYFUNCTION("""COMPUTED_VALUE"""),"MTLSZ003673A20")</f>
        <v>MTLSZ003673A20</v>
      </c>
      <c r="I1790" s="2">
        <f ca="1">IFERROR(__xludf.DUMMYFUNCTION("""COMPUTED_VALUE"""),44152)</f>
        <v>44152</v>
      </c>
      <c r="J1790" s="2">
        <f ca="1">IFERROR(__xludf.DUMMYFUNCTION("""COMPUTED_VALUE"""),44516)</f>
        <v>44516</v>
      </c>
    </row>
    <row r="1791" spans="1:10" x14ac:dyDescent="0.25">
      <c r="A1791" s="1" t="str">
        <f ca="1">IFERROR(__xludf.DUMMYFUNCTION("""COMPUTED_VALUE"""),"Dunakanyar TSE")</f>
        <v>Dunakanyar TSE</v>
      </c>
      <c r="B1791" s="1" t="str">
        <f ca="1">IFERROR(__xludf.DUMMYFUNCTION("""COMPUTED_VALUE"""),"Lebics Ferenc")</f>
        <v>Lebics Ferenc</v>
      </c>
      <c r="C1791" s="1"/>
      <c r="D1791" s="1" t="str">
        <f ca="1">IFERROR(__xludf.DUMMYFUNCTION("""COMPUTED_VALUE"""),"Férfi")</f>
        <v>Férfi</v>
      </c>
      <c r="E1791" s="1"/>
      <c r="F1791" s="1">
        <f ca="1">IFERROR(__xludf.DUMMYFUNCTION("""COMPUTED_VALUE"""),1972)</f>
        <v>1972</v>
      </c>
      <c r="G1791" s="1">
        <f ca="1">IFERROR(__xludf.DUMMYFUNCTION("""COMPUTED_VALUE"""),3674)</f>
        <v>3674</v>
      </c>
      <c r="H1791" s="1" t="str">
        <f ca="1">IFERROR(__xludf.DUMMYFUNCTION("""COMPUTED_VALUE"""),"MTLSZ003674A20")</f>
        <v>MTLSZ003674A20</v>
      </c>
      <c r="I1791" s="2">
        <f ca="1">IFERROR(__xludf.DUMMYFUNCTION("""COMPUTED_VALUE"""),44152)</f>
        <v>44152</v>
      </c>
      <c r="J1791" s="2">
        <f ca="1">IFERROR(__xludf.DUMMYFUNCTION("""COMPUTED_VALUE"""),44516)</f>
        <v>44516</v>
      </c>
    </row>
    <row r="1792" spans="1:10" x14ac:dyDescent="0.25">
      <c r="A1792" s="1" t="str">
        <f ca="1">IFERROR(__xludf.DUMMYFUNCTION("""COMPUTED_VALUE"""),"Dunakanyar TSE")</f>
        <v>Dunakanyar TSE</v>
      </c>
      <c r="B1792" s="1" t="str">
        <f ca="1">IFERROR(__xludf.DUMMYFUNCTION("""COMPUTED_VALUE"""),"Liszi József")</f>
        <v>Liszi József</v>
      </c>
      <c r="C1792" s="1"/>
      <c r="D1792" s="1" t="str">
        <f ca="1">IFERROR(__xludf.DUMMYFUNCTION("""COMPUTED_VALUE"""),"Férfi")</f>
        <v>Férfi</v>
      </c>
      <c r="E1792" s="1"/>
      <c r="F1792" s="1">
        <f ca="1">IFERROR(__xludf.DUMMYFUNCTION("""COMPUTED_VALUE"""),1965)</f>
        <v>1965</v>
      </c>
      <c r="G1792" s="1">
        <f ca="1">IFERROR(__xludf.DUMMYFUNCTION("""COMPUTED_VALUE"""),3671)</f>
        <v>3671</v>
      </c>
      <c r="H1792" s="1" t="str">
        <f ca="1">IFERROR(__xludf.DUMMYFUNCTION("""COMPUTED_VALUE"""),"MTLSZ003671A20")</f>
        <v>MTLSZ003671A20</v>
      </c>
      <c r="I1792" s="2">
        <f ca="1">IFERROR(__xludf.DUMMYFUNCTION("""COMPUTED_VALUE"""),44152)</f>
        <v>44152</v>
      </c>
      <c r="J1792" s="2">
        <f ca="1">IFERROR(__xludf.DUMMYFUNCTION("""COMPUTED_VALUE"""),44516)</f>
        <v>44516</v>
      </c>
    </row>
    <row r="1793" spans="1:10" x14ac:dyDescent="0.25">
      <c r="A1793" s="1" t="str">
        <f ca="1">IFERROR(__xludf.DUMMYFUNCTION("""COMPUTED_VALUE"""),"Dunakanyar TSE")</f>
        <v>Dunakanyar TSE</v>
      </c>
      <c r="B1793" s="1" t="str">
        <f ca="1">IFERROR(__xludf.DUMMYFUNCTION("""COMPUTED_VALUE"""),"Lucz András")</f>
        <v>Lucz András</v>
      </c>
      <c r="C1793" s="1"/>
      <c r="D1793" s="1" t="str">
        <f ca="1">IFERROR(__xludf.DUMMYFUNCTION("""COMPUTED_VALUE"""),"Férfi")</f>
        <v>Férfi</v>
      </c>
      <c r="E1793" s="1"/>
      <c r="F1793" s="1">
        <f ca="1">IFERROR(__xludf.DUMMYFUNCTION("""COMPUTED_VALUE"""),1970)</f>
        <v>1970</v>
      </c>
      <c r="G1793" s="1">
        <f ca="1">IFERROR(__xludf.DUMMYFUNCTION("""COMPUTED_VALUE"""),3689)</f>
        <v>3689</v>
      </c>
      <c r="H1793" s="1" t="str">
        <f ca="1">IFERROR(__xludf.DUMMYFUNCTION("""COMPUTED_VALUE"""),"MTLSZ003689A20")</f>
        <v>MTLSZ003689A20</v>
      </c>
      <c r="I1793" s="2">
        <f ca="1">IFERROR(__xludf.DUMMYFUNCTION("""COMPUTED_VALUE"""),44152)</f>
        <v>44152</v>
      </c>
      <c r="J1793" s="2">
        <f ca="1">IFERROR(__xludf.DUMMYFUNCTION("""COMPUTED_VALUE"""),44516)</f>
        <v>44516</v>
      </c>
    </row>
    <row r="1794" spans="1:10" x14ac:dyDescent="0.25">
      <c r="A1794" s="1" t="str">
        <f ca="1">IFERROR(__xludf.DUMMYFUNCTION("""COMPUTED_VALUE"""),"Dunakanyar TSE")</f>
        <v>Dunakanyar TSE</v>
      </c>
      <c r="B1794" s="1" t="str">
        <f ca="1">IFERROR(__xludf.DUMMYFUNCTION("""COMPUTED_VALUE"""),"Majer Imre")</f>
        <v>Majer Imre</v>
      </c>
      <c r="C1794" s="1"/>
      <c r="D1794" s="1" t="str">
        <f ca="1">IFERROR(__xludf.DUMMYFUNCTION("""COMPUTED_VALUE"""),"Férfi")</f>
        <v>Férfi</v>
      </c>
      <c r="E1794" s="1"/>
      <c r="F1794" s="1">
        <f ca="1">IFERROR(__xludf.DUMMYFUNCTION("""COMPUTED_VALUE"""),1961)</f>
        <v>1961</v>
      </c>
      <c r="G1794" s="1">
        <f ca="1">IFERROR(__xludf.DUMMYFUNCTION("""COMPUTED_VALUE"""),3675)</f>
        <v>3675</v>
      </c>
      <c r="H1794" s="1" t="str">
        <f ca="1">IFERROR(__xludf.DUMMYFUNCTION("""COMPUTED_VALUE"""),"MTLSZ003675A20")</f>
        <v>MTLSZ003675A20</v>
      </c>
      <c r="I1794" s="2">
        <f ca="1">IFERROR(__xludf.DUMMYFUNCTION("""COMPUTED_VALUE"""),44152)</f>
        <v>44152</v>
      </c>
      <c r="J1794" s="2">
        <f ca="1">IFERROR(__xludf.DUMMYFUNCTION("""COMPUTED_VALUE"""),44516)</f>
        <v>44516</v>
      </c>
    </row>
    <row r="1795" spans="1:10" x14ac:dyDescent="0.25">
      <c r="A1795" s="1" t="str">
        <f ca="1">IFERROR(__xludf.DUMMYFUNCTION("""COMPUTED_VALUE"""),"Dunakanyar TSE")</f>
        <v>Dunakanyar TSE</v>
      </c>
      <c r="B1795" s="1" t="str">
        <f ca="1">IFERROR(__xludf.DUMMYFUNCTION("""COMPUTED_VALUE"""),"Mátyás Ferenc")</f>
        <v>Mátyás Ferenc</v>
      </c>
      <c r="C1795" s="1"/>
      <c r="D1795" s="1" t="str">
        <f ca="1">IFERROR(__xludf.DUMMYFUNCTION("""COMPUTED_VALUE"""),"Férfi")</f>
        <v>Férfi</v>
      </c>
      <c r="E1795" s="1"/>
      <c r="F1795" s="1">
        <f ca="1">IFERROR(__xludf.DUMMYFUNCTION("""COMPUTED_VALUE"""),1962)</f>
        <v>1962</v>
      </c>
      <c r="G1795" s="1">
        <f ca="1">IFERROR(__xludf.DUMMYFUNCTION("""COMPUTED_VALUE"""),3691)</f>
        <v>3691</v>
      </c>
      <c r="H1795" s="1" t="str">
        <f ca="1">IFERROR(__xludf.DUMMYFUNCTION("""COMPUTED_VALUE"""),"MTLSZ003691A20")</f>
        <v>MTLSZ003691A20</v>
      </c>
      <c r="I1795" s="2">
        <f ca="1">IFERROR(__xludf.DUMMYFUNCTION("""COMPUTED_VALUE"""),44152)</f>
        <v>44152</v>
      </c>
      <c r="J1795" s="2">
        <f ca="1">IFERROR(__xludf.DUMMYFUNCTION("""COMPUTED_VALUE"""),44516)</f>
        <v>44516</v>
      </c>
    </row>
    <row r="1796" spans="1:10" x14ac:dyDescent="0.25">
      <c r="A1796" s="1" t="str">
        <f ca="1">IFERROR(__xludf.DUMMYFUNCTION("""COMPUTED_VALUE"""),"Dunakanyar TSE")</f>
        <v>Dunakanyar TSE</v>
      </c>
      <c r="B1796" s="1" t="str">
        <f ca="1">IFERROR(__xludf.DUMMYFUNCTION("""COMPUTED_VALUE"""),"Németh Gábor")</f>
        <v>Németh Gábor</v>
      </c>
      <c r="C1796" s="1"/>
      <c r="D1796" s="1" t="str">
        <f ca="1">IFERROR(__xludf.DUMMYFUNCTION("""COMPUTED_VALUE"""),"Férfi")</f>
        <v>Férfi</v>
      </c>
      <c r="E1796" s="1"/>
      <c r="F1796" s="1">
        <f ca="1">IFERROR(__xludf.DUMMYFUNCTION("""COMPUTED_VALUE"""),1970)</f>
        <v>1970</v>
      </c>
      <c r="G1796" s="1">
        <f ca="1">IFERROR(__xludf.DUMMYFUNCTION("""COMPUTED_VALUE"""),3669)</f>
        <v>3669</v>
      </c>
      <c r="H1796" s="1" t="str">
        <f ca="1">IFERROR(__xludf.DUMMYFUNCTION("""COMPUTED_VALUE"""),"MTLSZ003669A20")</f>
        <v>MTLSZ003669A20</v>
      </c>
      <c r="I1796" s="2">
        <f ca="1">IFERROR(__xludf.DUMMYFUNCTION("""COMPUTED_VALUE"""),44152)</f>
        <v>44152</v>
      </c>
      <c r="J1796" s="2">
        <f ca="1">IFERROR(__xludf.DUMMYFUNCTION("""COMPUTED_VALUE"""),44516)</f>
        <v>44516</v>
      </c>
    </row>
    <row r="1797" spans="1:10" x14ac:dyDescent="0.25">
      <c r="A1797" s="1" t="str">
        <f ca="1">IFERROR(__xludf.DUMMYFUNCTION("""COMPUTED_VALUE"""),"Dunakanyar TSE")</f>
        <v>Dunakanyar TSE</v>
      </c>
      <c r="B1797" s="1" t="str">
        <f ca="1">IFERROR(__xludf.DUMMYFUNCTION("""COMPUTED_VALUE"""),"Ottrok Zsolt")</f>
        <v>Ottrok Zsolt</v>
      </c>
      <c r="C1797" s="1"/>
      <c r="D1797" s="1" t="str">
        <f ca="1">IFERROR(__xludf.DUMMYFUNCTION("""COMPUTED_VALUE"""),"Férfi")</f>
        <v>Férfi</v>
      </c>
      <c r="E1797" s="1"/>
      <c r="F1797" s="1">
        <f ca="1">IFERROR(__xludf.DUMMYFUNCTION("""COMPUTED_VALUE"""),1969)</f>
        <v>1969</v>
      </c>
      <c r="G1797" s="1">
        <f ca="1">IFERROR(__xludf.DUMMYFUNCTION("""COMPUTED_VALUE"""),2440)</f>
        <v>2440</v>
      </c>
      <c r="H1797" s="1" t="str">
        <f ca="1">IFERROR(__xludf.DUMMYFUNCTION("""COMPUTED_VALUE"""),"MTLSZ002440A20")</f>
        <v>MTLSZ002440A20</v>
      </c>
      <c r="I1797" s="2">
        <f ca="1">IFERROR(__xludf.DUMMYFUNCTION("""COMPUTED_VALUE"""),44152)</f>
        <v>44152</v>
      </c>
      <c r="J1797" s="2">
        <f ca="1">IFERROR(__xludf.DUMMYFUNCTION("""COMPUTED_VALUE"""),44516)</f>
        <v>44516</v>
      </c>
    </row>
    <row r="1798" spans="1:10" x14ac:dyDescent="0.25">
      <c r="A1798" s="1" t="str">
        <f ca="1">IFERROR(__xludf.DUMMYFUNCTION("""COMPUTED_VALUE"""),"Dunakanyar TSE")</f>
        <v>Dunakanyar TSE</v>
      </c>
      <c r="B1798" s="1" t="str">
        <f ca="1">IFERROR(__xludf.DUMMYFUNCTION("""COMPUTED_VALUE"""),"Rédei Márton")</f>
        <v>Rédei Márton</v>
      </c>
      <c r="C1798" s="1"/>
      <c r="D1798" s="1" t="str">
        <f ca="1">IFERROR(__xludf.DUMMYFUNCTION("""COMPUTED_VALUE"""),"Férfi")</f>
        <v>Férfi</v>
      </c>
      <c r="E1798" s="1"/>
      <c r="F1798" s="1">
        <f ca="1">IFERROR(__xludf.DUMMYFUNCTION("""COMPUTED_VALUE"""),2004)</f>
        <v>2004</v>
      </c>
      <c r="G1798" s="1">
        <f ca="1">IFERROR(__xludf.DUMMYFUNCTION("""COMPUTED_VALUE"""),3684)</f>
        <v>3684</v>
      </c>
      <c r="H1798" s="1" t="str">
        <f ca="1">IFERROR(__xludf.DUMMYFUNCTION("""COMPUTED_VALUE"""),"MTLSZ003684A20")</f>
        <v>MTLSZ003684A20</v>
      </c>
      <c r="I1798" s="2">
        <f ca="1">IFERROR(__xludf.DUMMYFUNCTION("""COMPUTED_VALUE"""),44152)</f>
        <v>44152</v>
      </c>
      <c r="J1798" s="2">
        <f ca="1">IFERROR(__xludf.DUMMYFUNCTION("""COMPUTED_VALUE"""),44516)</f>
        <v>44516</v>
      </c>
    </row>
    <row r="1799" spans="1:10" x14ac:dyDescent="0.25">
      <c r="A1799" s="1" t="str">
        <f ca="1">IFERROR(__xludf.DUMMYFUNCTION("""COMPUTED_VALUE"""),"Dunakanyar TSE")</f>
        <v>Dunakanyar TSE</v>
      </c>
      <c r="B1799" s="1" t="str">
        <f ca="1">IFERROR(__xludf.DUMMYFUNCTION("""COMPUTED_VALUE"""),"Révész Árpád")</f>
        <v>Révész Árpád</v>
      </c>
      <c r="C1799" s="1"/>
      <c r="D1799" s="1" t="str">
        <f ca="1">IFERROR(__xludf.DUMMYFUNCTION("""COMPUTED_VALUE"""),"Férfi")</f>
        <v>Férfi</v>
      </c>
      <c r="E1799" s="1"/>
      <c r="F1799" s="1">
        <f ca="1">IFERROR(__xludf.DUMMYFUNCTION("""COMPUTED_VALUE"""),1959)</f>
        <v>1959</v>
      </c>
      <c r="G1799" s="1">
        <f ca="1">IFERROR(__xludf.DUMMYFUNCTION("""COMPUTED_VALUE"""),1666)</f>
        <v>1666</v>
      </c>
      <c r="H1799" s="1" t="str">
        <f ca="1">IFERROR(__xludf.DUMMYFUNCTION("""COMPUTED_VALUE"""),"MTLSZ001666A20")</f>
        <v>MTLSZ001666A20</v>
      </c>
      <c r="I1799" s="2">
        <f ca="1">IFERROR(__xludf.DUMMYFUNCTION("""COMPUTED_VALUE"""),44152)</f>
        <v>44152</v>
      </c>
      <c r="J1799" s="2">
        <f ca="1">IFERROR(__xludf.DUMMYFUNCTION("""COMPUTED_VALUE"""),44516)</f>
        <v>44516</v>
      </c>
    </row>
    <row r="1800" spans="1:10" x14ac:dyDescent="0.25">
      <c r="A1800" s="1" t="str">
        <f ca="1">IFERROR(__xludf.DUMMYFUNCTION("""COMPUTED_VALUE"""),"Dunakanyar TSE")</f>
        <v>Dunakanyar TSE</v>
      </c>
      <c r="B1800" s="1" t="str">
        <f ca="1">IFERROR(__xludf.DUMMYFUNCTION("""COMPUTED_VALUE"""),"Riez Norbert")</f>
        <v>Riez Norbert</v>
      </c>
      <c r="C1800" s="1"/>
      <c r="D1800" s="1" t="str">
        <f ca="1">IFERROR(__xludf.DUMMYFUNCTION("""COMPUTED_VALUE"""),"Férfi")</f>
        <v>Férfi</v>
      </c>
      <c r="E1800" s="1"/>
      <c r="F1800" s="1">
        <f ca="1">IFERROR(__xludf.DUMMYFUNCTION("""COMPUTED_VALUE"""),1979)</f>
        <v>1979</v>
      </c>
      <c r="G1800" s="1">
        <f ca="1">IFERROR(__xludf.DUMMYFUNCTION("""COMPUTED_VALUE"""),3681)</f>
        <v>3681</v>
      </c>
      <c r="H1800" s="1" t="str">
        <f ca="1">IFERROR(__xludf.DUMMYFUNCTION("""COMPUTED_VALUE"""),"MTLSZ003681A20")</f>
        <v>MTLSZ003681A20</v>
      </c>
      <c r="I1800" s="2">
        <f ca="1">IFERROR(__xludf.DUMMYFUNCTION("""COMPUTED_VALUE"""),44152)</f>
        <v>44152</v>
      </c>
      <c r="J1800" s="2">
        <f ca="1">IFERROR(__xludf.DUMMYFUNCTION("""COMPUTED_VALUE"""),44516)</f>
        <v>44516</v>
      </c>
    </row>
    <row r="1801" spans="1:10" x14ac:dyDescent="0.25">
      <c r="A1801" s="1" t="str">
        <f ca="1">IFERROR(__xludf.DUMMYFUNCTION("""COMPUTED_VALUE"""),"Dunakanyar TSE")</f>
        <v>Dunakanyar TSE</v>
      </c>
      <c r="B1801" s="1" t="str">
        <f ca="1">IFERROR(__xludf.DUMMYFUNCTION("""COMPUTED_VALUE"""),"Szentmikóssy Éva")</f>
        <v>Szentmikóssy Éva</v>
      </c>
      <c r="C1801" s="1"/>
      <c r="D1801" s="1" t="str">
        <f ca="1">IFERROR(__xludf.DUMMYFUNCTION("""COMPUTED_VALUE"""),"Nő")</f>
        <v>Nő</v>
      </c>
      <c r="E1801" s="1"/>
      <c r="F1801" s="1">
        <f ca="1">IFERROR(__xludf.DUMMYFUNCTION("""COMPUTED_VALUE"""),1983)</f>
        <v>1983</v>
      </c>
      <c r="G1801" s="1">
        <f ca="1">IFERROR(__xludf.DUMMYFUNCTION("""COMPUTED_VALUE"""),3682)</f>
        <v>3682</v>
      </c>
      <c r="H1801" s="1" t="str">
        <f ca="1">IFERROR(__xludf.DUMMYFUNCTION("""COMPUTED_VALUE"""),"MTLSZ003682A20")</f>
        <v>MTLSZ003682A20</v>
      </c>
      <c r="I1801" s="2">
        <f ca="1">IFERROR(__xludf.DUMMYFUNCTION("""COMPUTED_VALUE"""),44152)</f>
        <v>44152</v>
      </c>
      <c r="J1801" s="2">
        <f ca="1">IFERROR(__xludf.DUMMYFUNCTION("""COMPUTED_VALUE"""),44516)</f>
        <v>44516</v>
      </c>
    </row>
    <row r="1802" spans="1:10" x14ac:dyDescent="0.25">
      <c r="A1802" s="1" t="str">
        <f ca="1">IFERROR(__xludf.DUMMYFUNCTION("""COMPUTED_VALUE"""),"Dunakanyar TSE")</f>
        <v>Dunakanyar TSE</v>
      </c>
      <c r="B1802" s="1" t="str">
        <f ca="1">IFERROR(__xludf.DUMMYFUNCTION("""COMPUTED_VALUE"""),"Vesselényi-Molnár Valentin")</f>
        <v>Vesselényi-Molnár Valentin</v>
      </c>
      <c r="C1802" s="1"/>
      <c r="D1802" s="1" t="str">
        <f ca="1">IFERROR(__xludf.DUMMYFUNCTION("""COMPUTED_VALUE"""),"Férfi")</f>
        <v>Férfi</v>
      </c>
      <c r="E1802" s="1"/>
      <c r="F1802" s="1">
        <f ca="1">IFERROR(__xludf.DUMMYFUNCTION("""COMPUTED_VALUE"""),1978)</f>
        <v>1978</v>
      </c>
      <c r="G1802" s="1">
        <f ca="1">IFERROR(__xludf.DUMMYFUNCTION("""COMPUTED_VALUE"""),3676)</f>
        <v>3676</v>
      </c>
      <c r="H1802" s="1" t="str">
        <f ca="1">IFERROR(__xludf.DUMMYFUNCTION("""COMPUTED_VALUE"""),"MTLSZ003676A20")</f>
        <v>MTLSZ003676A20</v>
      </c>
      <c r="I1802" s="2">
        <f ca="1">IFERROR(__xludf.DUMMYFUNCTION("""COMPUTED_VALUE"""),44152)</f>
        <v>44152</v>
      </c>
      <c r="J1802" s="2">
        <f ca="1">IFERROR(__xludf.DUMMYFUNCTION("""COMPUTED_VALUE"""),44516)</f>
        <v>44516</v>
      </c>
    </row>
    <row r="1803" spans="1:10" x14ac:dyDescent="0.25">
      <c r="A1803" s="1" t="str">
        <f ca="1">IFERROR(__xludf.DUMMYFUNCTION("""COMPUTED_VALUE"""),"Dunakanyar TSE")</f>
        <v>Dunakanyar TSE</v>
      </c>
      <c r="B1803" s="1" t="str">
        <f ca="1">IFERROR(__xludf.DUMMYFUNCTION("""COMPUTED_VALUE"""),"Vona Virág")</f>
        <v>Vona Virág</v>
      </c>
      <c r="C1803" s="1"/>
      <c r="D1803" s="1" t="str">
        <f ca="1">IFERROR(__xludf.DUMMYFUNCTION("""COMPUTED_VALUE"""),"Nő")</f>
        <v>Nő</v>
      </c>
      <c r="E1803" s="1"/>
      <c r="F1803" s="1">
        <f ca="1">IFERROR(__xludf.DUMMYFUNCTION("""COMPUTED_VALUE"""),1972)</f>
        <v>1972</v>
      </c>
      <c r="G1803" s="1">
        <f ca="1">IFERROR(__xludf.DUMMYFUNCTION("""COMPUTED_VALUE"""),3688)</f>
        <v>3688</v>
      </c>
      <c r="H1803" s="1" t="str">
        <f ca="1">IFERROR(__xludf.DUMMYFUNCTION("""COMPUTED_VALUE"""),"MTLSZ003688A20")</f>
        <v>MTLSZ003688A20</v>
      </c>
      <c r="I1803" s="2">
        <f ca="1">IFERROR(__xludf.DUMMYFUNCTION("""COMPUTED_VALUE"""),44152)</f>
        <v>44152</v>
      </c>
      <c r="J1803" s="2">
        <f ca="1">IFERROR(__xludf.DUMMYFUNCTION("""COMPUTED_VALUE"""),44516)</f>
        <v>44516</v>
      </c>
    </row>
    <row r="1804" spans="1:10" x14ac:dyDescent="0.25">
      <c r="A1804" s="1" t="str">
        <f ca="1">IFERROR(__xludf.DUMMYFUNCTION("""COMPUTED_VALUE"""),"Dunakanyar TSE")</f>
        <v>Dunakanyar TSE</v>
      </c>
      <c r="B1804" s="1"/>
      <c r="C1804" s="1"/>
      <c r="D1804" s="1"/>
      <c r="E1804" s="1"/>
      <c r="F1804" s="1">
        <f ca="1">IFERROR(__xludf.DUMMYFUNCTION("""COMPUTED_VALUE"""),1899)</f>
        <v>1899</v>
      </c>
      <c r="G1804" s="1">
        <f ca="1">IFERROR(__xludf.DUMMYFUNCTION("""COMPUTED_VALUE"""),3679)</f>
        <v>3679</v>
      </c>
      <c r="H1804" s="1"/>
      <c r="I1804" s="2">
        <f ca="1">IFERROR(__xludf.DUMMYFUNCTION("""COMPUTED_VALUE"""),44152)</f>
        <v>44152</v>
      </c>
      <c r="J1804" s="2">
        <f ca="1">IFERROR(__xludf.DUMMYFUNCTION("""COMPUTED_VALUE"""),44516)</f>
        <v>44516</v>
      </c>
    </row>
    <row r="1805" spans="1:10" x14ac:dyDescent="0.25">
      <c r="A1805" s="1" t="str">
        <f ca="1">IFERROR(__xludf.DUMMYFUNCTION("""COMPUTED_VALUE"""),"Életmód SE")</f>
        <v>Életmód SE</v>
      </c>
      <c r="B1805" s="1" t="str">
        <f ca="1">IFERROR(__xludf.DUMMYFUNCTION("""COMPUTED_VALUE"""),"Dávid Botond")</f>
        <v>Dávid Botond</v>
      </c>
      <c r="C1805" s="1"/>
      <c r="D1805" s="1" t="str">
        <f ca="1">IFERROR(__xludf.DUMMYFUNCTION("""COMPUTED_VALUE"""),"Férfi")</f>
        <v>Férfi</v>
      </c>
      <c r="E1805" s="1"/>
      <c r="F1805" s="1">
        <f ca="1">IFERROR(__xludf.DUMMYFUNCTION("""COMPUTED_VALUE"""),2010)</f>
        <v>2010</v>
      </c>
      <c r="G1805" s="1">
        <f ca="1">IFERROR(__xludf.DUMMYFUNCTION("""COMPUTED_VALUE"""),3655)</f>
        <v>3655</v>
      </c>
      <c r="H1805" s="1" t="str">
        <f ca="1">IFERROR(__xludf.DUMMYFUNCTION("""COMPUTED_VALUE"""),"MTLSZ003655A20")</f>
        <v>MTLSZ003655A20</v>
      </c>
      <c r="I1805" s="2">
        <f ca="1">IFERROR(__xludf.DUMMYFUNCTION("""COMPUTED_VALUE"""),44152)</f>
        <v>44152</v>
      </c>
      <c r="J1805" s="2">
        <f ca="1">IFERROR(__xludf.DUMMYFUNCTION("""COMPUTED_VALUE"""),44516)</f>
        <v>44516</v>
      </c>
    </row>
    <row r="1806" spans="1:10" x14ac:dyDescent="0.25">
      <c r="A1806" s="1" t="str">
        <f ca="1">IFERROR(__xludf.DUMMYFUNCTION("""COMPUTED_VALUE"""),"Életmód SE")</f>
        <v>Életmód SE</v>
      </c>
      <c r="B1806" s="1" t="str">
        <f ca="1">IFERROR(__xludf.DUMMYFUNCTION("""COMPUTED_VALUE"""),"Dávid József")</f>
        <v>Dávid József</v>
      </c>
      <c r="C1806" s="1"/>
      <c r="D1806" s="1" t="str">
        <f ca="1">IFERROR(__xludf.DUMMYFUNCTION("""COMPUTED_VALUE"""),"Férfi")</f>
        <v>Férfi</v>
      </c>
      <c r="E1806" s="1"/>
      <c r="F1806" s="1">
        <f ca="1">IFERROR(__xludf.DUMMYFUNCTION("""COMPUTED_VALUE"""),1974)</f>
        <v>1974</v>
      </c>
      <c r="G1806" s="1">
        <f ca="1">IFERROR(__xludf.DUMMYFUNCTION("""COMPUTED_VALUE"""),3656)</f>
        <v>3656</v>
      </c>
      <c r="H1806" s="1" t="str">
        <f ca="1">IFERROR(__xludf.DUMMYFUNCTION("""COMPUTED_VALUE"""),"MTLSZ003656A20")</f>
        <v>MTLSZ003656A20</v>
      </c>
      <c r="I1806" s="2">
        <f ca="1">IFERROR(__xludf.DUMMYFUNCTION("""COMPUTED_VALUE"""),44152)</f>
        <v>44152</v>
      </c>
      <c r="J1806" s="2">
        <f ca="1">IFERROR(__xludf.DUMMYFUNCTION("""COMPUTED_VALUE"""),44516)</f>
        <v>44516</v>
      </c>
    </row>
    <row r="1807" spans="1:10" x14ac:dyDescent="0.25">
      <c r="A1807" s="1" t="str">
        <f ca="1">IFERROR(__xludf.DUMMYFUNCTION("""COMPUTED_VALUE"""),"Életmód SE")</f>
        <v>Életmód SE</v>
      </c>
      <c r="B1807" s="1" t="str">
        <f ca="1">IFERROR(__xludf.DUMMYFUNCTION("""COMPUTED_VALUE"""),"Fábián Miklós")</f>
        <v>Fábián Miklós</v>
      </c>
      <c r="C1807" s="1"/>
      <c r="D1807" s="1" t="str">
        <f ca="1">IFERROR(__xludf.DUMMYFUNCTION("""COMPUTED_VALUE"""),"Férfi")</f>
        <v>Férfi</v>
      </c>
      <c r="E1807" s="1"/>
      <c r="F1807" s="1">
        <f ca="1">IFERROR(__xludf.DUMMYFUNCTION("""COMPUTED_VALUE"""),1957)</f>
        <v>1957</v>
      </c>
      <c r="G1807" s="1">
        <f ca="1">IFERROR(__xludf.DUMMYFUNCTION("""COMPUTED_VALUE"""),3663)</f>
        <v>3663</v>
      </c>
      <c r="H1807" s="1" t="str">
        <f ca="1">IFERROR(__xludf.DUMMYFUNCTION("""COMPUTED_VALUE"""),"MTLSZ003663A20")</f>
        <v>MTLSZ003663A20</v>
      </c>
      <c r="I1807" s="2">
        <f ca="1">IFERROR(__xludf.DUMMYFUNCTION("""COMPUTED_VALUE"""),44152)</f>
        <v>44152</v>
      </c>
      <c r="J1807" s="2">
        <f ca="1">IFERROR(__xludf.DUMMYFUNCTION("""COMPUTED_VALUE"""),44516)</f>
        <v>44516</v>
      </c>
    </row>
    <row r="1808" spans="1:10" x14ac:dyDescent="0.25">
      <c r="A1808" s="1" t="str">
        <f ca="1">IFERROR(__xludf.DUMMYFUNCTION("""COMPUTED_VALUE"""),"Életmód SE")</f>
        <v>Életmód SE</v>
      </c>
      <c r="B1808" s="1" t="str">
        <f ca="1">IFERROR(__xludf.DUMMYFUNCTION("""COMPUTED_VALUE"""),"Halász Lili")</f>
        <v>Halász Lili</v>
      </c>
      <c r="C1808" s="1"/>
      <c r="D1808" s="1" t="str">
        <f ca="1">IFERROR(__xludf.DUMMYFUNCTION("""COMPUTED_VALUE"""),"Nő")</f>
        <v>Nő</v>
      </c>
      <c r="E1808" s="1"/>
      <c r="F1808" s="1">
        <f ca="1">IFERROR(__xludf.DUMMYFUNCTION("""COMPUTED_VALUE"""),2011)</f>
        <v>2011</v>
      </c>
      <c r="G1808" s="1">
        <f ca="1">IFERROR(__xludf.DUMMYFUNCTION("""COMPUTED_VALUE"""),3657)</f>
        <v>3657</v>
      </c>
      <c r="H1808" s="1" t="str">
        <f ca="1">IFERROR(__xludf.DUMMYFUNCTION("""COMPUTED_VALUE"""),"MTLSZ003657A20")</f>
        <v>MTLSZ003657A20</v>
      </c>
      <c r="I1808" s="2">
        <f ca="1">IFERROR(__xludf.DUMMYFUNCTION("""COMPUTED_VALUE"""),44152)</f>
        <v>44152</v>
      </c>
      <c r="J1808" s="2">
        <f ca="1">IFERROR(__xludf.DUMMYFUNCTION("""COMPUTED_VALUE"""),44516)</f>
        <v>44516</v>
      </c>
    </row>
    <row r="1809" spans="1:10" x14ac:dyDescent="0.25">
      <c r="A1809" s="1" t="str">
        <f ca="1">IFERROR(__xludf.DUMMYFUNCTION("""COMPUTED_VALUE"""),"Életmód SE")</f>
        <v>Életmód SE</v>
      </c>
      <c r="B1809" s="1" t="str">
        <f ca="1">IFERROR(__xludf.DUMMYFUNCTION("""COMPUTED_VALUE"""),"Herczeg Barbara")</f>
        <v>Herczeg Barbara</v>
      </c>
      <c r="C1809" s="1"/>
      <c r="D1809" s="1" t="str">
        <f ca="1">IFERROR(__xludf.DUMMYFUNCTION("""COMPUTED_VALUE"""),"Nő")</f>
        <v>Nő</v>
      </c>
      <c r="E1809" s="1"/>
      <c r="F1809" s="1">
        <f ca="1">IFERROR(__xludf.DUMMYFUNCTION("""COMPUTED_VALUE"""),2006)</f>
        <v>2006</v>
      </c>
      <c r="G1809" s="1">
        <f ca="1">IFERROR(__xludf.DUMMYFUNCTION("""COMPUTED_VALUE"""),3654)</f>
        <v>3654</v>
      </c>
      <c r="H1809" s="1" t="str">
        <f ca="1">IFERROR(__xludf.DUMMYFUNCTION("""COMPUTED_VALUE"""),"MTLSZ003654A20")</f>
        <v>MTLSZ003654A20</v>
      </c>
      <c r="I1809" s="2">
        <f ca="1">IFERROR(__xludf.DUMMYFUNCTION("""COMPUTED_VALUE"""),44152)</f>
        <v>44152</v>
      </c>
      <c r="J1809" s="2">
        <f ca="1">IFERROR(__xludf.DUMMYFUNCTION("""COMPUTED_VALUE"""),44516)</f>
        <v>44516</v>
      </c>
    </row>
    <row r="1810" spans="1:10" x14ac:dyDescent="0.25">
      <c r="A1810" s="1" t="str">
        <f ca="1">IFERROR(__xludf.DUMMYFUNCTION("""COMPUTED_VALUE"""),"Életmód SE")</f>
        <v>Életmód SE</v>
      </c>
      <c r="B1810" s="1" t="str">
        <f ca="1">IFERROR(__xludf.DUMMYFUNCTION("""COMPUTED_VALUE"""),"Kormány Péter")</f>
        <v>Kormány Péter</v>
      </c>
      <c r="C1810" s="1"/>
      <c r="D1810" s="1" t="str">
        <f ca="1">IFERROR(__xludf.DUMMYFUNCTION("""COMPUTED_VALUE"""),"Férfi")</f>
        <v>Férfi</v>
      </c>
      <c r="E1810" s="1"/>
      <c r="F1810" s="1">
        <f ca="1">IFERROR(__xludf.DUMMYFUNCTION("""COMPUTED_VALUE"""),2006)</f>
        <v>2006</v>
      </c>
      <c r="G1810" s="1">
        <f ca="1">IFERROR(__xludf.DUMMYFUNCTION("""COMPUTED_VALUE"""),3662)</f>
        <v>3662</v>
      </c>
      <c r="H1810" s="1" t="str">
        <f ca="1">IFERROR(__xludf.DUMMYFUNCTION("""COMPUTED_VALUE"""),"MTLSZ003662A20")</f>
        <v>MTLSZ003662A20</v>
      </c>
      <c r="I1810" s="2">
        <f ca="1">IFERROR(__xludf.DUMMYFUNCTION("""COMPUTED_VALUE"""),44152)</f>
        <v>44152</v>
      </c>
      <c r="J1810" s="2">
        <f ca="1">IFERROR(__xludf.DUMMYFUNCTION("""COMPUTED_VALUE"""),44516)</f>
        <v>44516</v>
      </c>
    </row>
    <row r="1811" spans="1:10" x14ac:dyDescent="0.25">
      <c r="A1811" s="1" t="str">
        <f ca="1">IFERROR(__xludf.DUMMYFUNCTION("""COMPUTED_VALUE"""),"Életmód SE")</f>
        <v>Életmód SE</v>
      </c>
      <c r="B1811" s="1" t="str">
        <f ca="1">IFERROR(__xludf.DUMMYFUNCTION("""COMPUTED_VALUE"""),"Kuthy Gyöngyvér")</f>
        <v>Kuthy Gyöngyvér</v>
      </c>
      <c r="C1811" s="1"/>
      <c r="D1811" s="1" t="str">
        <f ca="1">IFERROR(__xludf.DUMMYFUNCTION("""COMPUTED_VALUE"""),"Férfi")</f>
        <v>Férfi</v>
      </c>
      <c r="E1811" s="1"/>
      <c r="F1811" s="1">
        <f ca="1">IFERROR(__xludf.DUMMYFUNCTION("""COMPUTED_VALUE"""),2009)</f>
        <v>2009</v>
      </c>
      <c r="G1811" s="1">
        <f ca="1">IFERROR(__xludf.DUMMYFUNCTION("""COMPUTED_VALUE"""),3659)</f>
        <v>3659</v>
      </c>
      <c r="H1811" s="1" t="str">
        <f ca="1">IFERROR(__xludf.DUMMYFUNCTION("""COMPUTED_VALUE"""),"MTLSZ003659A20")</f>
        <v>MTLSZ003659A20</v>
      </c>
      <c r="I1811" s="2">
        <f ca="1">IFERROR(__xludf.DUMMYFUNCTION("""COMPUTED_VALUE"""),44152)</f>
        <v>44152</v>
      </c>
      <c r="J1811" s="2">
        <f ca="1">IFERROR(__xludf.DUMMYFUNCTION("""COMPUTED_VALUE"""),44516)</f>
        <v>44516</v>
      </c>
    </row>
    <row r="1812" spans="1:10" x14ac:dyDescent="0.25">
      <c r="A1812" s="1" t="str">
        <f ca="1">IFERROR(__xludf.DUMMYFUNCTION("""COMPUTED_VALUE"""),"Életmód SE")</f>
        <v>Életmód SE</v>
      </c>
      <c r="B1812" s="1" t="str">
        <f ca="1">IFERROR(__xludf.DUMMYFUNCTION("""COMPUTED_VALUE"""),"Kuthy Levente")</f>
        <v>Kuthy Levente</v>
      </c>
      <c r="C1812" s="1"/>
      <c r="D1812" s="1" t="str">
        <f ca="1">IFERROR(__xludf.DUMMYFUNCTION("""COMPUTED_VALUE"""),"Férfi")</f>
        <v>Férfi</v>
      </c>
      <c r="E1812" s="1"/>
      <c r="F1812" s="1">
        <f ca="1">IFERROR(__xludf.DUMMYFUNCTION("""COMPUTED_VALUE"""),2007)</f>
        <v>2007</v>
      </c>
      <c r="G1812" s="1">
        <f ca="1">IFERROR(__xludf.DUMMYFUNCTION("""COMPUTED_VALUE"""),3658)</f>
        <v>3658</v>
      </c>
      <c r="H1812" s="1" t="str">
        <f ca="1">IFERROR(__xludf.DUMMYFUNCTION("""COMPUTED_VALUE"""),"MTLSZ003658A20")</f>
        <v>MTLSZ003658A20</v>
      </c>
      <c r="I1812" s="2">
        <f ca="1">IFERROR(__xludf.DUMMYFUNCTION("""COMPUTED_VALUE"""),44152)</f>
        <v>44152</v>
      </c>
      <c r="J1812" s="2">
        <f ca="1">IFERROR(__xludf.DUMMYFUNCTION("""COMPUTED_VALUE"""),44516)</f>
        <v>44516</v>
      </c>
    </row>
    <row r="1813" spans="1:10" x14ac:dyDescent="0.25">
      <c r="A1813" s="1" t="str">
        <f ca="1">IFERROR(__xludf.DUMMYFUNCTION("""COMPUTED_VALUE"""),"Életmód SE")</f>
        <v>Életmód SE</v>
      </c>
      <c r="B1813" s="1" t="str">
        <f ca="1">IFERROR(__xludf.DUMMYFUNCTION("""COMPUTED_VALUE"""),"Rab Renáta")</f>
        <v>Rab Renáta</v>
      </c>
      <c r="C1813" s="1"/>
      <c r="D1813" s="1" t="str">
        <f ca="1">IFERROR(__xludf.DUMMYFUNCTION("""COMPUTED_VALUE"""),"Nő")</f>
        <v>Nő</v>
      </c>
      <c r="E1813" s="1"/>
      <c r="F1813" s="1">
        <f ca="1">IFERROR(__xludf.DUMMYFUNCTION("""COMPUTED_VALUE"""),2009)</f>
        <v>2009</v>
      </c>
      <c r="G1813" s="1">
        <f ca="1">IFERROR(__xludf.DUMMYFUNCTION("""COMPUTED_VALUE"""),3651)</f>
        <v>3651</v>
      </c>
      <c r="H1813" s="1" t="str">
        <f ca="1">IFERROR(__xludf.DUMMYFUNCTION("""COMPUTED_VALUE"""),"MTLSZ003651A20")</f>
        <v>MTLSZ003651A20</v>
      </c>
      <c r="I1813" s="2">
        <f ca="1">IFERROR(__xludf.DUMMYFUNCTION("""COMPUTED_VALUE"""),44152)</f>
        <v>44152</v>
      </c>
      <c r="J1813" s="2">
        <f ca="1">IFERROR(__xludf.DUMMYFUNCTION("""COMPUTED_VALUE"""),44516)</f>
        <v>44516</v>
      </c>
    </row>
    <row r="1814" spans="1:10" x14ac:dyDescent="0.25">
      <c r="A1814" s="1" t="str">
        <f ca="1">IFERROR(__xludf.DUMMYFUNCTION("""COMPUTED_VALUE"""),"Életmód SE")</f>
        <v>Életmód SE</v>
      </c>
      <c r="B1814" s="1" t="str">
        <f ca="1">IFERROR(__xludf.DUMMYFUNCTION("""COMPUTED_VALUE"""),"Tóth Zoé")</f>
        <v>Tóth Zoé</v>
      </c>
      <c r="C1814" s="1"/>
      <c r="D1814" s="1" t="str">
        <f ca="1">IFERROR(__xludf.DUMMYFUNCTION("""COMPUTED_VALUE"""),"Nő")</f>
        <v>Nő</v>
      </c>
      <c r="E1814" s="1"/>
      <c r="F1814" s="1">
        <f ca="1">IFERROR(__xludf.DUMMYFUNCTION("""COMPUTED_VALUE"""),2013)</f>
        <v>2013</v>
      </c>
      <c r="G1814" s="1">
        <f ca="1">IFERROR(__xludf.DUMMYFUNCTION("""COMPUTED_VALUE"""),3653)</f>
        <v>3653</v>
      </c>
      <c r="H1814" s="1" t="str">
        <f ca="1">IFERROR(__xludf.DUMMYFUNCTION("""COMPUTED_VALUE"""),"MTLSZ003653A20")</f>
        <v>MTLSZ003653A20</v>
      </c>
      <c r="I1814" s="2">
        <f ca="1">IFERROR(__xludf.DUMMYFUNCTION("""COMPUTED_VALUE"""),44152)</f>
        <v>44152</v>
      </c>
      <c r="J1814" s="2">
        <f ca="1">IFERROR(__xludf.DUMMYFUNCTION("""COMPUTED_VALUE"""),44516)</f>
        <v>44516</v>
      </c>
    </row>
    <row r="1815" spans="1:10" x14ac:dyDescent="0.25">
      <c r="A1815" s="1" t="str">
        <f ca="1">IFERROR(__xludf.DUMMYFUNCTION("""COMPUTED_VALUE"""),"HZSE")</f>
        <v>HZSE</v>
      </c>
      <c r="B1815" s="1" t="str">
        <f ca="1">IFERROR(__xludf.DUMMYFUNCTION("""COMPUTED_VALUE"""),"Anderle Lambert")</f>
        <v>Anderle Lambert</v>
      </c>
      <c r="C1815" s="1"/>
      <c r="D1815" s="1" t="str">
        <f ca="1">IFERROR(__xludf.DUMMYFUNCTION("""COMPUTED_VALUE"""),"Férfi")</f>
        <v>Férfi</v>
      </c>
      <c r="E1815" s="1"/>
      <c r="F1815" s="1">
        <f ca="1">IFERROR(__xludf.DUMMYFUNCTION("""COMPUTED_VALUE"""),1968)</f>
        <v>1968</v>
      </c>
      <c r="G1815" s="1">
        <f ca="1">IFERROR(__xludf.DUMMYFUNCTION("""COMPUTED_VALUE"""),2753)</f>
        <v>2753</v>
      </c>
      <c r="H1815" s="1" t="str">
        <f ca="1">IFERROR(__xludf.DUMMYFUNCTION("""COMPUTED_VALUE"""),"MTLSZ002753A20")</f>
        <v>MTLSZ002753A20</v>
      </c>
      <c r="I1815" s="2">
        <f ca="1">IFERROR(__xludf.DUMMYFUNCTION("""COMPUTED_VALUE"""),44152)</f>
        <v>44152</v>
      </c>
      <c r="J1815" s="2">
        <f ca="1">IFERROR(__xludf.DUMMYFUNCTION("""COMPUTED_VALUE"""),44516)</f>
        <v>44516</v>
      </c>
    </row>
    <row r="1816" spans="1:10" x14ac:dyDescent="0.25">
      <c r="A1816" s="1" t="str">
        <f ca="1">IFERROR(__xludf.DUMMYFUNCTION("""COMPUTED_VALUE"""),"HZSE")</f>
        <v>HZSE</v>
      </c>
      <c r="B1816" s="1" t="str">
        <f ca="1">IFERROR(__xludf.DUMMYFUNCTION("""COMPUTED_VALUE"""),"Kis László")</f>
        <v>Kis László</v>
      </c>
      <c r="C1816" s="1"/>
      <c r="D1816" s="1" t="str">
        <f ca="1">IFERROR(__xludf.DUMMYFUNCTION("""COMPUTED_VALUE"""),"Férfi")</f>
        <v>Férfi</v>
      </c>
      <c r="E1816" s="1"/>
      <c r="F1816" s="1">
        <f ca="1">IFERROR(__xludf.DUMMYFUNCTION("""COMPUTED_VALUE"""),1967)</f>
        <v>1967</v>
      </c>
      <c r="G1816" s="1">
        <f ca="1">IFERROR(__xludf.DUMMYFUNCTION("""COMPUTED_VALUE"""),474)</f>
        <v>474</v>
      </c>
      <c r="H1816" s="1" t="str">
        <f ca="1">IFERROR(__xludf.DUMMYFUNCTION("""COMPUTED_VALUE"""),"MTLSZ000474A20")</f>
        <v>MTLSZ000474A20</v>
      </c>
      <c r="I1816" s="2">
        <f ca="1">IFERROR(__xludf.DUMMYFUNCTION("""COMPUTED_VALUE"""),44152)</f>
        <v>44152</v>
      </c>
      <c r="J1816" s="2">
        <f ca="1">IFERROR(__xludf.DUMMYFUNCTION("""COMPUTED_VALUE"""),44516)</f>
        <v>44516</v>
      </c>
    </row>
    <row r="1817" spans="1:10" x14ac:dyDescent="0.25">
      <c r="A1817" s="1" t="str">
        <f ca="1">IFERROR(__xludf.DUMMYFUNCTION("""COMPUTED_VALUE"""),"Klébi DSE")</f>
        <v>Klébi DSE</v>
      </c>
      <c r="B1817" s="1" t="str">
        <f ca="1">IFERROR(__xludf.DUMMYFUNCTION("""COMPUTED_VALUE"""),"Dombi Zoltán")</f>
        <v>Dombi Zoltán</v>
      </c>
      <c r="C1817" s="1"/>
      <c r="D1817" s="1" t="str">
        <f ca="1">IFERROR(__xludf.DUMMYFUNCTION("""COMPUTED_VALUE"""),"Férfi")</f>
        <v>Férfi</v>
      </c>
      <c r="E1817" s="1"/>
      <c r="F1817" s="1">
        <f ca="1">IFERROR(__xludf.DUMMYFUNCTION("""COMPUTED_VALUE"""),1987)</f>
        <v>1987</v>
      </c>
      <c r="G1817" s="1">
        <f ca="1">IFERROR(__xludf.DUMMYFUNCTION("""COMPUTED_VALUE"""),1838)</f>
        <v>1838</v>
      </c>
      <c r="H1817" s="1" t="str">
        <f ca="1">IFERROR(__xludf.DUMMYFUNCTION("""COMPUTED_VALUE"""),"MTLSZ001838A20")</f>
        <v>MTLSZ001838A20</v>
      </c>
      <c r="I1817" s="2">
        <f ca="1">IFERROR(__xludf.DUMMYFUNCTION("""COMPUTED_VALUE"""),44152)</f>
        <v>44152</v>
      </c>
      <c r="J1817" s="2">
        <f ca="1">IFERROR(__xludf.DUMMYFUNCTION("""COMPUTED_VALUE"""),44516)</f>
        <v>44516</v>
      </c>
    </row>
    <row r="1818" spans="1:10" x14ac:dyDescent="0.25">
      <c r="A1818" s="1" t="str">
        <f ca="1">IFERROR(__xludf.DUMMYFUNCTION("""COMPUTED_VALUE"""),"OSC")</f>
        <v>OSC</v>
      </c>
      <c r="B1818" s="1" t="str">
        <f ca="1">IFERROR(__xludf.DUMMYFUNCTION("""COMPUTED_VALUE"""),"Pittner Ferenc")</f>
        <v>Pittner Ferenc</v>
      </c>
      <c r="C1818" s="1"/>
      <c r="D1818" s="1" t="str">
        <f ca="1">IFERROR(__xludf.DUMMYFUNCTION("""COMPUTED_VALUE"""),"Férfi")</f>
        <v>Férfi</v>
      </c>
      <c r="E1818" s="1"/>
      <c r="F1818" s="1">
        <f ca="1">IFERROR(__xludf.DUMMYFUNCTION("""COMPUTED_VALUE"""),1968)</f>
        <v>1968</v>
      </c>
      <c r="G1818" s="1">
        <f ca="1">IFERROR(__xludf.DUMMYFUNCTION("""COMPUTED_VALUE"""),2331)</f>
        <v>2331</v>
      </c>
      <c r="H1818" s="1" t="str">
        <f ca="1">IFERROR(__xludf.DUMMYFUNCTION("""COMPUTED_VALUE"""),"MTLSZ002331A20")</f>
        <v>MTLSZ002331A20</v>
      </c>
      <c r="I1818" s="2">
        <f ca="1">IFERROR(__xludf.DUMMYFUNCTION("""COMPUTED_VALUE"""),44152)</f>
        <v>44152</v>
      </c>
      <c r="J1818" s="2">
        <f ca="1">IFERROR(__xludf.DUMMYFUNCTION("""COMPUTED_VALUE"""),44516)</f>
        <v>44516</v>
      </c>
    </row>
    <row r="1819" spans="1:10" x14ac:dyDescent="0.25">
      <c r="A1819" s="1" t="str">
        <f ca="1">IFERROR(__xludf.DUMMYFUNCTION("""COMPUTED_VALUE"""),"Tapolcai TFSE")</f>
        <v>Tapolcai TFSE</v>
      </c>
      <c r="B1819" s="1" t="str">
        <f ca="1">IFERROR(__xludf.DUMMYFUNCTION("""COMPUTED_VALUE"""),"Kovács András József")</f>
        <v>Kovács András József</v>
      </c>
      <c r="C1819" s="1"/>
      <c r="D1819" s="1" t="str">
        <f ca="1">IFERROR(__xludf.DUMMYFUNCTION("""COMPUTED_VALUE"""),"Férfi")</f>
        <v>Férfi</v>
      </c>
      <c r="E1819" s="1"/>
      <c r="F1819" s="1">
        <f ca="1">IFERROR(__xludf.DUMMYFUNCTION("""COMPUTED_VALUE"""),1974)</f>
        <v>1974</v>
      </c>
      <c r="G1819" s="1">
        <f ca="1">IFERROR(__xludf.DUMMYFUNCTION("""COMPUTED_VALUE"""),3364)</f>
        <v>3364</v>
      </c>
      <c r="H1819" s="1" t="str">
        <f ca="1">IFERROR(__xludf.DUMMYFUNCTION("""COMPUTED_VALUE"""),"MTLSZ003364A20")</f>
        <v>MTLSZ003364A20</v>
      </c>
      <c r="I1819" s="2">
        <f ca="1">IFERROR(__xludf.DUMMYFUNCTION("""COMPUTED_VALUE"""),44152)</f>
        <v>44152</v>
      </c>
      <c r="J1819" s="2">
        <f ca="1">IFERROR(__xludf.DUMMYFUNCTION("""COMPUTED_VALUE"""),44516)</f>
        <v>44516</v>
      </c>
    </row>
    <row r="1820" spans="1:10" x14ac:dyDescent="0.25">
      <c r="A1820" s="1" t="str">
        <f ca="1">IFERROR(__xludf.DUMMYFUNCTION("""COMPUTED_VALUE"""),"T(r)ollas SE")</f>
        <v>T(r)ollas SE</v>
      </c>
      <c r="B1820" s="1" t="str">
        <f ca="1">IFERROR(__xludf.DUMMYFUNCTION("""COMPUTED_VALUE"""),"Bazsó Tibor")</f>
        <v>Bazsó Tibor</v>
      </c>
      <c r="C1820" s="1"/>
      <c r="D1820" s="1" t="str">
        <f ca="1">IFERROR(__xludf.DUMMYFUNCTION("""COMPUTED_VALUE"""),"Férfi")</f>
        <v>Férfi</v>
      </c>
      <c r="E1820" s="1"/>
      <c r="F1820" s="1">
        <f ca="1">IFERROR(__xludf.DUMMYFUNCTION("""COMPUTED_VALUE"""),1962)</f>
        <v>1962</v>
      </c>
      <c r="G1820" s="1">
        <f ca="1">IFERROR(__xludf.DUMMYFUNCTION("""COMPUTED_VALUE"""),3668)</f>
        <v>3668</v>
      </c>
      <c r="H1820" s="1" t="str">
        <f ca="1">IFERROR(__xludf.DUMMYFUNCTION("""COMPUTED_VALUE"""),"MTLSZ003668A20")</f>
        <v>MTLSZ003668A20</v>
      </c>
      <c r="I1820" s="2">
        <f ca="1">IFERROR(__xludf.DUMMYFUNCTION("""COMPUTED_VALUE"""),44152)</f>
        <v>44152</v>
      </c>
      <c r="J1820" s="2">
        <f ca="1">IFERROR(__xludf.DUMMYFUNCTION("""COMPUTED_VALUE"""),44516)</f>
        <v>44516</v>
      </c>
    </row>
    <row r="1821" spans="1:10" x14ac:dyDescent="0.25">
      <c r="A1821" s="1" t="str">
        <f ca="1">IFERROR(__xludf.DUMMYFUNCTION("""COMPUTED_VALUE"""),"T(r)ollas SE")</f>
        <v>T(r)ollas SE</v>
      </c>
      <c r="B1821" s="1" t="str">
        <f ca="1">IFERROR(__xludf.DUMMYFUNCTION("""COMPUTED_VALUE"""),"Ecser János")</f>
        <v>Ecser János</v>
      </c>
      <c r="C1821" s="1"/>
      <c r="D1821" s="1" t="str">
        <f ca="1">IFERROR(__xludf.DUMMYFUNCTION("""COMPUTED_VALUE"""),"Férfi")</f>
        <v>Férfi</v>
      </c>
      <c r="E1821" s="1"/>
      <c r="F1821" s="1">
        <f ca="1">IFERROR(__xludf.DUMMYFUNCTION("""COMPUTED_VALUE"""),1951)</f>
        <v>1951</v>
      </c>
      <c r="G1821" s="1">
        <f ca="1">IFERROR(__xludf.DUMMYFUNCTION("""COMPUTED_VALUE"""),2016)</f>
        <v>2016</v>
      </c>
      <c r="H1821" s="1" t="str">
        <f ca="1">IFERROR(__xludf.DUMMYFUNCTION("""COMPUTED_VALUE"""),"MTLSZ002016A20")</f>
        <v>MTLSZ002016A20</v>
      </c>
      <c r="I1821" s="2">
        <f ca="1">IFERROR(__xludf.DUMMYFUNCTION("""COMPUTED_VALUE"""),44152)</f>
        <v>44152</v>
      </c>
      <c r="J1821" s="2">
        <f ca="1">IFERROR(__xludf.DUMMYFUNCTION("""COMPUTED_VALUE"""),44516)</f>
        <v>44516</v>
      </c>
    </row>
    <row r="1822" spans="1:10" x14ac:dyDescent="0.25">
      <c r="A1822" s="1" t="str">
        <f ca="1">IFERROR(__xludf.DUMMYFUNCTION("""COMPUTED_VALUE"""),"T(r)ollas SE")</f>
        <v>T(r)ollas SE</v>
      </c>
      <c r="B1822" s="1" t="str">
        <f ca="1">IFERROR(__xludf.DUMMYFUNCTION("""COMPUTED_VALUE"""),"Hanyang Fan")</f>
        <v>Hanyang Fan</v>
      </c>
      <c r="C1822" s="1"/>
      <c r="D1822" s="1" t="str">
        <f ca="1">IFERROR(__xludf.DUMMYFUNCTION("""COMPUTED_VALUE"""),"Férfi")</f>
        <v>Férfi</v>
      </c>
      <c r="E1822" s="1"/>
      <c r="F1822" s="1">
        <f ca="1">IFERROR(__xludf.DUMMYFUNCTION("""COMPUTED_VALUE"""),1990)</f>
        <v>1990</v>
      </c>
      <c r="G1822" s="1">
        <f ca="1">IFERROR(__xludf.DUMMYFUNCTION("""COMPUTED_VALUE"""),3692)</f>
        <v>3692</v>
      </c>
      <c r="H1822" s="1" t="str">
        <f ca="1">IFERROR(__xludf.DUMMYFUNCTION("""COMPUTED_VALUE"""),"MTLSZ003692A20")</f>
        <v>MTLSZ003692A20</v>
      </c>
      <c r="I1822" s="2">
        <f ca="1">IFERROR(__xludf.DUMMYFUNCTION("""COMPUTED_VALUE"""),44152)</f>
        <v>44152</v>
      </c>
      <c r="J1822" s="2">
        <f ca="1">IFERROR(__xludf.DUMMYFUNCTION("""COMPUTED_VALUE"""),44516)</f>
        <v>44516</v>
      </c>
    </row>
    <row r="1823" spans="1:10" x14ac:dyDescent="0.25">
      <c r="A1823" s="1" t="str">
        <f ca="1">IFERROR(__xludf.DUMMYFUNCTION("""COMPUTED_VALUE"""),"T(r)ollas SE")</f>
        <v>T(r)ollas SE</v>
      </c>
      <c r="B1823" s="1" t="str">
        <f ca="1">IFERROR(__xludf.DUMMYFUNCTION("""COMPUTED_VALUE"""),"Szemere Péter")</f>
        <v>Szemere Péter</v>
      </c>
      <c r="C1823" s="1"/>
      <c r="D1823" s="1" t="str">
        <f ca="1">IFERROR(__xludf.DUMMYFUNCTION("""COMPUTED_VALUE"""),"Férfi")</f>
        <v>Férfi</v>
      </c>
      <c r="E1823" s="1"/>
      <c r="F1823" s="1">
        <f ca="1">IFERROR(__xludf.DUMMYFUNCTION("""COMPUTED_VALUE"""),1980)</f>
        <v>1980</v>
      </c>
      <c r="G1823" s="1">
        <f ca="1">IFERROR(__xludf.DUMMYFUNCTION("""COMPUTED_VALUE"""),3110)</f>
        <v>3110</v>
      </c>
      <c r="H1823" s="1" t="str">
        <f ca="1">IFERROR(__xludf.DUMMYFUNCTION("""COMPUTED_VALUE"""),"MTLSZ003110A20")</f>
        <v>MTLSZ003110A20</v>
      </c>
      <c r="I1823" s="2">
        <f ca="1">IFERROR(__xludf.DUMMYFUNCTION("""COMPUTED_VALUE"""),44152)</f>
        <v>44152</v>
      </c>
      <c r="J1823" s="2">
        <f ca="1">IFERROR(__xludf.DUMMYFUNCTION("""COMPUTED_VALUE"""),44516)</f>
        <v>44516</v>
      </c>
    </row>
    <row r="1824" spans="1:10" x14ac:dyDescent="0.25">
      <c r="A1824" s="1" t="str">
        <f ca="1">IFERROR(__xludf.DUMMYFUNCTION("""COMPUTED_VALUE"""),"Életmód SE")</f>
        <v>Életmód SE</v>
      </c>
      <c r="B1824" s="1" t="str">
        <f ca="1">IFERROR(__xludf.DUMMYFUNCTION("""COMPUTED_VALUE"""),"Babinszky Bella")</f>
        <v>Babinszky Bella</v>
      </c>
      <c r="C1824" s="1"/>
      <c r="D1824" s="1" t="str">
        <f ca="1">IFERROR(__xludf.DUMMYFUNCTION("""COMPUTED_VALUE"""),"Nő")</f>
        <v>Nő</v>
      </c>
      <c r="E1824" s="1"/>
      <c r="F1824" s="1">
        <f ca="1">IFERROR(__xludf.DUMMYFUNCTION("""COMPUTED_VALUE"""),2013)</f>
        <v>2013</v>
      </c>
      <c r="G1824" s="1">
        <f ca="1">IFERROR(__xludf.DUMMYFUNCTION("""COMPUTED_VALUE"""),3645)</f>
        <v>3645</v>
      </c>
      <c r="H1824" s="1" t="str">
        <f ca="1">IFERROR(__xludf.DUMMYFUNCTION("""COMPUTED_VALUE"""),"MTLSZ003645A20")</f>
        <v>MTLSZ003645A20</v>
      </c>
      <c r="I1824" s="2">
        <f ca="1">IFERROR(__xludf.DUMMYFUNCTION("""COMPUTED_VALUE"""),44151)</f>
        <v>44151</v>
      </c>
      <c r="J1824" s="2">
        <f ca="1">IFERROR(__xludf.DUMMYFUNCTION("""COMPUTED_VALUE"""),44515)</f>
        <v>44515</v>
      </c>
    </row>
    <row r="1825" spans="1:10" x14ac:dyDescent="0.25">
      <c r="A1825" s="1" t="str">
        <f ca="1">IFERROR(__xludf.DUMMYFUNCTION("""COMPUTED_VALUE"""),"Életmód SE")</f>
        <v>Életmód SE</v>
      </c>
      <c r="B1825" s="1" t="str">
        <f ca="1">IFERROR(__xludf.DUMMYFUNCTION("""COMPUTED_VALUE"""),"Babinszky Réka")</f>
        <v>Babinszky Réka</v>
      </c>
      <c r="C1825" s="1"/>
      <c r="D1825" s="1" t="str">
        <f ca="1">IFERROR(__xludf.DUMMYFUNCTION("""COMPUTED_VALUE"""),"Nő")</f>
        <v>Nő</v>
      </c>
      <c r="E1825" s="1"/>
      <c r="F1825" s="1">
        <f ca="1">IFERROR(__xludf.DUMMYFUNCTION("""COMPUTED_VALUE"""),2015)</f>
        <v>2015</v>
      </c>
      <c r="G1825" s="1">
        <f ca="1">IFERROR(__xludf.DUMMYFUNCTION("""COMPUTED_VALUE"""),3646)</f>
        <v>3646</v>
      </c>
      <c r="H1825" s="1" t="str">
        <f ca="1">IFERROR(__xludf.DUMMYFUNCTION("""COMPUTED_VALUE"""),"MTLSZ003646A20")</f>
        <v>MTLSZ003646A20</v>
      </c>
      <c r="I1825" s="2">
        <f ca="1">IFERROR(__xludf.DUMMYFUNCTION("""COMPUTED_VALUE"""),44151)</f>
        <v>44151</v>
      </c>
      <c r="J1825" s="2">
        <f ca="1">IFERROR(__xludf.DUMMYFUNCTION("""COMPUTED_VALUE"""),44515)</f>
        <v>44515</v>
      </c>
    </row>
    <row r="1826" spans="1:10" x14ac:dyDescent="0.25">
      <c r="A1826" s="1" t="str">
        <f ca="1">IFERROR(__xludf.DUMMYFUNCTION("""COMPUTED_VALUE"""),"Életmód SE")</f>
        <v>Életmód SE</v>
      </c>
      <c r="B1826" s="1" t="str">
        <f ca="1">IFERROR(__xludf.DUMMYFUNCTION("""COMPUTED_VALUE"""),"Barkó Balázs")</f>
        <v>Barkó Balázs</v>
      </c>
      <c r="C1826" s="1"/>
      <c r="D1826" s="1" t="str">
        <f ca="1">IFERROR(__xludf.DUMMYFUNCTION("""COMPUTED_VALUE"""),"Férfi")</f>
        <v>Férfi</v>
      </c>
      <c r="E1826" s="1"/>
      <c r="F1826" s="1">
        <f ca="1">IFERROR(__xludf.DUMMYFUNCTION("""COMPUTED_VALUE"""),2009)</f>
        <v>2009</v>
      </c>
      <c r="G1826" s="1">
        <f ca="1">IFERROR(__xludf.DUMMYFUNCTION("""COMPUTED_VALUE"""),3622)</f>
        <v>3622</v>
      </c>
      <c r="H1826" s="1" t="str">
        <f ca="1">IFERROR(__xludf.DUMMYFUNCTION("""COMPUTED_VALUE"""),"MTLSZ003622A20")</f>
        <v>MTLSZ003622A20</v>
      </c>
      <c r="I1826" s="2">
        <f ca="1">IFERROR(__xludf.DUMMYFUNCTION("""COMPUTED_VALUE"""),44151)</f>
        <v>44151</v>
      </c>
      <c r="J1826" s="2">
        <f ca="1">IFERROR(__xludf.DUMMYFUNCTION("""COMPUTED_VALUE"""),44515)</f>
        <v>44515</v>
      </c>
    </row>
    <row r="1827" spans="1:10" x14ac:dyDescent="0.25">
      <c r="A1827" s="1" t="str">
        <f ca="1">IFERROR(__xludf.DUMMYFUNCTION("""COMPUTED_VALUE"""),"Életmód SE")</f>
        <v>Életmód SE</v>
      </c>
      <c r="B1827" s="1" t="str">
        <f ca="1">IFERROR(__xludf.DUMMYFUNCTION("""COMPUTED_VALUE"""),"Beréti Lili")</f>
        <v>Beréti Lili</v>
      </c>
      <c r="C1827" s="1"/>
      <c r="D1827" s="1" t="str">
        <f ca="1">IFERROR(__xludf.DUMMYFUNCTION("""COMPUTED_VALUE"""),"Nő")</f>
        <v>Nő</v>
      </c>
      <c r="E1827" s="1"/>
      <c r="F1827" s="1">
        <f ca="1">IFERROR(__xludf.DUMMYFUNCTION("""COMPUTED_VALUE"""),2008)</f>
        <v>2008</v>
      </c>
      <c r="G1827" s="1">
        <f ca="1">IFERROR(__xludf.DUMMYFUNCTION("""COMPUTED_VALUE"""),3620)</f>
        <v>3620</v>
      </c>
      <c r="H1827" s="1" t="str">
        <f ca="1">IFERROR(__xludf.DUMMYFUNCTION("""COMPUTED_VALUE"""),"MTLSZ003620A20")</f>
        <v>MTLSZ003620A20</v>
      </c>
      <c r="I1827" s="2">
        <f ca="1">IFERROR(__xludf.DUMMYFUNCTION("""COMPUTED_VALUE"""),44151)</f>
        <v>44151</v>
      </c>
      <c r="J1827" s="2">
        <f ca="1">IFERROR(__xludf.DUMMYFUNCTION("""COMPUTED_VALUE"""),44515)</f>
        <v>44515</v>
      </c>
    </row>
    <row r="1828" spans="1:10" x14ac:dyDescent="0.25">
      <c r="A1828" s="1" t="str">
        <f ca="1">IFERROR(__xludf.DUMMYFUNCTION("""COMPUTED_VALUE"""),"Életmód SE")</f>
        <v>Életmód SE</v>
      </c>
      <c r="B1828" s="1" t="str">
        <f ca="1">IFERROR(__xludf.DUMMYFUNCTION("""COMPUTED_VALUE"""),"Bimbó Tibor")</f>
        <v>Bimbó Tibor</v>
      </c>
      <c r="C1828" s="1"/>
      <c r="D1828" s="1" t="str">
        <f ca="1">IFERROR(__xludf.DUMMYFUNCTION("""COMPUTED_VALUE"""),"Férfi")</f>
        <v>Férfi</v>
      </c>
      <c r="E1828" s="1"/>
      <c r="F1828" s="1">
        <f ca="1">IFERROR(__xludf.DUMMYFUNCTION("""COMPUTED_VALUE"""),1970)</f>
        <v>1970</v>
      </c>
      <c r="G1828" s="1">
        <f ca="1">IFERROR(__xludf.DUMMYFUNCTION("""COMPUTED_VALUE"""),3635)</f>
        <v>3635</v>
      </c>
      <c r="H1828" s="1" t="str">
        <f ca="1">IFERROR(__xludf.DUMMYFUNCTION("""COMPUTED_VALUE"""),"MTLSZ003635A20")</f>
        <v>MTLSZ003635A20</v>
      </c>
      <c r="I1828" s="2">
        <f ca="1">IFERROR(__xludf.DUMMYFUNCTION("""COMPUTED_VALUE"""),44151)</f>
        <v>44151</v>
      </c>
      <c r="J1828" s="2">
        <f ca="1">IFERROR(__xludf.DUMMYFUNCTION("""COMPUTED_VALUE"""),44515)</f>
        <v>44515</v>
      </c>
    </row>
    <row r="1829" spans="1:10" x14ac:dyDescent="0.25">
      <c r="A1829" s="1" t="str">
        <f ca="1">IFERROR(__xludf.DUMMYFUNCTION("""COMPUTED_VALUE"""),"Életmód SE")</f>
        <v>Életmód SE</v>
      </c>
      <c r="B1829" s="1" t="str">
        <f ca="1">IFERROR(__xludf.DUMMYFUNCTION("""COMPUTED_VALUE"""),"Borbás József Dr.")</f>
        <v>Borbás József Dr.</v>
      </c>
      <c r="C1829" s="1"/>
      <c r="D1829" s="1" t="str">
        <f ca="1">IFERROR(__xludf.DUMMYFUNCTION("""COMPUTED_VALUE"""),"Férfi")</f>
        <v>Férfi</v>
      </c>
      <c r="E1829" s="1"/>
      <c r="F1829" s="1">
        <f ca="1">IFERROR(__xludf.DUMMYFUNCTION("""COMPUTED_VALUE"""),1957)</f>
        <v>1957</v>
      </c>
      <c r="G1829" s="1">
        <f ca="1">IFERROR(__xludf.DUMMYFUNCTION("""COMPUTED_VALUE"""),3641)</f>
        <v>3641</v>
      </c>
      <c r="H1829" s="1" t="str">
        <f ca="1">IFERROR(__xludf.DUMMYFUNCTION("""COMPUTED_VALUE"""),"MTLSZ003641A20")</f>
        <v>MTLSZ003641A20</v>
      </c>
      <c r="I1829" s="2">
        <f ca="1">IFERROR(__xludf.DUMMYFUNCTION("""COMPUTED_VALUE"""),44151)</f>
        <v>44151</v>
      </c>
      <c r="J1829" s="2">
        <f ca="1">IFERROR(__xludf.DUMMYFUNCTION("""COMPUTED_VALUE"""),44515)</f>
        <v>44515</v>
      </c>
    </row>
    <row r="1830" spans="1:10" x14ac:dyDescent="0.25">
      <c r="A1830" s="1" t="str">
        <f ca="1">IFERROR(__xludf.DUMMYFUNCTION("""COMPUTED_VALUE"""),"Életmód SE")</f>
        <v>Életmód SE</v>
      </c>
      <c r="B1830" s="1" t="str">
        <f ca="1">IFERROR(__xludf.DUMMYFUNCTION("""COMPUTED_VALUE"""),"Csala András")</f>
        <v>Csala András</v>
      </c>
      <c r="C1830" s="1"/>
      <c r="D1830" s="1" t="str">
        <f ca="1">IFERROR(__xludf.DUMMYFUNCTION("""COMPUTED_VALUE"""),"Férfi")</f>
        <v>Férfi</v>
      </c>
      <c r="E1830" s="1"/>
      <c r="F1830" s="1">
        <f ca="1">IFERROR(__xludf.DUMMYFUNCTION("""COMPUTED_VALUE"""),1982)</f>
        <v>1982</v>
      </c>
      <c r="G1830" s="1">
        <f ca="1">IFERROR(__xludf.DUMMYFUNCTION("""COMPUTED_VALUE"""),3625)</f>
        <v>3625</v>
      </c>
      <c r="H1830" s="1" t="str">
        <f ca="1">IFERROR(__xludf.DUMMYFUNCTION("""COMPUTED_VALUE"""),"MTLSZ003625A20")</f>
        <v>MTLSZ003625A20</v>
      </c>
      <c r="I1830" s="2">
        <f ca="1">IFERROR(__xludf.DUMMYFUNCTION("""COMPUTED_VALUE"""),44151)</f>
        <v>44151</v>
      </c>
      <c r="J1830" s="2">
        <f ca="1">IFERROR(__xludf.DUMMYFUNCTION("""COMPUTED_VALUE"""),44515)</f>
        <v>44515</v>
      </c>
    </row>
    <row r="1831" spans="1:10" x14ac:dyDescent="0.25">
      <c r="A1831" s="1" t="str">
        <f ca="1">IFERROR(__xludf.DUMMYFUNCTION("""COMPUTED_VALUE"""),"Életmód SE")</f>
        <v>Életmód SE</v>
      </c>
      <c r="B1831" s="1" t="str">
        <f ca="1">IFERROR(__xludf.DUMMYFUNCTION("""COMPUTED_VALUE"""),"Ecser Bálint Máté")</f>
        <v>Ecser Bálint Máté</v>
      </c>
      <c r="C1831" s="1"/>
      <c r="D1831" s="1" t="str">
        <f ca="1">IFERROR(__xludf.DUMMYFUNCTION("""COMPUTED_VALUE"""),"Férfi")</f>
        <v>Férfi</v>
      </c>
      <c r="E1831" s="1"/>
      <c r="F1831" s="1">
        <f ca="1">IFERROR(__xludf.DUMMYFUNCTION("""COMPUTED_VALUE"""),2007)</f>
        <v>2007</v>
      </c>
      <c r="G1831" s="1">
        <f ca="1">IFERROR(__xludf.DUMMYFUNCTION("""COMPUTED_VALUE"""),3632)</f>
        <v>3632</v>
      </c>
      <c r="H1831" s="1" t="str">
        <f ca="1">IFERROR(__xludf.DUMMYFUNCTION("""COMPUTED_VALUE"""),"MTLSZ003632A20")</f>
        <v>MTLSZ003632A20</v>
      </c>
      <c r="I1831" s="2">
        <f ca="1">IFERROR(__xludf.DUMMYFUNCTION("""COMPUTED_VALUE"""),44151)</f>
        <v>44151</v>
      </c>
      <c r="J1831" s="2">
        <f ca="1">IFERROR(__xludf.DUMMYFUNCTION("""COMPUTED_VALUE"""),44515)</f>
        <v>44515</v>
      </c>
    </row>
    <row r="1832" spans="1:10" x14ac:dyDescent="0.25">
      <c r="A1832" s="1" t="str">
        <f ca="1">IFERROR(__xludf.DUMMYFUNCTION("""COMPUTED_VALUE"""),"Életmód SE")</f>
        <v>Életmód SE</v>
      </c>
      <c r="B1832" s="1" t="str">
        <f ca="1">IFERROR(__xludf.DUMMYFUNCTION("""COMPUTED_VALUE"""),"Fehér Krisztián")</f>
        <v>Fehér Krisztián</v>
      </c>
      <c r="C1832" s="1"/>
      <c r="D1832" s="1" t="str">
        <f ca="1">IFERROR(__xludf.DUMMYFUNCTION("""COMPUTED_VALUE"""),"Férfi")</f>
        <v>Férfi</v>
      </c>
      <c r="E1832" s="1"/>
      <c r="F1832" s="1">
        <f ca="1">IFERROR(__xludf.DUMMYFUNCTION("""COMPUTED_VALUE"""),1972)</f>
        <v>1972</v>
      </c>
      <c r="G1832" s="1">
        <f ca="1">IFERROR(__xludf.DUMMYFUNCTION("""COMPUTED_VALUE"""),3638)</f>
        <v>3638</v>
      </c>
      <c r="H1832" s="1" t="str">
        <f ca="1">IFERROR(__xludf.DUMMYFUNCTION("""COMPUTED_VALUE"""),"MTLSZ003638A20")</f>
        <v>MTLSZ003638A20</v>
      </c>
      <c r="I1832" s="2">
        <f ca="1">IFERROR(__xludf.DUMMYFUNCTION("""COMPUTED_VALUE"""),44151)</f>
        <v>44151</v>
      </c>
      <c r="J1832" s="2">
        <f ca="1">IFERROR(__xludf.DUMMYFUNCTION("""COMPUTED_VALUE"""),44515)</f>
        <v>44515</v>
      </c>
    </row>
    <row r="1833" spans="1:10" x14ac:dyDescent="0.25">
      <c r="A1833" s="1" t="str">
        <f ca="1">IFERROR(__xludf.DUMMYFUNCTION("""COMPUTED_VALUE"""),"Életmód SE")</f>
        <v>Életmód SE</v>
      </c>
      <c r="B1833" s="1" t="str">
        <f ca="1">IFERROR(__xludf.DUMMYFUNCTION("""COMPUTED_VALUE"""),"Gál Krisztián")</f>
        <v>Gál Krisztián</v>
      </c>
      <c r="C1833" s="1"/>
      <c r="D1833" s="1" t="str">
        <f ca="1">IFERROR(__xludf.DUMMYFUNCTION("""COMPUTED_VALUE"""),"Férfi")</f>
        <v>Férfi</v>
      </c>
      <c r="E1833" s="1"/>
      <c r="F1833" s="1">
        <f ca="1">IFERROR(__xludf.DUMMYFUNCTION("""COMPUTED_VALUE"""),1976)</f>
        <v>1976</v>
      </c>
      <c r="G1833" s="1">
        <f ca="1">IFERROR(__xludf.DUMMYFUNCTION("""COMPUTED_VALUE"""),3637)</f>
        <v>3637</v>
      </c>
      <c r="H1833" s="1" t="str">
        <f ca="1">IFERROR(__xludf.DUMMYFUNCTION("""COMPUTED_VALUE"""),"MTLSZ003637A20")</f>
        <v>MTLSZ003637A20</v>
      </c>
      <c r="I1833" s="2">
        <f ca="1">IFERROR(__xludf.DUMMYFUNCTION("""COMPUTED_VALUE"""),44151)</f>
        <v>44151</v>
      </c>
      <c r="J1833" s="2">
        <f ca="1">IFERROR(__xludf.DUMMYFUNCTION("""COMPUTED_VALUE"""),44515)</f>
        <v>44515</v>
      </c>
    </row>
    <row r="1834" spans="1:10" x14ac:dyDescent="0.25">
      <c r="A1834" s="1" t="str">
        <f ca="1">IFERROR(__xludf.DUMMYFUNCTION("""COMPUTED_VALUE"""),"Életmód SE")</f>
        <v>Életmód SE</v>
      </c>
      <c r="B1834" s="1" t="str">
        <f ca="1">IFERROR(__xludf.DUMMYFUNCTION("""COMPUTED_VALUE"""),"Gracza Dominik József")</f>
        <v>Gracza Dominik József</v>
      </c>
      <c r="C1834" s="1"/>
      <c r="D1834" s="1" t="str">
        <f ca="1">IFERROR(__xludf.DUMMYFUNCTION("""COMPUTED_VALUE"""),"Férfi")</f>
        <v>Férfi</v>
      </c>
      <c r="E1834" s="1"/>
      <c r="F1834" s="1">
        <f ca="1">IFERROR(__xludf.DUMMYFUNCTION("""COMPUTED_VALUE"""),2010)</f>
        <v>2010</v>
      </c>
      <c r="G1834" s="1">
        <f ca="1">IFERROR(__xludf.DUMMYFUNCTION("""COMPUTED_VALUE"""),3631)</f>
        <v>3631</v>
      </c>
      <c r="H1834" s="1" t="str">
        <f ca="1">IFERROR(__xludf.DUMMYFUNCTION("""COMPUTED_VALUE"""),"MTLSZ003631A20")</f>
        <v>MTLSZ003631A20</v>
      </c>
      <c r="I1834" s="2">
        <f ca="1">IFERROR(__xludf.DUMMYFUNCTION("""COMPUTED_VALUE"""),44151)</f>
        <v>44151</v>
      </c>
      <c r="J1834" s="2">
        <f ca="1">IFERROR(__xludf.DUMMYFUNCTION("""COMPUTED_VALUE"""),44515)</f>
        <v>44515</v>
      </c>
    </row>
    <row r="1835" spans="1:10" x14ac:dyDescent="0.25">
      <c r="A1835" s="1" t="str">
        <f ca="1">IFERROR(__xludf.DUMMYFUNCTION("""COMPUTED_VALUE"""),"Életmód SE")</f>
        <v>Életmód SE</v>
      </c>
      <c r="B1835" s="1" t="str">
        <f ca="1">IFERROR(__xludf.DUMMYFUNCTION("""COMPUTED_VALUE"""),"Herczeg Véda")</f>
        <v>Herczeg Véda</v>
      </c>
      <c r="C1835" s="1"/>
      <c r="D1835" s="1" t="str">
        <f ca="1">IFERROR(__xludf.DUMMYFUNCTION("""COMPUTED_VALUE"""),"Nő")</f>
        <v>Nő</v>
      </c>
      <c r="E1835" s="1"/>
      <c r="F1835" s="1">
        <f ca="1">IFERROR(__xludf.DUMMYFUNCTION("""COMPUTED_VALUE"""),2007)</f>
        <v>2007</v>
      </c>
      <c r="G1835" s="1">
        <f ca="1">IFERROR(__xludf.DUMMYFUNCTION("""COMPUTED_VALUE"""),3630)</f>
        <v>3630</v>
      </c>
      <c r="H1835" s="1" t="str">
        <f ca="1">IFERROR(__xludf.DUMMYFUNCTION("""COMPUTED_VALUE"""),"MTLSZ003630A20")</f>
        <v>MTLSZ003630A20</v>
      </c>
      <c r="I1835" s="2">
        <f ca="1">IFERROR(__xludf.DUMMYFUNCTION("""COMPUTED_VALUE"""),44151)</f>
        <v>44151</v>
      </c>
      <c r="J1835" s="2">
        <f ca="1">IFERROR(__xludf.DUMMYFUNCTION("""COMPUTED_VALUE"""),44515)</f>
        <v>44515</v>
      </c>
    </row>
    <row r="1836" spans="1:10" x14ac:dyDescent="0.25">
      <c r="A1836" s="1" t="str">
        <f ca="1">IFERROR(__xludf.DUMMYFUNCTION("""COMPUTED_VALUE"""),"Életmód SE")</f>
        <v>Életmód SE</v>
      </c>
      <c r="B1836" s="1" t="str">
        <f ca="1">IFERROR(__xludf.DUMMYFUNCTION("""COMPUTED_VALUE"""),"Kristóf Janka")</f>
        <v>Kristóf Janka</v>
      </c>
      <c r="C1836" s="1"/>
      <c r="D1836" s="1" t="str">
        <f ca="1">IFERROR(__xludf.DUMMYFUNCTION("""COMPUTED_VALUE"""),"Nő")</f>
        <v>Nő</v>
      </c>
      <c r="E1836" s="1"/>
      <c r="F1836" s="1">
        <f ca="1">IFERROR(__xludf.DUMMYFUNCTION("""COMPUTED_VALUE"""),2011)</f>
        <v>2011</v>
      </c>
      <c r="G1836" s="1">
        <f ca="1">IFERROR(__xludf.DUMMYFUNCTION("""COMPUTED_VALUE"""),3649)</f>
        <v>3649</v>
      </c>
      <c r="H1836" s="1" t="str">
        <f ca="1">IFERROR(__xludf.DUMMYFUNCTION("""COMPUTED_VALUE"""),"MTLSZ003649A20")</f>
        <v>MTLSZ003649A20</v>
      </c>
      <c r="I1836" s="2">
        <f ca="1">IFERROR(__xludf.DUMMYFUNCTION("""COMPUTED_VALUE"""),44151)</f>
        <v>44151</v>
      </c>
      <c r="J1836" s="2">
        <f ca="1">IFERROR(__xludf.DUMMYFUNCTION("""COMPUTED_VALUE"""),44515)</f>
        <v>44515</v>
      </c>
    </row>
    <row r="1837" spans="1:10" x14ac:dyDescent="0.25">
      <c r="A1837" s="1" t="str">
        <f ca="1">IFERROR(__xludf.DUMMYFUNCTION("""COMPUTED_VALUE"""),"Életmód SE")</f>
        <v>Életmód SE</v>
      </c>
      <c r="B1837" s="1" t="str">
        <f ca="1">IFERROR(__xludf.DUMMYFUNCTION("""COMPUTED_VALUE"""),"Kristóf Zsálya")</f>
        <v>Kristóf Zsálya</v>
      </c>
      <c r="C1837" s="1"/>
      <c r="D1837" s="1" t="str">
        <f ca="1">IFERROR(__xludf.DUMMYFUNCTION("""COMPUTED_VALUE"""),"Nő")</f>
        <v>Nő</v>
      </c>
      <c r="E1837" s="1"/>
      <c r="F1837" s="1">
        <f ca="1">IFERROR(__xludf.DUMMYFUNCTION("""COMPUTED_VALUE"""),2013)</f>
        <v>2013</v>
      </c>
      <c r="G1837" s="1">
        <f ca="1">IFERROR(__xludf.DUMMYFUNCTION("""COMPUTED_VALUE"""),3648)</f>
        <v>3648</v>
      </c>
      <c r="H1837" s="1" t="str">
        <f ca="1">IFERROR(__xludf.DUMMYFUNCTION("""COMPUTED_VALUE"""),"MTLSZ003648A20")</f>
        <v>MTLSZ003648A20</v>
      </c>
      <c r="I1837" s="2">
        <f ca="1">IFERROR(__xludf.DUMMYFUNCTION("""COMPUTED_VALUE"""),44151)</f>
        <v>44151</v>
      </c>
      <c r="J1837" s="2">
        <f ca="1">IFERROR(__xludf.DUMMYFUNCTION("""COMPUTED_VALUE"""),44515)</f>
        <v>44515</v>
      </c>
    </row>
    <row r="1838" spans="1:10" x14ac:dyDescent="0.25">
      <c r="A1838" s="1" t="str">
        <f ca="1">IFERROR(__xludf.DUMMYFUNCTION("""COMPUTED_VALUE"""),"Életmód SE")</f>
        <v>Életmód SE</v>
      </c>
      <c r="B1838" s="1" t="str">
        <f ca="1">IFERROR(__xludf.DUMMYFUNCTION("""COMPUTED_VALUE"""),"Mácska László")</f>
        <v>Mácska László</v>
      </c>
      <c r="C1838" s="1"/>
      <c r="D1838" s="1" t="str">
        <f ca="1">IFERROR(__xludf.DUMMYFUNCTION("""COMPUTED_VALUE"""),"Férfi")</f>
        <v>Férfi</v>
      </c>
      <c r="E1838" s="1"/>
      <c r="F1838" s="1">
        <f ca="1">IFERROR(__xludf.DUMMYFUNCTION("""COMPUTED_VALUE"""),1980)</f>
        <v>1980</v>
      </c>
      <c r="G1838" s="1">
        <f ca="1">IFERROR(__xludf.DUMMYFUNCTION("""COMPUTED_VALUE"""),3627)</f>
        <v>3627</v>
      </c>
      <c r="H1838" s="1" t="str">
        <f ca="1">IFERROR(__xludf.DUMMYFUNCTION("""COMPUTED_VALUE"""),"MTLSZ003627A20")</f>
        <v>MTLSZ003627A20</v>
      </c>
      <c r="I1838" s="2">
        <f ca="1">IFERROR(__xludf.DUMMYFUNCTION("""COMPUTED_VALUE"""),44151)</f>
        <v>44151</v>
      </c>
      <c r="J1838" s="2">
        <f ca="1">IFERROR(__xludf.DUMMYFUNCTION("""COMPUTED_VALUE"""),44515)</f>
        <v>44515</v>
      </c>
    </row>
    <row r="1839" spans="1:10" x14ac:dyDescent="0.25">
      <c r="A1839" s="1" t="str">
        <f ca="1">IFERROR(__xludf.DUMMYFUNCTION("""COMPUTED_VALUE"""),"Életmód SE")</f>
        <v>Életmód SE</v>
      </c>
      <c r="B1839" s="1" t="str">
        <f ca="1">IFERROR(__xludf.DUMMYFUNCTION("""COMPUTED_VALUE"""),"Melczer Fanni")</f>
        <v>Melczer Fanni</v>
      </c>
      <c r="C1839" s="1"/>
      <c r="D1839" s="1" t="str">
        <f ca="1">IFERROR(__xludf.DUMMYFUNCTION("""COMPUTED_VALUE"""),"Nő")</f>
        <v>Nő</v>
      </c>
      <c r="E1839" s="1"/>
      <c r="F1839" s="1">
        <f ca="1">IFERROR(__xludf.DUMMYFUNCTION("""COMPUTED_VALUE"""),2007)</f>
        <v>2007</v>
      </c>
      <c r="G1839" s="1">
        <f ca="1">IFERROR(__xludf.DUMMYFUNCTION("""COMPUTED_VALUE"""),3633)</f>
        <v>3633</v>
      </c>
      <c r="H1839" s="1" t="str">
        <f ca="1">IFERROR(__xludf.DUMMYFUNCTION("""COMPUTED_VALUE"""),"MTLSZ003633A20")</f>
        <v>MTLSZ003633A20</v>
      </c>
      <c r="I1839" s="2">
        <f ca="1">IFERROR(__xludf.DUMMYFUNCTION("""COMPUTED_VALUE"""),44151)</f>
        <v>44151</v>
      </c>
      <c r="J1839" s="2">
        <f ca="1">IFERROR(__xludf.DUMMYFUNCTION("""COMPUTED_VALUE"""),44515)</f>
        <v>44515</v>
      </c>
    </row>
    <row r="1840" spans="1:10" x14ac:dyDescent="0.25">
      <c r="A1840" s="1" t="str">
        <f ca="1">IFERROR(__xludf.DUMMYFUNCTION("""COMPUTED_VALUE"""),"Életmód SE")</f>
        <v>Életmód SE</v>
      </c>
      <c r="B1840" s="1" t="str">
        <f ca="1">IFERROR(__xludf.DUMMYFUNCTION("""COMPUTED_VALUE"""),"Melicher Péter")</f>
        <v>Melicher Péter</v>
      </c>
      <c r="C1840" s="1"/>
      <c r="D1840" s="1" t="str">
        <f ca="1">IFERROR(__xludf.DUMMYFUNCTION("""COMPUTED_VALUE"""),"Férfi")</f>
        <v>Férfi</v>
      </c>
      <c r="E1840" s="1"/>
      <c r="F1840" s="1">
        <f ca="1">IFERROR(__xludf.DUMMYFUNCTION("""COMPUTED_VALUE"""),1979)</f>
        <v>1979</v>
      </c>
      <c r="G1840" s="1">
        <f ca="1">IFERROR(__xludf.DUMMYFUNCTION("""COMPUTED_VALUE"""),3619)</f>
        <v>3619</v>
      </c>
      <c r="H1840" s="1" t="str">
        <f ca="1">IFERROR(__xludf.DUMMYFUNCTION("""COMPUTED_VALUE"""),"MTLSZ003619A20")</f>
        <v>MTLSZ003619A20</v>
      </c>
      <c r="I1840" s="2">
        <f ca="1">IFERROR(__xludf.DUMMYFUNCTION("""COMPUTED_VALUE"""),44151)</f>
        <v>44151</v>
      </c>
      <c r="J1840" s="2">
        <f ca="1">IFERROR(__xludf.DUMMYFUNCTION("""COMPUTED_VALUE"""),44515)</f>
        <v>44515</v>
      </c>
    </row>
    <row r="1841" spans="1:10" x14ac:dyDescent="0.25">
      <c r="A1841" s="1" t="str">
        <f ca="1">IFERROR(__xludf.DUMMYFUNCTION("""COMPUTED_VALUE"""),"Életmód SE")</f>
        <v>Életmód SE</v>
      </c>
      <c r="B1841" s="1" t="str">
        <f ca="1">IFERROR(__xludf.DUMMYFUNCTION("""COMPUTED_VALUE"""),"Mészáros Levente")</f>
        <v>Mészáros Levente</v>
      </c>
      <c r="C1841" s="1"/>
      <c r="D1841" s="1" t="str">
        <f ca="1">IFERROR(__xludf.DUMMYFUNCTION("""COMPUTED_VALUE"""),"Férfi")</f>
        <v>Férfi</v>
      </c>
      <c r="E1841" s="1"/>
      <c r="F1841" s="1">
        <f ca="1">IFERROR(__xludf.DUMMYFUNCTION("""COMPUTED_VALUE"""),2005)</f>
        <v>2005</v>
      </c>
      <c r="G1841" s="1">
        <f ca="1">IFERROR(__xludf.DUMMYFUNCTION("""COMPUTED_VALUE"""),3623)</f>
        <v>3623</v>
      </c>
      <c r="H1841" s="1" t="str">
        <f ca="1">IFERROR(__xludf.DUMMYFUNCTION("""COMPUTED_VALUE"""),"MTLSZ003623A20")</f>
        <v>MTLSZ003623A20</v>
      </c>
      <c r="I1841" s="2">
        <f ca="1">IFERROR(__xludf.DUMMYFUNCTION("""COMPUTED_VALUE"""),44151)</f>
        <v>44151</v>
      </c>
      <c r="J1841" s="2">
        <f ca="1">IFERROR(__xludf.DUMMYFUNCTION("""COMPUTED_VALUE"""),44515)</f>
        <v>44515</v>
      </c>
    </row>
    <row r="1842" spans="1:10" x14ac:dyDescent="0.25">
      <c r="A1842" s="1" t="str">
        <f ca="1">IFERROR(__xludf.DUMMYFUNCTION("""COMPUTED_VALUE"""),"Életmód SE")</f>
        <v>Életmód SE</v>
      </c>
      <c r="B1842" s="1" t="str">
        <f ca="1">IFERROR(__xludf.DUMMYFUNCTION("""COMPUTED_VALUE"""),"Pap Tibor")</f>
        <v>Pap Tibor</v>
      </c>
      <c r="C1842" s="1"/>
      <c r="D1842" s="1" t="str">
        <f ca="1">IFERROR(__xludf.DUMMYFUNCTION("""COMPUTED_VALUE"""),"Férfi")</f>
        <v>Férfi</v>
      </c>
      <c r="E1842" s="1"/>
      <c r="F1842" s="1">
        <f ca="1">IFERROR(__xludf.DUMMYFUNCTION("""COMPUTED_VALUE"""),1974)</f>
        <v>1974</v>
      </c>
      <c r="G1842" s="1">
        <f ca="1">IFERROR(__xludf.DUMMYFUNCTION("""COMPUTED_VALUE"""),3643)</f>
        <v>3643</v>
      </c>
      <c r="H1842" s="1" t="str">
        <f ca="1">IFERROR(__xludf.DUMMYFUNCTION("""COMPUTED_VALUE"""),"MTLSZ003643A20")</f>
        <v>MTLSZ003643A20</v>
      </c>
      <c r="I1842" s="2">
        <f ca="1">IFERROR(__xludf.DUMMYFUNCTION("""COMPUTED_VALUE"""),44151)</f>
        <v>44151</v>
      </c>
      <c r="J1842" s="2">
        <f ca="1">IFERROR(__xludf.DUMMYFUNCTION("""COMPUTED_VALUE"""),44515)</f>
        <v>44515</v>
      </c>
    </row>
    <row r="1843" spans="1:10" x14ac:dyDescent="0.25">
      <c r="A1843" s="1" t="str">
        <f ca="1">IFERROR(__xludf.DUMMYFUNCTION("""COMPUTED_VALUE"""),"Életmód SE")</f>
        <v>Életmód SE</v>
      </c>
      <c r="B1843" s="1" t="str">
        <f ca="1">IFERROR(__xludf.DUMMYFUNCTION("""COMPUTED_VALUE"""),"Zsemlye Gábor")</f>
        <v>Zsemlye Gábor</v>
      </c>
      <c r="C1843" s="1"/>
      <c r="D1843" s="1" t="str">
        <f ca="1">IFERROR(__xludf.DUMMYFUNCTION("""COMPUTED_VALUE"""),"Férfi")</f>
        <v>Férfi</v>
      </c>
      <c r="E1843" s="1"/>
      <c r="F1843" s="1">
        <f ca="1">IFERROR(__xludf.DUMMYFUNCTION("""COMPUTED_VALUE"""),1975)</f>
        <v>1975</v>
      </c>
      <c r="G1843" s="1">
        <f ca="1">IFERROR(__xludf.DUMMYFUNCTION("""COMPUTED_VALUE"""),3636)</f>
        <v>3636</v>
      </c>
      <c r="H1843" s="1" t="str">
        <f ca="1">IFERROR(__xludf.DUMMYFUNCTION("""COMPUTED_VALUE"""),"MTLSZ003636A20")</f>
        <v>MTLSZ003636A20</v>
      </c>
      <c r="I1843" s="2">
        <f ca="1">IFERROR(__xludf.DUMMYFUNCTION("""COMPUTED_VALUE"""),44151)</f>
        <v>44151</v>
      </c>
      <c r="J1843" s="2">
        <f ca="1">IFERROR(__xludf.DUMMYFUNCTION("""COMPUTED_VALUE"""),44515)</f>
        <v>44515</v>
      </c>
    </row>
    <row r="1844" spans="1:10" x14ac:dyDescent="0.25">
      <c r="A1844" s="1" t="str">
        <f ca="1">IFERROR(__xludf.DUMMYFUNCTION("""COMPUTED_VALUE"""),"Életmód SE")</f>
        <v>Életmód SE</v>
      </c>
      <c r="B1844" s="1"/>
      <c r="C1844" s="1"/>
      <c r="D1844" s="1"/>
      <c r="E1844" s="1"/>
      <c r="F1844" s="1">
        <f ca="1">IFERROR(__xludf.DUMMYFUNCTION("""COMPUTED_VALUE"""),1899)</f>
        <v>1899</v>
      </c>
      <c r="G1844" s="1">
        <f ca="1">IFERROR(__xludf.DUMMYFUNCTION("""COMPUTED_VALUE"""),3621)</f>
        <v>3621</v>
      </c>
      <c r="H1844" s="1"/>
      <c r="I1844" s="2">
        <f ca="1">IFERROR(__xludf.DUMMYFUNCTION("""COMPUTED_VALUE"""),44151)</f>
        <v>44151</v>
      </c>
      <c r="J1844" s="2">
        <f ca="1">IFERROR(__xludf.DUMMYFUNCTION("""COMPUTED_VALUE"""),44515)</f>
        <v>44515</v>
      </c>
    </row>
    <row r="1845" spans="1:10" x14ac:dyDescent="0.25">
      <c r="A1845" s="1" t="str">
        <f ca="1">IFERROR(__xludf.DUMMYFUNCTION("""COMPUTED_VALUE"""),"Talentum TSE")</f>
        <v>Talentum TSE</v>
      </c>
      <c r="B1845" s="1" t="str">
        <f ca="1">IFERROR(__xludf.DUMMYFUNCTION("""COMPUTED_VALUE"""),"Wallerstein Kata")</f>
        <v>Wallerstein Kata</v>
      </c>
      <c r="C1845" s="1"/>
      <c r="D1845" s="1" t="str">
        <f ca="1">IFERROR(__xludf.DUMMYFUNCTION("""COMPUTED_VALUE"""),"Nő")</f>
        <v>Nő</v>
      </c>
      <c r="E1845" s="1"/>
      <c r="F1845" s="1">
        <f ca="1">IFERROR(__xludf.DUMMYFUNCTION("""COMPUTED_VALUE"""),2004)</f>
        <v>2004</v>
      </c>
      <c r="G1845" s="1">
        <f ca="1">IFERROR(__xludf.DUMMYFUNCTION("""COMPUTED_VALUE"""),3305)</f>
        <v>3305</v>
      </c>
      <c r="H1845" s="1" t="str">
        <f ca="1">IFERROR(__xludf.DUMMYFUNCTION("""COMPUTED_VALUE"""),"MTLSZ003305A20")</f>
        <v>MTLSZ003305A20</v>
      </c>
      <c r="I1845" s="2">
        <f ca="1">IFERROR(__xludf.DUMMYFUNCTION("""COMPUTED_VALUE"""),44151)</f>
        <v>44151</v>
      </c>
      <c r="J1845" s="2">
        <f ca="1">IFERROR(__xludf.DUMMYFUNCTION("""COMPUTED_VALUE"""),44515)</f>
        <v>44515</v>
      </c>
    </row>
    <row r="1846" spans="1:10" x14ac:dyDescent="0.25">
      <c r="A1846" s="1" t="str">
        <f ca="1">IFERROR(__xludf.DUMMYFUNCTION("""COMPUTED_VALUE"""),"Talentum TSE")</f>
        <v>Talentum TSE</v>
      </c>
      <c r="B1846" s="1" t="str">
        <f ca="1">IFERROR(__xludf.DUMMYFUNCTION("""COMPUTED_VALUE"""),"Wallerstein Lilla")</f>
        <v>Wallerstein Lilla</v>
      </c>
      <c r="C1846" s="1"/>
      <c r="D1846" s="1" t="str">
        <f ca="1">IFERROR(__xludf.DUMMYFUNCTION("""COMPUTED_VALUE"""),"Nő")</f>
        <v>Nő</v>
      </c>
      <c r="E1846" s="1"/>
      <c r="F1846" s="1">
        <f ca="1">IFERROR(__xludf.DUMMYFUNCTION("""COMPUTED_VALUE"""),2004)</f>
        <v>2004</v>
      </c>
      <c r="G1846" s="1">
        <f ca="1">IFERROR(__xludf.DUMMYFUNCTION("""COMPUTED_VALUE"""),3263)</f>
        <v>3263</v>
      </c>
      <c r="H1846" s="1" t="str">
        <f ca="1">IFERROR(__xludf.DUMMYFUNCTION("""COMPUTED_VALUE"""),"MTLSZ003263A20")</f>
        <v>MTLSZ003263A20</v>
      </c>
      <c r="I1846" s="2">
        <f ca="1">IFERROR(__xludf.DUMMYFUNCTION("""COMPUTED_VALUE"""),44151)</f>
        <v>44151</v>
      </c>
      <c r="J1846" s="2">
        <f ca="1">IFERROR(__xludf.DUMMYFUNCTION("""COMPUTED_VALUE"""),44515)</f>
        <v>44515</v>
      </c>
    </row>
    <row r="1847" spans="1:10" x14ac:dyDescent="0.25">
      <c r="A1847" s="1" t="str">
        <f ca="1">IFERROR(__xludf.DUMMYFUNCTION("""COMPUTED_VALUE"""),"Újpest TSE")</f>
        <v>Újpest TSE</v>
      </c>
      <c r="B1847" s="1" t="str">
        <f ca="1">IFERROR(__xludf.DUMMYFUNCTION("""COMPUTED_VALUE"""),"Bárdos Zsolt")</f>
        <v>Bárdos Zsolt</v>
      </c>
      <c r="C1847" s="1"/>
      <c r="D1847" s="1" t="str">
        <f ca="1">IFERROR(__xludf.DUMMYFUNCTION("""COMPUTED_VALUE"""),"Férfi")</f>
        <v>Férfi</v>
      </c>
      <c r="E1847" s="1"/>
      <c r="F1847" s="1">
        <f ca="1">IFERROR(__xludf.DUMMYFUNCTION("""COMPUTED_VALUE"""),1966)</f>
        <v>1966</v>
      </c>
      <c r="G1847" s="1">
        <f ca="1">IFERROR(__xludf.DUMMYFUNCTION("""COMPUTED_VALUE"""),3610)</f>
        <v>3610</v>
      </c>
      <c r="H1847" s="1" t="str">
        <f ca="1">IFERROR(__xludf.DUMMYFUNCTION("""COMPUTED_VALUE"""),"MTLSZ003610A20")</f>
        <v>MTLSZ003610A20</v>
      </c>
      <c r="I1847" s="2">
        <f ca="1">IFERROR(__xludf.DUMMYFUNCTION("""COMPUTED_VALUE"""),44151)</f>
        <v>44151</v>
      </c>
      <c r="J1847" s="2">
        <f ca="1">IFERROR(__xludf.DUMMYFUNCTION("""COMPUTED_VALUE"""),44515)</f>
        <v>44515</v>
      </c>
    </row>
    <row r="1848" spans="1:10" x14ac:dyDescent="0.25">
      <c r="A1848" s="1" t="str">
        <f ca="1">IFERROR(__xludf.DUMMYFUNCTION("""COMPUTED_VALUE"""),"Újpest TSE")</f>
        <v>Újpest TSE</v>
      </c>
      <c r="B1848" s="1" t="str">
        <f ca="1">IFERROR(__xludf.DUMMYFUNCTION("""COMPUTED_VALUE"""),"Enghy Emília")</f>
        <v>Enghy Emília</v>
      </c>
      <c r="C1848" s="1"/>
      <c r="D1848" s="1" t="str">
        <f ca="1">IFERROR(__xludf.DUMMYFUNCTION("""COMPUTED_VALUE"""),"Nő")</f>
        <v>Nő</v>
      </c>
      <c r="E1848" s="1"/>
      <c r="F1848" s="1">
        <f ca="1">IFERROR(__xludf.DUMMYFUNCTION("""COMPUTED_VALUE"""),2006)</f>
        <v>2006</v>
      </c>
      <c r="G1848" s="1">
        <f ca="1">IFERROR(__xludf.DUMMYFUNCTION("""COMPUTED_VALUE"""),3617)</f>
        <v>3617</v>
      </c>
      <c r="H1848" s="1" t="str">
        <f ca="1">IFERROR(__xludf.DUMMYFUNCTION("""COMPUTED_VALUE"""),"MTLSZ003617A20")</f>
        <v>MTLSZ003617A20</v>
      </c>
      <c r="I1848" s="2">
        <f ca="1">IFERROR(__xludf.DUMMYFUNCTION("""COMPUTED_VALUE"""),44151)</f>
        <v>44151</v>
      </c>
      <c r="J1848" s="2">
        <f ca="1">IFERROR(__xludf.DUMMYFUNCTION("""COMPUTED_VALUE"""),44515)</f>
        <v>44515</v>
      </c>
    </row>
    <row r="1849" spans="1:10" x14ac:dyDescent="0.25">
      <c r="A1849" s="1" t="str">
        <f ca="1">IFERROR(__xludf.DUMMYFUNCTION("""COMPUTED_VALUE"""),"Újpest TSE")</f>
        <v>Újpest TSE</v>
      </c>
      <c r="B1849" s="1" t="str">
        <f ca="1">IFERROR(__xludf.DUMMYFUNCTION("""COMPUTED_VALUE"""),"Forgács-Balajthy Marcell")</f>
        <v>Forgács-Balajthy Marcell</v>
      </c>
      <c r="C1849" s="1"/>
      <c r="D1849" s="1" t="str">
        <f ca="1">IFERROR(__xludf.DUMMYFUNCTION("""COMPUTED_VALUE"""),"Férfi")</f>
        <v>Férfi</v>
      </c>
      <c r="E1849" s="1"/>
      <c r="F1849" s="1">
        <f ca="1">IFERROR(__xludf.DUMMYFUNCTION("""COMPUTED_VALUE"""),2007)</f>
        <v>2007</v>
      </c>
      <c r="G1849" s="1">
        <f ca="1">IFERROR(__xludf.DUMMYFUNCTION("""COMPUTED_VALUE"""),3614)</f>
        <v>3614</v>
      </c>
      <c r="H1849" s="1" t="str">
        <f ca="1">IFERROR(__xludf.DUMMYFUNCTION("""COMPUTED_VALUE"""),"MTLSZ003614A20")</f>
        <v>MTLSZ003614A20</v>
      </c>
      <c r="I1849" s="2">
        <f ca="1">IFERROR(__xludf.DUMMYFUNCTION("""COMPUTED_VALUE"""),44151)</f>
        <v>44151</v>
      </c>
      <c r="J1849" s="2">
        <f ca="1">IFERROR(__xludf.DUMMYFUNCTION("""COMPUTED_VALUE"""),44515)</f>
        <v>44515</v>
      </c>
    </row>
    <row r="1850" spans="1:10" x14ac:dyDescent="0.25">
      <c r="A1850" s="1" t="str">
        <f ca="1">IFERROR(__xludf.DUMMYFUNCTION("""COMPUTED_VALUE"""),"Újpest TSE")</f>
        <v>Újpest TSE</v>
      </c>
      <c r="B1850" s="1" t="str">
        <f ca="1">IFERROR(__xludf.DUMMYFUNCTION("""COMPUTED_VALUE"""),"Kovács Tibor")</f>
        <v>Kovács Tibor</v>
      </c>
      <c r="C1850" s="1"/>
      <c r="D1850" s="1" t="str">
        <f ca="1">IFERROR(__xludf.DUMMYFUNCTION("""COMPUTED_VALUE"""),"Férfi")</f>
        <v>Férfi</v>
      </c>
      <c r="E1850" s="1"/>
      <c r="F1850" s="1">
        <f ca="1">IFERROR(__xludf.DUMMYFUNCTION("""COMPUTED_VALUE"""),1970)</f>
        <v>1970</v>
      </c>
      <c r="G1850" s="1">
        <f ca="1">IFERROR(__xludf.DUMMYFUNCTION("""COMPUTED_VALUE"""),3612)</f>
        <v>3612</v>
      </c>
      <c r="H1850" s="1" t="str">
        <f ca="1">IFERROR(__xludf.DUMMYFUNCTION("""COMPUTED_VALUE"""),"MTLSZ003612A20")</f>
        <v>MTLSZ003612A20</v>
      </c>
      <c r="I1850" s="2">
        <f ca="1">IFERROR(__xludf.DUMMYFUNCTION("""COMPUTED_VALUE"""),44151)</f>
        <v>44151</v>
      </c>
      <c r="J1850" s="2">
        <f ca="1">IFERROR(__xludf.DUMMYFUNCTION("""COMPUTED_VALUE"""),44515)</f>
        <v>44515</v>
      </c>
    </row>
    <row r="1851" spans="1:10" x14ac:dyDescent="0.25">
      <c r="A1851" s="1" t="str">
        <f ca="1">IFERROR(__xludf.DUMMYFUNCTION("""COMPUTED_VALUE"""),"Újpest TSE")</f>
        <v>Újpest TSE</v>
      </c>
      <c r="B1851" s="1" t="str">
        <f ca="1">IFERROR(__xludf.DUMMYFUNCTION("""COMPUTED_VALUE"""),"Nyerlucz Zita")</f>
        <v>Nyerlucz Zita</v>
      </c>
      <c r="C1851" s="1"/>
      <c r="D1851" s="1" t="str">
        <f ca="1">IFERROR(__xludf.DUMMYFUNCTION("""COMPUTED_VALUE"""),"Nő")</f>
        <v>Nő</v>
      </c>
      <c r="E1851" s="1"/>
      <c r="F1851" s="1">
        <f ca="1">IFERROR(__xludf.DUMMYFUNCTION("""COMPUTED_VALUE"""),2010)</f>
        <v>2010</v>
      </c>
      <c r="G1851" s="1">
        <f ca="1">IFERROR(__xludf.DUMMYFUNCTION("""COMPUTED_VALUE"""),3615)</f>
        <v>3615</v>
      </c>
      <c r="H1851" s="1" t="str">
        <f ca="1">IFERROR(__xludf.DUMMYFUNCTION("""COMPUTED_VALUE"""),"MTLSZ003615A20")</f>
        <v>MTLSZ003615A20</v>
      </c>
      <c r="I1851" s="2">
        <f ca="1">IFERROR(__xludf.DUMMYFUNCTION("""COMPUTED_VALUE"""),44151)</f>
        <v>44151</v>
      </c>
      <c r="J1851" s="2">
        <f ca="1">IFERROR(__xludf.DUMMYFUNCTION("""COMPUTED_VALUE"""),44515)</f>
        <v>44515</v>
      </c>
    </row>
    <row r="1852" spans="1:10" x14ac:dyDescent="0.25">
      <c r="A1852" s="1" t="str">
        <f ca="1">IFERROR(__xludf.DUMMYFUNCTION("""COMPUTED_VALUE"""),"Újpest TSE")</f>
        <v>Újpest TSE</v>
      </c>
      <c r="B1852" s="1" t="str">
        <f ca="1">IFERROR(__xludf.DUMMYFUNCTION("""COMPUTED_VALUE"""),"Schmidt Gábor")</f>
        <v>Schmidt Gábor</v>
      </c>
      <c r="C1852" s="1"/>
      <c r="D1852" s="1" t="str">
        <f ca="1">IFERROR(__xludf.DUMMYFUNCTION("""COMPUTED_VALUE"""),"Férfi")</f>
        <v>Férfi</v>
      </c>
      <c r="E1852" s="1"/>
      <c r="F1852" s="1">
        <f ca="1">IFERROR(__xludf.DUMMYFUNCTION("""COMPUTED_VALUE"""),1976)</f>
        <v>1976</v>
      </c>
      <c r="G1852" s="1">
        <f ca="1">IFERROR(__xludf.DUMMYFUNCTION("""COMPUTED_VALUE"""),3613)</f>
        <v>3613</v>
      </c>
      <c r="H1852" s="1" t="str">
        <f ca="1">IFERROR(__xludf.DUMMYFUNCTION("""COMPUTED_VALUE"""),"MTLSZ003613A20")</f>
        <v>MTLSZ003613A20</v>
      </c>
      <c r="I1852" s="2">
        <f ca="1">IFERROR(__xludf.DUMMYFUNCTION("""COMPUTED_VALUE"""),44151)</f>
        <v>44151</v>
      </c>
      <c r="J1852" s="2">
        <f ca="1">IFERROR(__xludf.DUMMYFUNCTION("""COMPUTED_VALUE"""),44515)</f>
        <v>44515</v>
      </c>
    </row>
    <row r="1853" spans="1:10" x14ac:dyDescent="0.25">
      <c r="A1853" s="1" t="str">
        <f ca="1">IFERROR(__xludf.DUMMYFUNCTION("""COMPUTED_VALUE"""),"Újpest TSE")</f>
        <v>Újpest TSE</v>
      </c>
      <c r="B1853" s="1" t="str">
        <f ca="1">IFERROR(__xludf.DUMMYFUNCTION("""COMPUTED_VALUE"""),"Szűcs Ágnes")</f>
        <v>Szűcs Ágnes</v>
      </c>
      <c r="C1853" s="1"/>
      <c r="D1853" s="1" t="str">
        <f ca="1">IFERROR(__xludf.DUMMYFUNCTION("""COMPUTED_VALUE"""),"Nő")</f>
        <v>Nő</v>
      </c>
      <c r="E1853" s="1"/>
      <c r="F1853" s="1">
        <f ca="1">IFERROR(__xludf.DUMMYFUNCTION("""COMPUTED_VALUE"""),1971)</f>
        <v>1971</v>
      </c>
      <c r="G1853" s="1">
        <f ca="1">IFERROR(__xludf.DUMMYFUNCTION("""COMPUTED_VALUE"""),3611)</f>
        <v>3611</v>
      </c>
      <c r="H1853" s="1" t="str">
        <f ca="1">IFERROR(__xludf.DUMMYFUNCTION("""COMPUTED_VALUE"""),"MTLSZ003611A20")</f>
        <v>MTLSZ003611A20</v>
      </c>
      <c r="I1853" s="2">
        <f ca="1">IFERROR(__xludf.DUMMYFUNCTION("""COMPUTED_VALUE"""),44151)</f>
        <v>44151</v>
      </c>
      <c r="J1853" s="2">
        <f ca="1">IFERROR(__xludf.DUMMYFUNCTION("""COMPUTED_VALUE"""),44515)</f>
        <v>44515</v>
      </c>
    </row>
    <row r="1854" spans="1:10" x14ac:dyDescent="0.25">
      <c r="A1854" s="1" t="str">
        <f ca="1">IFERROR(__xludf.DUMMYFUNCTION("""COMPUTED_VALUE"""),"Újpest TSE")</f>
        <v>Újpest TSE</v>
      </c>
      <c r="B1854" s="1" t="str">
        <f ca="1">IFERROR(__xludf.DUMMYFUNCTION("""COMPUTED_VALUE"""),"Czingler Zsolt")</f>
        <v>Czingler Zsolt</v>
      </c>
      <c r="C1854" s="1"/>
      <c r="D1854" s="1" t="str">
        <f ca="1">IFERROR(__xludf.DUMMYFUNCTION("""COMPUTED_VALUE"""),"Férfi")</f>
        <v>Férfi</v>
      </c>
      <c r="E1854" s="1"/>
      <c r="F1854" s="1">
        <f ca="1">IFERROR(__xludf.DUMMYFUNCTION("""COMPUTED_VALUE"""),1971)</f>
        <v>1971</v>
      </c>
      <c r="G1854" s="1">
        <f ca="1">IFERROR(__xludf.DUMMYFUNCTION("""COMPUTED_VALUE"""),3598)</f>
        <v>3598</v>
      </c>
      <c r="H1854" s="1" t="str">
        <f ca="1">IFERROR(__xludf.DUMMYFUNCTION("""COMPUTED_VALUE"""),"MTLSZ003598A20")</f>
        <v>MTLSZ003598A20</v>
      </c>
      <c r="I1854" s="2">
        <f ca="1">IFERROR(__xludf.DUMMYFUNCTION("""COMPUTED_VALUE"""),44150)</f>
        <v>44150</v>
      </c>
      <c r="J1854" s="2">
        <f ca="1">IFERROR(__xludf.DUMMYFUNCTION("""COMPUTED_VALUE"""),44514)</f>
        <v>44514</v>
      </c>
    </row>
    <row r="1855" spans="1:10" x14ac:dyDescent="0.25">
      <c r="A1855" s="1" t="str">
        <f ca="1">IFERROR(__xludf.DUMMYFUNCTION("""COMPUTED_VALUE"""),"Újpest TSE")</f>
        <v>Újpest TSE</v>
      </c>
      <c r="B1855" s="1" t="str">
        <f ca="1">IFERROR(__xludf.DUMMYFUNCTION("""COMPUTED_VALUE"""),"Erdős Tibor")</f>
        <v>Erdős Tibor</v>
      </c>
      <c r="C1855" s="1"/>
      <c r="D1855" s="1" t="str">
        <f ca="1">IFERROR(__xludf.DUMMYFUNCTION("""COMPUTED_VALUE"""),"Férfi")</f>
        <v>Férfi</v>
      </c>
      <c r="E1855" s="1"/>
      <c r="F1855" s="1">
        <f ca="1">IFERROR(__xludf.DUMMYFUNCTION("""COMPUTED_VALUE"""),1968)</f>
        <v>1968</v>
      </c>
      <c r="G1855" s="1">
        <f ca="1">IFERROR(__xludf.DUMMYFUNCTION("""COMPUTED_VALUE"""),2468)</f>
        <v>2468</v>
      </c>
      <c r="H1855" s="1" t="str">
        <f ca="1">IFERROR(__xludf.DUMMYFUNCTION("""COMPUTED_VALUE"""),"MTLSZ002468A20")</f>
        <v>MTLSZ002468A20</v>
      </c>
      <c r="I1855" s="2">
        <f ca="1">IFERROR(__xludf.DUMMYFUNCTION("""COMPUTED_VALUE"""),44150)</f>
        <v>44150</v>
      </c>
      <c r="J1855" s="2">
        <f ca="1">IFERROR(__xludf.DUMMYFUNCTION("""COMPUTED_VALUE"""),44514)</f>
        <v>44514</v>
      </c>
    </row>
    <row r="1856" spans="1:10" x14ac:dyDescent="0.25">
      <c r="A1856" s="1" t="str">
        <f ca="1">IFERROR(__xludf.DUMMYFUNCTION("""COMPUTED_VALUE"""),"Újpest TSE")</f>
        <v>Újpest TSE</v>
      </c>
      <c r="B1856" s="1" t="str">
        <f ca="1">IFERROR(__xludf.DUMMYFUNCTION("""COMPUTED_VALUE"""),"Farkas Vanda")</f>
        <v>Farkas Vanda</v>
      </c>
      <c r="C1856" s="1"/>
      <c r="D1856" s="1" t="str">
        <f ca="1">IFERROR(__xludf.DUMMYFUNCTION("""COMPUTED_VALUE"""),"Nő")</f>
        <v>Nő</v>
      </c>
      <c r="E1856" s="1"/>
      <c r="F1856" s="1">
        <f ca="1">IFERROR(__xludf.DUMMYFUNCTION("""COMPUTED_VALUE"""),2003)</f>
        <v>2003</v>
      </c>
      <c r="G1856" s="1">
        <f ca="1">IFERROR(__xludf.DUMMYFUNCTION("""COMPUTED_VALUE"""),3607)</f>
        <v>3607</v>
      </c>
      <c r="H1856" s="1" t="str">
        <f ca="1">IFERROR(__xludf.DUMMYFUNCTION("""COMPUTED_VALUE"""),"MTLSZ003607A20")</f>
        <v>MTLSZ003607A20</v>
      </c>
      <c r="I1856" s="2">
        <f ca="1">IFERROR(__xludf.DUMMYFUNCTION("""COMPUTED_VALUE"""),44150)</f>
        <v>44150</v>
      </c>
      <c r="J1856" s="2">
        <f ca="1">IFERROR(__xludf.DUMMYFUNCTION("""COMPUTED_VALUE"""),44514)</f>
        <v>44514</v>
      </c>
    </row>
    <row r="1857" spans="1:10" x14ac:dyDescent="0.25">
      <c r="A1857" s="1" t="str">
        <f ca="1">IFERROR(__xludf.DUMMYFUNCTION("""COMPUTED_VALUE"""),"Újpest TSE")</f>
        <v>Újpest TSE</v>
      </c>
      <c r="B1857" s="1" t="str">
        <f ca="1">IFERROR(__xludf.DUMMYFUNCTION("""COMPUTED_VALUE"""),"Fenyvessy Hanna")</f>
        <v>Fenyvessy Hanna</v>
      </c>
      <c r="C1857" s="1"/>
      <c r="D1857" s="1" t="str">
        <f ca="1">IFERROR(__xludf.DUMMYFUNCTION("""COMPUTED_VALUE"""),"Nő")</f>
        <v>Nő</v>
      </c>
      <c r="E1857" s="1"/>
      <c r="F1857" s="1">
        <f ca="1">IFERROR(__xludf.DUMMYFUNCTION("""COMPUTED_VALUE"""),2003)</f>
        <v>2003</v>
      </c>
      <c r="G1857" s="1">
        <f ca="1">IFERROR(__xludf.DUMMYFUNCTION("""COMPUTED_VALUE"""),3608)</f>
        <v>3608</v>
      </c>
      <c r="H1857" s="1" t="str">
        <f ca="1">IFERROR(__xludf.DUMMYFUNCTION("""COMPUTED_VALUE"""),"MTLSZ003608A20")</f>
        <v>MTLSZ003608A20</v>
      </c>
      <c r="I1857" s="2">
        <f ca="1">IFERROR(__xludf.DUMMYFUNCTION("""COMPUTED_VALUE"""),44150)</f>
        <v>44150</v>
      </c>
      <c r="J1857" s="2">
        <f ca="1">IFERROR(__xludf.DUMMYFUNCTION("""COMPUTED_VALUE"""),44514)</f>
        <v>44514</v>
      </c>
    </row>
    <row r="1858" spans="1:10" x14ac:dyDescent="0.25">
      <c r="A1858" s="1" t="str">
        <f ca="1">IFERROR(__xludf.DUMMYFUNCTION("""COMPUTED_VALUE"""),"Újpest TSE")</f>
        <v>Újpest TSE</v>
      </c>
      <c r="B1858" s="1" t="str">
        <f ca="1">IFERROR(__xludf.DUMMYFUNCTION("""COMPUTED_VALUE"""),"Gerencsér Balázs")</f>
        <v>Gerencsér Balázs</v>
      </c>
      <c r="C1858" s="1"/>
      <c r="D1858" s="1" t="str">
        <f ca="1">IFERROR(__xludf.DUMMYFUNCTION("""COMPUTED_VALUE"""),"Férfi")</f>
        <v>Férfi</v>
      </c>
      <c r="E1858" s="1"/>
      <c r="F1858" s="1">
        <f ca="1">IFERROR(__xludf.DUMMYFUNCTION("""COMPUTED_VALUE"""),1974)</f>
        <v>1974</v>
      </c>
      <c r="G1858" s="1">
        <f ca="1">IFERROR(__xludf.DUMMYFUNCTION("""COMPUTED_VALUE"""),3596)</f>
        <v>3596</v>
      </c>
      <c r="H1858" s="1" t="str">
        <f ca="1">IFERROR(__xludf.DUMMYFUNCTION("""COMPUTED_VALUE"""),"MTLSZ003596A20")</f>
        <v>MTLSZ003596A20</v>
      </c>
      <c r="I1858" s="2">
        <f ca="1">IFERROR(__xludf.DUMMYFUNCTION("""COMPUTED_VALUE"""),44150)</f>
        <v>44150</v>
      </c>
      <c r="J1858" s="2">
        <f ca="1">IFERROR(__xludf.DUMMYFUNCTION("""COMPUTED_VALUE"""),44514)</f>
        <v>44514</v>
      </c>
    </row>
    <row r="1859" spans="1:10" x14ac:dyDescent="0.25">
      <c r="A1859" s="1" t="str">
        <f ca="1">IFERROR(__xludf.DUMMYFUNCTION("""COMPUTED_VALUE"""),"Újpest TSE")</f>
        <v>Újpest TSE</v>
      </c>
      <c r="B1859" s="1" t="str">
        <f ca="1">IFERROR(__xludf.DUMMYFUNCTION("""COMPUTED_VALUE"""),"Háber Andrea")</f>
        <v>Háber Andrea</v>
      </c>
      <c r="C1859" s="1"/>
      <c r="D1859" s="1" t="str">
        <f ca="1">IFERROR(__xludf.DUMMYFUNCTION("""COMPUTED_VALUE"""),"Nő")</f>
        <v>Nő</v>
      </c>
      <c r="E1859" s="1"/>
      <c r="F1859" s="1">
        <f ca="1">IFERROR(__xludf.DUMMYFUNCTION("""COMPUTED_VALUE"""),1970)</f>
        <v>1970</v>
      </c>
      <c r="G1859" s="1">
        <f ca="1">IFERROR(__xludf.DUMMYFUNCTION("""COMPUTED_VALUE"""),3593)</f>
        <v>3593</v>
      </c>
      <c r="H1859" s="1" t="str">
        <f ca="1">IFERROR(__xludf.DUMMYFUNCTION("""COMPUTED_VALUE"""),"MTLSZ003593A20")</f>
        <v>MTLSZ003593A20</v>
      </c>
      <c r="I1859" s="2">
        <f ca="1">IFERROR(__xludf.DUMMYFUNCTION("""COMPUTED_VALUE"""),44150)</f>
        <v>44150</v>
      </c>
      <c r="J1859" s="2">
        <f ca="1">IFERROR(__xludf.DUMMYFUNCTION("""COMPUTED_VALUE"""),44514)</f>
        <v>44514</v>
      </c>
    </row>
    <row r="1860" spans="1:10" x14ac:dyDescent="0.25">
      <c r="A1860" s="1" t="str">
        <f ca="1">IFERROR(__xludf.DUMMYFUNCTION("""COMPUTED_VALUE"""),"Újpest TSE")</f>
        <v>Újpest TSE</v>
      </c>
      <c r="B1860" s="1" t="str">
        <f ca="1">IFERROR(__xludf.DUMMYFUNCTION("""COMPUTED_VALUE"""),"Hellner Zoltán")</f>
        <v>Hellner Zoltán</v>
      </c>
      <c r="C1860" s="1"/>
      <c r="D1860" s="1" t="str">
        <f ca="1">IFERROR(__xludf.DUMMYFUNCTION("""COMPUTED_VALUE"""),"Férfi")</f>
        <v>Férfi</v>
      </c>
      <c r="E1860" s="1"/>
      <c r="F1860" s="1">
        <f ca="1">IFERROR(__xludf.DUMMYFUNCTION("""COMPUTED_VALUE"""),1964)</f>
        <v>1964</v>
      </c>
      <c r="G1860" s="1">
        <f ca="1">IFERROR(__xludf.DUMMYFUNCTION("""COMPUTED_VALUE"""),3591)</f>
        <v>3591</v>
      </c>
      <c r="H1860" s="1" t="str">
        <f ca="1">IFERROR(__xludf.DUMMYFUNCTION("""COMPUTED_VALUE"""),"MTLSZ003591A20")</f>
        <v>MTLSZ003591A20</v>
      </c>
      <c r="I1860" s="2">
        <f ca="1">IFERROR(__xludf.DUMMYFUNCTION("""COMPUTED_VALUE"""),44150)</f>
        <v>44150</v>
      </c>
      <c r="J1860" s="2">
        <f ca="1">IFERROR(__xludf.DUMMYFUNCTION("""COMPUTED_VALUE"""),44514)</f>
        <v>44514</v>
      </c>
    </row>
    <row r="1861" spans="1:10" x14ac:dyDescent="0.25">
      <c r="A1861" s="1" t="str">
        <f ca="1">IFERROR(__xludf.DUMMYFUNCTION("""COMPUTED_VALUE"""),"Újpest TSE")</f>
        <v>Újpest TSE</v>
      </c>
      <c r="B1861" s="1" t="str">
        <f ca="1">IFERROR(__xludf.DUMMYFUNCTION("""COMPUTED_VALUE"""),"Juni Roland")</f>
        <v>Juni Roland</v>
      </c>
      <c r="C1861" s="1"/>
      <c r="D1861" s="1" t="str">
        <f ca="1">IFERROR(__xludf.DUMMYFUNCTION("""COMPUTED_VALUE"""),"Férfi")</f>
        <v>Férfi</v>
      </c>
      <c r="E1861" s="1"/>
      <c r="F1861" s="1">
        <f ca="1">IFERROR(__xludf.DUMMYFUNCTION("""COMPUTED_VALUE"""),1980)</f>
        <v>1980</v>
      </c>
      <c r="G1861" s="1">
        <f ca="1">IFERROR(__xludf.DUMMYFUNCTION("""COMPUTED_VALUE"""),3606)</f>
        <v>3606</v>
      </c>
      <c r="H1861" s="1" t="str">
        <f ca="1">IFERROR(__xludf.DUMMYFUNCTION("""COMPUTED_VALUE"""),"MTLSZ003606A20")</f>
        <v>MTLSZ003606A20</v>
      </c>
      <c r="I1861" s="2">
        <f ca="1">IFERROR(__xludf.DUMMYFUNCTION("""COMPUTED_VALUE"""),44150)</f>
        <v>44150</v>
      </c>
      <c r="J1861" s="2">
        <f ca="1">IFERROR(__xludf.DUMMYFUNCTION("""COMPUTED_VALUE"""),44514)</f>
        <v>44514</v>
      </c>
    </row>
    <row r="1862" spans="1:10" x14ac:dyDescent="0.25">
      <c r="A1862" s="1" t="str">
        <f ca="1">IFERROR(__xludf.DUMMYFUNCTION("""COMPUTED_VALUE"""),"Újpest TSE")</f>
        <v>Újpest TSE</v>
      </c>
      <c r="B1862" s="1" t="str">
        <f ca="1">IFERROR(__xludf.DUMMYFUNCTION("""COMPUTED_VALUE"""),"Káló Éva")</f>
        <v>Káló Éva</v>
      </c>
      <c r="C1862" s="1"/>
      <c r="D1862" s="1" t="str">
        <f ca="1">IFERROR(__xludf.DUMMYFUNCTION("""COMPUTED_VALUE"""),"Nő")</f>
        <v>Nő</v>
      </c>
      <c r="E1862" s="1"/>
      <c r="F1862" s="1">
        <f ca="1">IFERROR(__xludf.DUMMYFUNCTION("""COMPUTED_VALUE"""),1972)</f>
        <v>1972</v>
      </c>
      <c r="G1862" s="1">
        <f ca="1">IFERROR(__xludf.DUMMYFUNCTION("""COMPUTED_VALUE"""),3602)</f>
        <v>3602</v>
      </c>
      <c r="H1862" s="1" t="str">
        <f ca="1">IFERROR(__xludf.DUMMYFUNCTION("""COMPUTED_VALUE"""),"MTLSZ003602A20")</f>
        <v>MTLSZ003602A20</v>
      </c>
      <c r="I1862" s="2">
        <f ca="1">IFERROR(__xludf.DUMMYFUNCTION("""COMPUTED_VALUE"""),44150)</f>
        <v>44150</v>
      </c>
      <c r="J1862" s="2">
        <f ca="1">IFERROR(__xludf.DUMMYFUNCTION("""COMPUTED_VALUE"""),44514)</f>
        <v>44514</v>
      </c>
    </row>
    <row r="1863" spans="1:10" x14ac:dyDescent="0.25">
      <c r="A1863" s="1" t="str">
        <f ca="1">IFERROR(__xludf.DUMMYFUNCTION("""COMPUTED_VALUE"""),"Újpest TSE")</f>
        <v>Újpest TSE</v>
      </c>
      <c r="B1863" s="1" t="str">
        <f ca="1">IFERROR(__xludf.DUMMYFUNCTION("""COMPUTED_VALUE"""),"Kőszegi István")</f>
        <v>Kőszegi István</v>
      </c>
      <c r="C1863" s="1"/>
      <c r="D1863" s="1" t="str">
        <f ca="1">IFERROR(__xludf.DUMMYFUNCTION("""COMPUTED_VALUE"""),"Férfi")</f>
        <v>Férfi</v>
      </c>
      <c r="E1863" s="1"/>
      <c r="F1863" s="1">
        <f ca="1">IFERROR(__xludf.DUMMYFUNCTION("""COMPUTED_VALUE"""),1958)</f>
        <v>1958</v>
      </c>
      <c r="G1863" s="1">
        <f ca="1">IFERROR(__xludf.DUMMYFUNCTION("""COMPUTED_VALUE"""),3595)</f>
        <v>3595</v>
      </c>
      <c r="H1863" s="1" t="str">
        <f ca="1">IFERROR(__xludf.DUMMYFUNCTION("""COMPUTED_VALUE"""),"MTLSZ003595A20")</f>
        <v>MTLSZ003595A20</v>
      </c>
      <c r="I1863" s="2">
        <f ca="1">IFERROR(__xludf.DUMMYFUNCTION("""COMPUTED_VALUE"""),44150)</f>
        <v>44150</v>
      </c>
      <c r="J1863" s="2">
        <f ca="1">IFERROR(__xludf.DUMMYFUNCTION("""COMPUTED_VALUE"""),44514)</f>
        <v>44514</v>
      </c>
    </row>
    <row r="1864" spans="1:10" x14ac:dyDescent="0.25">
      <c r="A1864" s="1" t="str">
        <f ca="1">IFERROR(__xludf.DUMMYFUNCTION("""COMPUTED_VALUE"""),"Újpest TSE")</f>
        <v>Újpest TSE</v>
      </c>
      <c r="B1864" s="1" t="str">
        <f ca="1">IFERROR(__xludf.DUMMYFUNCTION("""COMPUTED_VALUE"""),"László Péter")</f>
        <v>László Péter</v>
      </c>
      <c r="C1864" s="1"/>
      <c r="D1864" s="1" t="str">
        <f ca="1">IFERROR(__xludf.DUMMYFUNCTION("""COMPUTED_VALUE"""),"Férfi")</f>
        <v>Férfi</v>
      </c>
      <c r="E1864" s="1"/>
      <c r="F1864" s="1">
        <f ca="1">IFERROR(__xludf.DUMMYFUNCTION("""COMPUTED_VALUE"""),1976)</f>
        <v>1976</v>
      </c>
      <c r="G1864" s="1">
        <f ca="1">IFERROR(__xludf.DUMMYFUNCTION("""COMPUTED_VALUE"""),3603)</f>
        <v>3603</v>
      </c>
      <c r="H1864" s="1" t="str">
        <f ca="1">IFERROR(__xludf.DUMMYFUNCTION("""COMPUTED_VALUE"""),"MTLSZ003603A20")</f>
        <v>MTLSZ003603A20</v>
      </c>
      <c r="I1864" s="2">
        <f ca="1">IFERROR(__xludf.DUMMYFUNCTION("""COMPUTED_VALUE"""),44150)</f>
        <v>44150</v>
      </c>
      <c r="J1864" s="2">
        <f ca="1">IFERROR(__xludf.DUMMYFUNCTION("""COMPUTED_VALUE"""),44514)</f>
        <v>44514</v>
      </c>
    </row>
    <row r="1865" spans="1:10" x14ac:dyDescent="0.25">
      <c r="A1865" s="1" t="str">
        <f ca="1">IFERROR(__xludf.DUMMYFUNCTION("""COMPUTED_VALUE"""),"Újpest TSE")</f>
        <v>Újpest TSE</v>
      </c>
      <c r="B1865" s="1" t="str">
        <f ca="1">IFERROR(__xludf.DUMMYFUNCTION("""COMPUTED_VALUE"""),"Lőcsei Ferenc")</f>
        <v>Lőcsei Ferenc</v>
      </c>
      <c r="C1865" s="1"/>
      <c r="D1865" s="1" t="str">
        <f ca="1">IFERROR(__xludf.DUMMYFUNCTION("""COMPUTED_VALUE"""),"Férfi")</f>
        <v>Férfi</v>
      </c>
      <c r="E1865" s="1"/>
      <c r="F1865" s="1">
        <f ca="1">IFERROR(__xludf.DUMMYFUNCTION("""COMPUTED_VALUE"""),1969)</f>
        <v>1969</v>
      </c>
      <c r="G1865" s="1">
        <f ca="1">IFERROR(__xludf.DUMMYFUNCTION("""COMPUTED_VALUE"""),3600)</f>
        <v>3600</v>
      </c>
      <c r="H1865" s="1" t="str">
        <f ca="1">IFERROR(__xludf.DUMMYFUNCTION("""COMPUTED_VALUE"""),"MTLSZ003600A20")</f>
        <v>MTLSZ003600A20</v>
      </c>
      <c r="I1865" s="2">
        <f ca="1">IFERROR(__xludf.DUMMYFUNCTION("""COMPUTED_VALUE"""),44150)</f>
        <v>44150</v>
      </c>
      <c r="J1865" s="2">
        <f ca="1">IFERROR(__xludf.DUMMYFUNCTION("""COMPUTED_VALUE"""),44514)</f>
        <v>44514</v>
      </c>
    </row>
    <row r="1866" spans="1:10" x14ac:dyDescent="0.25">
      <c r="A1866" s="1" t="str">
        <f ca="1">IFERROR(__xludf.DUMMYFUNCTION("""COMPUTED_VALUE"""),"Újpest TSE")</f>
        <v>Újpest TSE</v>
      </c>
      <c r="B1866" s="1" t="str">
        <f ca="1">IFERROR(__xludf.DUMMYFUNCTION("""COMPUTED_VALUE"""),"Mátyás Miklós Dániel")</f>
        <v>Mátyás Miklós Dániel</v>
      </c>
      <c r="C1866" s="1"/>
      <c r="D1866" s="1" t="str">
        <f ca="1">IFERROR(__xludf.DUMMYFUNCTION("""COMPUTED_VALUE"""),"Férfi")</f>
        <v>Férfi</v>
      </c>
      <c r="E1866" s="1"/>
      <c r="F1866" s="1">
        <f ca="1">IFERROR(__xludf.DUMMYFUNCTION("""COMPUTED_VALUE"""),1985)</f>
        <v>1985</v>
      </c>
      <c r="G1866" s="1">
        <f ca="1">IFERROR(__xludf.DUMMYFUNCTION("""COMPUTED_VALUE"""),3599)</f>
        <v>3599</v>
      </c>
      <c r="H1866" s="1" t="str">
        <f ca="1">IFERROR(__xludf.DUMMYFUNCTION("""COMPUTED_VALUE"""),"MTLSZ003599A20")</f>
        <v>MTLSZ003599A20</v>
      </c>
      <c r="I1866" s="2">
        <f ca="1">IFERROR(__xludf.DUMMYFUNCTION("""COMPUTED_VALUE"""),44150)</f>
        <v>44150</v>
      </c>
      <c r="J1866" s="2">
        <f ca="1">IFERROR(__xludf.DUMMYFUNCTION("""COMPUTED_VALUE"""),44514)</f>
        <v>44514</v>
      </c>
    </row>
    <row r="1867" spans="1:10" x14ac:dyDescent="0.25">
      <c r="A1867" s="1" t="str">
        <f ca="1">IFERROR(__xludf.DUMMYFUNCTION("""COMPUTED_VALUE"""),"Újpest TSE")</f>
        <v>Újpest TSE</v>
      </c>
      <c r="B1867" s="1" t="str">
        <f ca="1">IFERROR(__xludf.DUMMYFUNCTION("""COMPUTED_VALUE"""),"Micheller Myrtill")</f>
        <v>Micheller Myrtill</v>
      </c>
      <c r="C1867" s="1"/>
      <c r="D1867" s="1" t="str">
        <f ca="1">IFERROR(__xludf.DUMMYFUNCTION("""COMPUTED_VALUE"""),"Nő")</f>
        <v>Nő</v>
      </c>
      <c r="E1867" s="1"/>
      <c r="F1867" s="1">
        <f ca="1">IFERROR(__xludf.DUMMYFUNCTION("""COMPUTED_VALUE"""),1972)</f>
        <v>1972</v>
      </c>
      <c r="G1867" s="1">
        <f ca="1">IFERROR(__xludf.DUMMYFUNCTION("""COMPUTED_VALUE"""),3592)</f>
        <v>3592</v>
      </c>
      <c r="H1867" s="1" t="str">
        <f ca="1">IFERROR(__xludf.DUMMYFUNCTION("""COMPUTED_VALUE"""),"MTLSZ003592A20")</f>
        <v>MTLSZ003592A20</v>
      </c>
      <c r="I1867" s="2">
        <f ca="1">IFERROR(__xludf.DUMMYFUNCTION("""COMPUTED_VALUE"""),44150)</f>
        <v>44150</v>
      </c>
      <c r="J1867" s="2">
        <f ca="1">IFERROR(__xludf.DUMMYFUNCTION("""COMPUTED_VALUE"""),44514)</f>
        <v>44514</v>
      </c>
    </row>
    <row r="1868" spans="1:10" x14ac:dyDescent="0.25">
      <c r="A1868" s="1" t="str">
        <f ca="1">IFERROR(__xludf.DUMMYFUNCTION("""COMPUTED_VALUE"""),"Újpest TSE")</f>
        <v>Újpest TSE</v>
      </c>
      <c r="B1868" s="1" t="str">
        <f ca="1">IFERROR(__xludf.DUMMYFUNCTION("""COMPUTED_VALUE"""),"Német Toni")</f>
        <v>Német Toni</v>
      </c>
      <c r="C1868" s="1"/>
      <c r="D1868" s="1" t="str">
        <f ca="1">IFERROR(__xludf.DUMMYFUNCTION("""COMPUTED_VALUE"""),"Férfi")</f>
        <v>Férfi</v>
      </c>
      <c r="E1868" s="1"/>
      <c r="F1868" s="1">
        <f ca="1">IFERROR(__xludf.DUMMYFUNCTION("""COMPUTED_VALUE"""),1971)</f>
        <v>1971</v>
      </c>
      <c r="G1868" s="1">
        <f ca="1">IFERROR(__xludf.DUMMYFUNCTION("""COMPUTED_VALUE"""),3601)</f>
        <v>3601</v>
      </c>
      <c r="H1868" s="1" t="str">
        <f ca="1">IFERROR(__xludf.DUMMYFUNCTION("""COMPUTED_VALUE"""),"MTLSZ003601A20")</f>
        <v>MTLSZ003601A20</v>
      </c>
      <c r="I1868" s="2">
        <f ca="1">IFERROR(__xludf.DUMMYFUNCTION("""COMPUTED_VALUE"""),44150)</f>
        <v>44150</v>
      </c>
      <c r="J1868" s="2">
        <f ca="1">IFERROR(__xludf.DUMMYFUNCTION("""COMPUTED_VALUE"""),44514)</f>
        <v>44514</v>
      </c>
    </row>
    <row r="1869" spans="1:10" x14ac:dyDescent="0.25">
      <c r="A1869" s="1" t="str">
        <f ca="1">IFERROR(__xludf.DUMMYFUNCTION("""COMPUTED_VALUE"""),"Újpest TSE")</f>
        <v>Újpest TSE</v>
      </c>
      <c r="B1869" s="1" t="str">
        <f ca="1">IFERROR(__xludf.DUMMYFUNCTION("""COMPUTED_VALUE"""),"Schautz Balázs Dr.")</f>
        <v>Schautz Balázs Dr.</v>
      </c>
      <c r="C1869" s="1"/>
      <c r="D1869" s="1" t="str">
        <f ca="1">IFERROR(__xludf.DUMMYFUNCTION("""COMPUTED_VALUE"""),"Férfi")</f>
        <v>Férfi</v>
      </c>
      <c r="E1869" s="1"/>
      <c r="F1869" s="1">
        <f ca="1">IFERROR(__xludf.DUMMYFUNCTION("""COMPUTED_VALUE"""),1971)</f>
        <v>1971</v>
      </c>
      <c r="G1869" s="1">
        <f ca="1">IFERROR(__xludf.DUMMYFUNCTION("""COMPUTED_VALUE"""),3605)</f>
        <v>3605</v>
      </c>
      <c r="H1869" s="1" t="str">
        <f ca="1">IFERROR(__xludf.DUMMYFUNCTION("""COMPUTED_VALUE"""),"MTLSZ003605A20")</f>
        <v>MTLSZ003605A20</v>
      </c>
      <c r="I1869" s="2">
        <f ca="1">IFERROR(__xludf.DUMMYFUNCTION("""COMPUTED_VALUE"""),44150)</f>
        <v>44150</v>
      </c>
      <c r="J1869" s="2">
        <f ca="1">IFERROR(__xludf.DUMMYFUNCTION("""COMPUTED_VALUE"""),44514)</f>
        <v>44514</v>
      </c>
    </row>
    <row r="1870" spans="1:10" x14ac:dyDescent="0.25">
      <c r="A1870" s="1" t="str">
        <f ca="1">IFERROR(__xludf.DUMMYFUNCTION("""COMPUTED_VALUE"""),"Újpest TSE")</f>
        <v>Újpest TSE</v>
      </c>
      <c r="B1870" s="1" t="str">
        <f ca="1">IFERROR(__xludf.DUMMYFUNCTION("""COMPUTED_VALUE"""),"Schmidt Edina")</f>
        <v>Schmidt Edina</v>
      </c>
      <c r="C1870" s="1"/>
      <c r="D1870" s="1" t="str">
        <f ca="1">IFERROR(__xludf.DUMMYFUNCTION("""COMPUTED_VALUE"""),"Nő")</f>
        <v>Nő</v>
      </c>
      <c r="E1870" s="1"/>
      <c r="F1870" s="1">
        <f ca="1">IFERROR(__xludf.DUMMYFUNCTION("""COMPUTED_VALUE"""),1983)</f>
        <v>1983</v>
      </c>
      <c r="G1870" s="1">
        <f ca="1">IFERROR(__xludf.DUMMYFUNCTION("""COMPUTED_VALUE"""),3590)</f>
        <v>3590</v>
      </c>
      <c r="H1870" s="1" t="str">
        <f ca="1">IFERROR(__xludf.DUMMYFUNCTION("""COMPUTED_VALUE"""),"MTLSZ003590A20")</f>
        <v>MTLSZ003590A20</v>
      </c>
      <c r="I1870" s="2">
        <f ca="1">IFERROR(__xludf.DUMMYFUNCTION("""COMPUTED_VALUE"""),44150)</f>
        <v>44150</v>
      </c>
      <c r="J1870" s="2">
        <f ca="1">IFERROR(__xludf.DUMMYFUNCTION("""COMPUTED_VALUE"""),44514)</f>
        <v>44514</v>
      </c>
    </row>
    <row r="1871" spans="1:10" x14ac:dyDescent="0.25">
      <c r="A1871" s="1" t="str">
        <f ca="1">IFERROR(__xludf.DUMMYFUNCTION("""COMPUTED_VALUE"""),"Újpest TSE")</f>
        <v>Újpest TSE</v>
      </c>
      <c r="B1871" s="1" t="str">
        <f ca="1">IFERROR(__xludf.DUMMYFUNCTION("""COMPUTED_VALUE"""),"Sós Judit")</f>
        <v>Sós Judit</v>
      </c>
      <c r="C1871" s="1"/>
      <c r="D1871" s="1" t="str">
        <f ca="1">IFERROR(__xludf.DUMMYFUNCTION("""COMPUTED_VALUE"""),"Nő")</f>
        <v>Nő</v>
      </c>
      <c r="E1871" s="1"/>
      <c r="F1871" s="1">
        <f ca="1">IFERROR(__xludf.DUMMYFUNCTION("""COMPUTED_VALUE"""),1978)</f>
        <v>1978</v>
      </c>
      <c r="G1871" s="1">
        <f ca="1">IFERROR(__xludf.DUMMYFUNCTION("""COMPUTED_VALUE"""),3597)</f>
        <v>3597</v>
      </c>
      <c r="H1871" s="1" t="str">
        <f ca="1">IFERROR(__xludf.DUMMYFUNCTION("""COMPUTED_VALUE"""),"MTLSZ003597A20")</f>
        <v>MTLSZ003597A20</v>
      </c>
      <c r="I1871" s="2">
        <f ca="1">IFERROR(__xludf.DUMMYFUNCTION("""COMPUTED_VALUE"""),44150)</f>
        <v>44150</v>
      </c>
      <c r="J1871" s="2">
        <f ca="1">IFERROR(__xludf.DUMMYFUNCTION("""COMPUTED_VALUE"""),44514)</f>
        <v>44514</v>
      </c>
    </row>
    <row r="1872" spans="1:10" x14ac:dyDescent="0.25">
      <c r="A1872" s="1" t="str">
        <f ca="1">IFERROR(__xludf.DUMMYFUNCTION("""COMPUTED_VALUE"""),"Újpest TSE")</f>
        <v>Újpest TSE</v>
      </c>
      <c r="B1872" s="1" t="str">
        <f ca="1">IFERROR(__xludf.DUMMYFUNCTION("""COMPUTED_VALUE"""),"Zólyomi Zoltán")</f>
        <v>Zólyomi Zoltán</v>
      </c>
      <c r="C1872" s="1"/>
      <c r="D1872" s="1" t="str">
        <f ca="1">IFERROR(__xludf.DUMMYFUNCTION("""COMPUTED_VALUE"""),"Férfi")</f>
        <v>Férfi</v>
      </c>
      <c r="E1872" s="1"/>
      <c r="F1872" s="1">
        <f ca="1">IFERROR(__xludf.DUMMYFUNCTION("""COMPUTED_VALUE"""),1975)</f>
        <v>1975</v>
      </c>
      <c r="G1872" s="1">
        <f ca="1">IFERROR(__xludf.DUMMYFUNCTION("""COMPUTED_VALUE"""),3604)</f>
        <v>3604</v>
      </c>
      <c r="H1872" s="1" t="str">
        <f ca="1">IFERROR(__xludf.DUMMYFUNCTION("""COMPUTED_VALUE"""),"MTLSZ003604A20")</f>
        <v>MTLSZ003604A20</v>
      </c>
      <c r="I1872" s="2">
        <f ca="1">IFERROR(__xludf.DUMMYFUNCTION("""COMPUTED_VALUE"""),44150)</f>
        <v>44150</v>
      </c>
      <c r="J1872" s="2">
        <f ca="1">IFERROR(__xludf.DUMMYFUNCTION("""COMPUTED_VALUE"""),44514)</f>
        <v>44514</v>
      </c>
    </row>
    <row r="1873" spans="1:10" x14ac:dyDescent="0.25">
      <c r="A1873" s="1" t="str">
        <f ca="1">IFERROR(__xludf.DUMMYFUNCTION("""COMPUTED_VALUE"""),"Újpest TSE")</f>
        <v>Újpest TSE</v>
      </c>
      <c r="B1873" s="1"/>
      <c r="C1873" s="1"/>
      <c r="D1873" s="1"/>
      <c r="E1873" s="1"/>
      <c r="F1873" s="1">
        <f ca="1">IFERROR(__xludf.DUMMYFUNCTION("""COMPUTED_VALUE"""),1899)</f>
        <v>1899</v>
      </c>
      <c r="G1873" s="1">
        <f ca="1">IFERROR(__xludf.DUMMYFUNCTION("""COMPUTED_VALUE"""),3594)</f>
        <v>3594</v>
      </c>
      <c r="H1873" s="1"/>
      <c r="I1873" s="2">
        <f ca="1">IFERROR(__xludf.DUMMYFUNCTION("""COMPUTED_VALUE"""),44150)</f>
        <v>44150</v>
      </c>
      <c r="J1873" s="2">
        <f ca="1">IFERROR(__xludf.DUMMYFUNCTION("""COMPUTED_VALUE"""),44514)</f>
        <v>44514</v>
      </c>
    </row>
    <row r="1874" spans="1:10" x14ac:dyDescent="0.25">
      <c r="A1874" s="1" t="str">
        <f ca="1">IFERROR(__xludf.DUMMYFUNCTION("""COMPUTED_VALUE"""),"BTBK")</f>
        <v>BTBK</v>
      </c>
      <c r="B1874" s="1" t="str">
        <f ca="1">IFERROR(__xludf.DUMMYFUNCTION("""COMPUTED_VALUE"""),"Botos Zoltán")</f>
        <v>Botos Zoltán</v>
      </c>
      <c r="C1874" s="1"/>
      <c r="D1874" s="1" t="str">
        <f ca="1">IFERROR(__xludf.DUMMYFUNCTION("""COMPUTED_VALUE"""),"Férfi")</f>
        <v>Férfi</v>
      </c>
      <c r="E1874" s="1"/>
      <c r="F1874" s="1">
        <f ca="1">IFERROR(__xludf.DUMMYFUNCTION("""COMPUTED_VALUE"""),1968)</f>
        <v>1968</v>
      </c>
      <c r="G1874" s="1">
        <f ca="1">IFERROR(__xludf.DUMMYFUNCTION("""COMPUTED_VALUE"""),113)</f>
        <v>113</v>
      </c>
      <c r="H1874" s="1" t="str">
        <f ca="1">IFERROR(__xludf.DUMMYFUNCTION("""COMPUTED_VALUE"""),"MTLSZ000113A20")</f>
        <v>MTLSZ000113A20</v>
      </c>
      <c r="I1874" s="2">
        <f ca="1">IFERROR(__xludf.DUMMYFUNCTION("""COMPUTED_VALUE"""),44148)</f>
        <v>44148</v>
      </c>
      <c r="J1874" s="2">
        <f ca="1">IFERROR(__xludf.DUMMYFUNCTION("""COMPUTED_VALUE"""),44512)</f>
        <v>44512</v>
      </c>
    </row>
    <row r="1875" spans="1:10" x14ac:dyDescent="0.25">
      <c r="A1875" s="1" t="str">
        <f ca="1">IFERROR(__xludf.DUMMYFUNCTION("""COMPUTED_VALUE"""),"BTBK")</f>
        <v>BTBK</v>
      </c>
      <c r="B1875" s="1" t="str">
        <f ca="1">IFERROR(__xludf.DUMMYFUNCTION("""COMPUTED_VALUE"""),"Révész Gábor")</f>
        <v>Révész Gábor</v>
      </c>
      <c r="C1875" s="1"/>
      <c r="D1875" s="1" t="str">
        <f ca="1">IFERROR(__xludf.DUMMYFUNCTION("""COMPUTED_VALUE"""),"Férfi")</f>
        <v>Férfi</v>
      </c>
      <c r="E1875" s="1"/>
      <c r="F1875" s="1">
        <f ca="1">IFERROR(__xludf.DUMMYFUNCTION("""COMPUTED_VALUE"""),1968)</f>
        <v>1968</v>
      </c>
      <c r="G1875" s="1">
        <f ca="1">IFERROR(__xludf.DUMMYFUNCTION("""COMPUTED_VALUE"""),1842)</f>
        <v>1842</v>
      </c>
      <c r="H1875" s="1" t="str">
        <f ca="1">IFERROR(__xludf.DUMMYFUNCTION("""COMPUTED_VALUE"""),"MTLSZ001842A20")</f>
        <v>MTLSZ001842A20</v>
      </c>
      <c r="I1875" s="2">
        <f ca="1">IFERROR(__xludf.DUMMYFUNCTION("""COMPUTED_VALUE"""),44148)</f>
        <v>44148</v>
      </c>
      <c r="J1875" s="2">
        <f ca="1">IFERROR(__xludf.DUMMYFUNCTION("""COMPUTED_VALUE"""),44512)</f>
        <v>44512</v>
      </c>
    </row>
    <row r="1876" spans="1:10" x14ac:dyDescent="0.25">
      <c r="A1876" s="1" t="str">
        <f ca="1">IFERROR(__xludf.DUMMYFUNCTION("""COMPUTED_VALUE"""),"BTBK")</f>
        <v>BTBK</v>
      </c>
      <c r="B1876" s="1" t="str">
        <f ca="1">IFERROR(__xludf.DUMMYFUNCTION("""COMPUTED_VALUE"""),"Varga Gyula")</f>
        <v>Varga Gyula</v>
      </c>
      <c r="C1876" s="1"/>
      <c r="D1876" s="1" t="str">
        <f ca="1">IFERROR(__xludf.DUMMYFUNCTION("""COMPUTED_VALUE"""),"Férfi")</f>
        <v>Férfi</v>
      </c>
      <c r="E1876" s="1"/>
      <c r="F1876" s="1">
        <f ca="1">IFERROR(__xludf.DUMMYFUNCTION("""COMPUTED_VALUE"""),1969)</f>
        <v>1969</v>
      </c>
      <c r="G1876" s="1">
        <f ca="1">IFERROR(__xludf.DUMMYFUNCTION("""COMPUTED_VALUE"""),2418)</f>
        <v>2418</v>
      </c>
      <c r="H1876" s="1" t="str">
        <f ca="1">IFERROR(__xludf.DUMMYFUNCTION("""COMPUTED_VALUE"""),"MTLSZ002418A20")</f>
        <v>MTLSZ002418A20</v>
      </c>
      <c r="I1876" s="2">
        <f ca="1">IFERROR(__xludf.DUMMYFUNCTION("""COMPUTED_VALUE"""),44148)</f>
        <v>44148</v>
      </c>
      <c r="J1876" s="2">
        <f ca="1">IFERROR(__xludf.DUMMYFUNCTION("""COMPUTED_VALUE"""),44512)</f>
        <v>44512</v>
      </c>
    </row>
    <row r="1877" spans="1:10" x14ac:dyDescent="0.25">
      <c r="A1877" s="1" t="str">
        <f ca="1">IFERROR(__xludf.DUMMYFUNCTION("""COMPUTED_VALUE"""),"Tapolcai TFSE")</f>
        <v>Tapolcai TFSE</v>
      </c>
      <c r="B1877" s="1" t="str">
        <f ca="1">IFERROR(__xludf.DUMMYFUNCTION("""COMPUTED_VALUE"""),"Boros István László")</f>
        <v>Boros István László</v>
      </c>
      <c r="C1877" s="1"/>
      <c r="D1877" s="1" t="str">
        <f ca="1">IFERROR(__xludf.DUMMYFUNCTION("""COMPUTED_VALUE"""),"Férfi")</f>
        <v>Férfi</v>
      </c>
      <c r="E1877" s="1"/>
      <c r="F1877" s="1">
        <f ca="1">IFERROR(__xludf.DUMMYFUNCTION("""COMPUTED_VALUE"""),1965)</f>
        <v>1965</v>
      </c>
      <c r="G1877" s="1">
        <f ca="1">IFERROR(__xludf.DUMMYFUNCTION("""COMPUTED_VALUE"""),3589)</f>
        <v>3589</v>
      </c>
      <c r="H1877" s="1" t="str">
        <f ca="1">IFERROR(__xludf.DUMMYFUNCTION("""COMPUTED_VALUE"""),"MTLSZ003589A20")</f>
        <v>MTLSZ003589A20</v>
      </c>
      <c r="I1877" s="2">
        <f ca="1">IFERROR(__xludf.DUMMYFUNCTION("""COMPUTED_VALUE"""),44148)</f>
        <v>44148</v>
      </c>
      <c r="J1877" s="2">
        <f ca="1">IFERROR(__xludf.DUMMYFUNCTION("""COMPUTED_VALUE"""),44512)</f>
        <v>44512</v>
      </c>
    </row>
    <row r="1878" spans="1:10" x14ac:dyDescent="0.25">
      <c r="A1878" s="1" t="str">
        <f ca="1">IFERROR(__xludf.DUMMYFUNCTION("""COMPUTED_VALUE"""),"Tisza TSE")</f>
        <v>Tisza TSE</v>
      </c>
      <c r="B1878" s="1" t="str">
        <f ca="1">IFERROR(__xludf.DUMMYFUNCTION("""COMPUTED_VALUE"""),"Csonka Zsolt")</f>
        <v>Csonka Zsolt</v>
      </c>
      <c r="C1878" s="1"/>
      <c r="D1878" s="1" t="str">
        <f ca="1">IFERROR(__xludf.DUMMYFUNCTION("""COMPUTED_VALUE"""),"Férfi")</f>
        <v>Férfi</v>
      </c>
      <c r="E1878" s="1"/>
      <c r="F1878" s="1">
        <f ca="1">IFERROR(__xludf.DUMMYFUNCTION("""COMPUTED_VALUE"""),1964)</f>
        <v>1964</v>
      </c>
      <c r="G1878" s="1">
        <f ca="1">IFERROR(__xludf.DUMMYFUNCTION("""COMPUTED_VALUE"""),3578)</f>
        <v>3578</v>
      </c>
      <c r="H1878" s="1" t="str">
        <f ca="1">IFERROR(__xludf.DUMMYFUNCTION("""COMPUTED_VALUE"""),"MTLSZ003578A20")</f>
        <v>MTLSZ003578A20</v>
      </c>
      <c r="I1878" s="2">
        <f ca="1">IFERROR(__xludf.DUMMYFUNCTION("""COMPUTED_VALUE"""),44148)</f>
        <v>44148</v>
      </c>
      <c r="J1878" s="2">
        <f ca="1">IFERROR(__xludf.DUMMYFUNCTION("""COMPUTED_VALUE"""),44512)</f>
        <v>44512</v>
      </c>
    </row>
    <row r="1879" spans="1:10" x14ac:dyDescent="0.25">
      <c r="A1879" s="1" t="str">
        <f ca="1">IFERROR(__xludf.DUMMYFUNCTION("""COMPUTED_VALUE"""),"Tisza TSE")</f>
        <v>Tisza TSE</v>
      </c>
      <c r="B1879" s="1" t="str">
        <f ca="1">IFERROR(__xludf.DUMMYFUNCTION("""COMPUTED_VALUE"""),"Gusztos Gábor")</f>
        <v>Gusztos Gábor</v>
      </c>
      <c r="C1879" s="1"/>
      <c r="D1879" s="1" t="str">
        <f ca="1">IFERROR(__xludf.DUMMYFUNCTION("""COMPUTED_VALUE"""),"Férfi")</f>
        <v>Férfi</v>
      </c>
      <c r="E1879" s="1"/>
      <c r="F1879" s="1">
        <f ca="1">IFERROR(__xludf.DUMMYFUNCTION("""COMPUTED_VALUE"""),1968)</f>
        <v>1968</v>
      </c>
      <c r="G1879" s="1">
        <f ca="1">IFERROR(__xludf.DUMMYFUNCTION("""COMPUTED_VALUE"""),3577)</f>
        <v>3577</v>
      </c>
      <c r="H1879" s="1" t="str">
        <f ca="1">IFERROR(__xludf.DUMMYFUNCTION("""COMPUTED_VALUE"""),"MTLSZ003577A20")</f>
        <v>MTLSZ003577A20</v>
      </c>
      <c r="I1879" s="2">
        <f ca="1">IFERROR(__xludf.DUMMYFUNCTION("""COMPUTED_VALUE"""),44148)</f>
        <v>44148</v>
      </c>
      <c r="J1879" s="2">
        <f ca="1">IFERROR(__xludf.DUMMYFUNCTION("""COMPUTED_VALUE"""),44512)</f>
        <v>44512</v>
      </c>
    </row>
    <row r="1880" spans="1:10" x14ac:dyDescent="0.25">
      <c r="A1880" s="1" t="str">
        <f ca="1">IFERROR(__xludf.DUMMYFUNCTION("""COMPUTED_VALUE"""),"Tisza TSE")</f>
        <v>Tisza TSE</v>
      </c>
      <c r="B1880" s="1" t="str">
        <f ca="1">IFERROR(__xludf.DUMMYFUNCTION("""COMPUTED_VALUE"""),"Háló Pál")</f>
        <v>Háló Pál</v>
      </c>
      <c r="C1880" s="1"/>
      <c r="D1880" s="1" t="str">
        <f ca="1">IFERROR(__xludf.DUMMYFUNCTION("""COMPUTED_VALUE"""),"Férfi")</f>
        <v>Férfi</v>
      </c>
      <c r="E1880" s="1"/>
      <c r="F1880" s="1">
        <f ca="1">IFERROR(__xludf.DUMMYFUNCTION("""COMPUTED_VALUE"""),1959)</f>
        <v>1959</v>
      </c>
      <c r="G1880" s="1">
        <f ca="1">IFERROR(__xludf.DUMMYFUNCTION("""COMPUTED_VALUE"""),3576)</f>
        <v>3576</v>
      </c>
      <c r="H1880" s="1" t="str">
        <f ca="1">IFERROR(__xludf.DUMMYFUNCTION("""COMPUTED_VALUE"""),"MTLSZ003576A20")</f>
        <v>MTLSZ003576A20</v>
      </c>
      <c r="I1880" s="2">
        <f ca="1">IFERROR(__xludf.DUMMYFUNCTION("""COMPUTED_VALUE"""),44148)</f>
        <v>44148</v>
      </c>
      <c r="J1880" s="2">
        <f ca="1">IFERROR(__xludf.DUMMYFUNCTION("""COMPUTED_VALUE"""),44512)</f>
        <v>44512</v>
      </c>
    </row>
    <row r="1881" spans="1:10" x14ac:dyDescent="0.25">
      <c r="A1881" s="1" t="str">
        <f ca="1">IFERROR(__xludf.DUMMYFUNCTION("""COMPUTED_VALUE"""),"Tisza TSE")</f>
        <v>Tisza TSE</v>
      </c>
      <c r="B1881" s="1" t="str">
        <f ca="1">IFERROR(__xludf.DUMMYFUNCTION("""COMPUTED_VALUE"""),"Knezevics Viktor")</f>
        <v>Knezevics Viktor</v>
      </c>
      <c r="C1881" s="1"/>
      <c r="D1881" s="1" t="str">
        <f ca="1">IFERROR(__xludf.DUMMYFUNCTION("""COMPUTED_VALUE"""),"Férfi")</f>
        <v>Férfi</v>
      </c>
      <c r="E1881" s="1"/>
      <c r="F1881" s="1">
        <f ca="1">IFERROR(__xludf.DUMMYFUNCTION("""COMPUTED_VALUE"""),1972)</f>
        <v>1972</v>
      </c>
      <c r="G1881" s="1">
        <f ca="1">IFERROR(__xludf.DUMMYFUNCTION("""COMPUTED_VALUE"""),3581)</f>
        <v>3581</v>
      </c>
      <c r="H1881" s="1" t="str">
        <f ca="1">IFERROR(__xludf.DUMMYFUNCTION("""COMPUTED_VALUE"""),"MTLSZ003581A20")</f>
        <v>MTLSZ003581A20</v>
      </c>
      <c r="I1881" s="2">
        <f ca="1">IFERROR(__xludf.DUMMYFUNCTION("""COMPUTED_VALUE"""),44148)</f>
        <v>44148</v>
      </c>
      <c r="J1881" s="2">
        <f ca="1">IFERROR(__xludf.DUMMYFUNCTION("""COMPUTED_VALUE"""),44512)</f>
        <v>44512</v>
      </c>
    </row>
    <row r="1882" spans="1:10" x14ac:dyDescent="0.25">
      <c r="A1882" s="1" t="str">
        <f ca="1">IFERROR(__xludf.DUMMYFUNCTION("""COMPUTED_VALUE"""),"Tisza TSE")</f>
        <v>Tisza TSE</v>
      </c>
      <c r="B1882" s="1" t="str">
        <f ca="1">IFERROR(__xludf.DUMMYFUNCTION("""COMPUTED_VALUE"""),"László Zsombor")</f>
        <v>László Zsombor</v>
      </c>
      <c r="C1882" s="1"/>
      <c r="D1882" s="1" t="str">
        <f ca="1">IFERROR(__xludf.DUMMYFUNCTION("""COMPUTED_VALUE"""),"Férfi")</f>
        <v>Férfi</v>
      </c>
      <c r="E1882" s="1"/>
      <c r="F1882" s="1">
        <f ca="1">IFERROR(__xludf.DUMMYFUNCTION("""COMPUTED_VALUE"""),1975)</f>
        <v>1975</v>
      </c>
      <c r="G1882" s="1">
        <f ca="1">IFERROR(__xludf.DUMMYFUNCTION("""COMPUTED_VALUE"""),3575)</f>
        <v>3575</v>
      </c>
      <c r="H1882" s="1" t="str">
        <f ca="1">IFERROR(__xludf.DUMMYFUNCTION("""COMPUTED_VALUE"""),"MTLSZ003575A20")</f>
        <v>MTLSZ003575A20</v>
      </c>
      <c r="I1882" s="2">
        <f ca="1">IFERROR(__xludf.DUMMYFUNCTION("""COMPUTED_VALUE"""),44148)</f>
        <v>44148</v>
      </c>
      <c r="J1882" s="2">
        <f ca="1">IFERROR(__xludf.DUMMYFUNCTION("""COMPUTED_VALUE"""),44512)</f>
        <v>44512</v>
      </c>
    </row>
    <row r="1883" spans="1:10" x14ac:dyDescent="0.25">
      <c r="A1883" s="1" t="str">
        <f ca="1">IFERROR(__xludf.DUMMYFUNCTION("""COMPUTED_VALUE"""),"T(r)ollas SE")</f>
        <v>T(r)ollas SE</v>
      </c>
      <c r="B1883" s="1" t="str">
        <f ca="1">IFERROR(__xludf.DUMMYFUNCTION("""COMPUTED_VALUE"""),"Annus Viktor")</f>
        <v>Annus Viktor</v>
      </c>
      <c r="C1883" s="1"/>
      <c r="D1883" s="1" t="str">
        <f ca="1">IFERROR(__xludf.DUMMYFUNCTION("""COMPUTED_VALUE"""),"Férfi")</f>
        <v>Férfi</v>
      </c>
      <c r="E1883" s="1"/>
      <c r="F1883" s="1">
        <f ca="1">IFERROR(__xludf.DUMMYFUNCTION("""COMPUTED_VALUE"""),1985)</f>
        <v>1985</v>
      </c>
      <c r="G1883" s="1">
        <f ca="1">IFERROR(__xludf.DUMMYFUNCTION("""COMPUTED_VALUE"""),3098)</f>
        <v>3098</v>
      </c>
      <c r="H1883" s="1" t="str">
        <f ca="1">IFERROR(__xludf.DUMMYFUNCTION("""COMPUTED_VALUE"""),"MTLSZ003098A20")</f>
        <v>MTLSZ003098A20</v>
      </c>
      <c r="I1883" s="2">
        <f ca="1">IFERROR(__xludf.DUMMYFUNCTION("""COMPUTED_VALUE"""),44148)</f>
        <v>44148</v>
      </c>
      <c r="J1883" s="2">
        <f ca="1">IFERROR(__xludf.DUMMYFUNCTION("""COMPUTED_VALUE"""),44512)</f>
        <v>44512</v>
      </c>
    </row>
    <row r="1884" spans="1:10" x14ac:dyDescent="0.25">
      <c r="A1884" s="1" t="str">
        <f ca="1">IFERROR(__xludf.DUMMYFUNCTION("""COMPUTED_VALUE"""),"Újpest TSE")</f>
        <v>Újpest TSE</v>
      </c>
      <c r="B1884" s="1" t="str">
        <f ca="1">IFERROR(__xludf.DUMMYFUNCTION("""COMPUTED_VALUE"""),"Béres Hedvig Johanna")</f>
        <v>Béres Hedvig Johanna</v>
      </c>
      <c r="C1884" s="1"/>
      <c r="D1884" s="1" t="str">
        <f ca="1">IFERROR(__xludf.DUMMYFUNCTION("""COMPUTED_VALUE"""),"Nő")</f>
        <v>Nő</v>
      </c>
      <c r="E1884" s="1"/>
      <c r="F1884" s="1">
        <f ca="1">IFERROR(__xludf.DUMMYFUNCTION("""COMPUTED_VALUE"""),2008)</f>
        <v>2008</v>
      </c>
      <c r="G1884" s="1">
        <f ca="1">IFERROR(__xludf.DUMMYFUNCTION("""COMPUTED_VALUE"""),3587)</f>
        <v>3587</v>
      </c>
      <c r="H1884" s="1" t="str">
        <f ca="1">IFERROR(__xludf.DUMMYFUNCTION("""COMPUTED_VALUE"""),"MTLSZ003587A20")</f>
        <v>MTLSZ003587A20</v>
      </c>
      <c r="I1884" s="2">
        <f ca="1">IFERROR(__xludf.DUMMYFUNCTION("""COMPUTED_VALUE"""),44148)</f>
        <v>44148</v>
      </c>
      <c r="J1884" s="2">
        <f ca="1">IFERROR(__xludf.DUMMYFUNCTION("""COMPUTED_VALUE"""),44512)</f>
        <v>44512</v>
      </c>
    </row>
    <row r="1885" spans="1:10" x14ac:dyDescent="0.25">
      <c r="A1885" s="1" t="str">
        <f ca="1">IFERROR(__xludf.DUMMYFUNCTION("""COMPUTED_VALUE"""),"Újpest TSE")</f>
        <v>Újpest TSE</v>
      </c>
      <c r="B1885" s="1" t="str">
        <f ca="1">IFERROR(__xludf.DUMMYFUNCTION("""COMPUTED_VALUE"""),"Egri Ádám Levedi")</f>
        <v>Egri Ádám Levedi</v>
      </c>
      <c r="C1885" s="1"/>
      <c r="D1885" s="1" t="str">
        <f ca="1">IFERROR(__xludf.DUMMYFUNCTION("""COMPUTED_VALUE"""),"Férfi")</f>
        <v>Férfi</v>
      </c>
      <c r="E1885" s="1"/>
      <c r="F1885" s="1">
        <f ca="1">IFERROR(__xludf.DUMMYFUNCTION("""COMPUTED_VALUE"""),2008)</f>
        <v>2008</v>
      </c>
      <c r="G1885" s="1">
        <f ca="1">IFERROR(__xludf.DUMMYFUNCTION("""COMPUTED_VALUE"""),3585)</f>
        <v>3585</v>
      </c>
      <c r="H1885" s="1" t="str">
        <f ca="1">IFERROR(__xludf.DUMMYFUNCTION("""COMPUTED_VALUE"""),"MTLSZ003585A20")</f>
        <v>MTLSZ003585A20</v>
      </c>
      <c r="I1885" s="2">
        <f ca="1">IFERROR(__xludf.DUMMYFUNCTION("""COMPUTED_VALUE"""),44148)</f>
        <v>44148</v>
      </c>
      <c r="J1885" s="2">
        <f ca="1">IFERROR(__xludf.DUMMYFUNCTION("""COMPUTED_VALUE"""),44512)</f>
        <v>44512</v>
      </c>
    </row>
    <row r="1886" spans="1:10" x14ac:dyDescent="0.25">
      <c r="A1886" s="1" t="str">
        <f ca="1">IFERROR(__xludf.DUMMYFUNCTION("""COMPUTED_VALUE"""),"Újpest TSE")</f>
        <v>Újpest TSE</v>
      </c>
      <c r="B1886" s="1" t="str">
        <f ca="1">IFERROR(__xludf.DUMMYFUNCTION("""COMPUTED_VALUE"""),"Egri Zsófia Dóra")</f>
        <v>Egri Zsófia Dóra</v>
      </c>
      <c r="C1886" s="1"/>
      <c r="D1886" s="1" t="str">
        <f ca="1">IFERROR(__xludf.DUMMYFUNCTION("""COMPUTED_VALUE"""),"Nő")</f>
        <v>Nő</v>
      </c>
      <c r="E1886" s="1"/>
      <c r="F1886" s="1">
        <f ca="1">IFERROR(__xludf.DUMMYFUNCTION("""COMPUTED_VALUE"""),2011)</f>
        <v>2011</v>
      </c>
      <c r="G1886" s="1">
        <f ca="1">IFERROR(__xludf.DUMMYFUNCTION("""COMPUTED_VALUE"""),3586)</f>
        <v>3586</v>
      </c>
      <c r="H1886" s="1" t="str">
        <f ca="1">IFERROR(__xludf.DUMMYFUNCTION("""COMPUTED_VALUE"""),"MTLSZ003586A20")</f>
        <v>MTLSZ003586A20</v>
      </c>
      <c r="I1886" s="2">
        <f ca="1">IFERROR(__xludf.DUMMYFUNCTION("""COMPUTED_VALUE"""),44148)</f>
        <v>44148</v>
      </c>
      <c r="J1886" s="2">
        <f ca="1">IFERROR(__xludf.DUMMYFUNCTION("""COMPUTED_VALUE"""),44512)</f>
        <v>44512</v>
      </c>
    </row>
    <row r="1887" spans="1:10" x14ac:dyDescent="0.25">
      <c r="A1887" s="1" t="str">
        <f ca="1">IFERROR(__xludf.DUMMYFUNCTION("""COMPUTED_VALUE"""),"Újpest TSE")</f>
        <v>Újpest TSE</v>
      </c>
      <c r="B1887" s="1" t="str">
        <f ca="1">IFERROR(__xludf.DUMMYFUNCTION("""COMPUTED_VALUE"""),"György Alexandra")</f>
        <v>György Alexandra</v>
      </c>
      <c r="C1887" s="1"/>
      <c r="D1887" s="1" t="str">
        <f ca="1">IFERROR(__xludf.DUMMYFUNCTION("""COMPUTED_VALUE"""),"Nő")</f>
        <v>Nő</v>
      </c>
      <c r="E1887" s="1"/>
      <c r="F1887" s="1">
        <f ca="1">IFERROR(__xludf.DUMMYFUNCTION("""COMPUTED_VALUE"""),2005)</f>
        <v>2005</v>
      </c>
      <c r="G1887" s="1">
        <f ca="1">IFERROR(__xludf.DUMMYFUNCTION("""COMPUTED_VALUE"""),3434)</f>
        <v>3434</v>
      </c>
      <c r="H1887" s="1" t="str">
        <f ca="1">IFERROR(__xludf.DUMMYFUNCTION("""COMPUTED_VALUE"""),"MTLSZ003434A20")</f>
        <v>MTLSZ003434A20</v>
      </c>
      <c r="I1887" s="2">
        <f ca="1">IFERROR(__xludf.DUMMYFUNCTION("""COMPUTED_VALUE"""),44148)</f>
        <v>44148</v>
      </c>
      <c r="J1887" s="2">
        <f ca="1">IFERROR(__xludf.DUMMYFUNCTION("""COMPUTED_VALUE"""),44512)</f>
        <v>44512</v>
      </c>
    </row>
    <row r="1888" spans="1:10" x14ac:dyDescent="0.25">
      <c r="A1888" s="1" t="str">
        <f ca="1">IFERROR(__xludf.DUMMYFUNCTION("""COMPUTED_VALUE"""),"Újpest TSE")</f>
        <v>Újpest TSE</v>
      </c>
      <c r="B1888" s="1" t="str">
        <f ca="1">IFERROR(__xludf.DUMMYFUNCTION("""COMPUTED_VALUE"""),"Léderer Simon")</f>
        <v>Léderer Simon</v>
      </c>
      <c r="C1888" s="1"/>
      <c r="D1888" s="1" t="str">
        <f ca="1">IFERROR(__xludf.DUMMYFUNCTION("""COMPUTED_VALUE"""),"Férfi")</f>
        <v>Férfi</v>
      </c>
      <c r="E1888" s="1"/>
      <c r="F1888" s="1">
        <f ca="1">IFERROR(__xludf.DUMMYFUNCTION("""COMPUTED_VALUE"""),2007)</f>
        <v>2007</v>
      </c>
      <c r="G1888" s="1">
        <f ca="1">IFERROR(__xludf.DUMMYFUNCTION("""COMPUTED_VALUE"""),3584)</f>
        <v>3584</v>
      </c>
      <c r="H1888" s="1" t="str">
        <f ca="1">IFERROR(__xludf.DUMMYFUNCTION("""COMPUTED_VALUE"""),"MTLSZ003584A20")</f>
        <v>MTLSZ003584A20</v>
      </c>
      <c r="I1888" s="2">
        <f ca="1">IFERROR(__xludf.DUMMYFUNCTION("""COMPUTED_VALUE"""),44148)</f>
        <v>44148</v>
      </c>
      <c r="J1888" s="2">
        <f ca="1">IFERROR(__xludf.DUMMYFUNCTION("""COMPUTED_VALUE"""),44512)</f>
        <v>44512</v>
      </c>
    </row>
    <row r="1889" spans="1:10" x14ac:dyDescent="0.25">
      <c r="A1889" s="1" t="str">
        <f ca="1">IFERROR(__xludf.DUMMYFUNCTION("""COMPUTED_VALUE"""),"Tapolcai TFSE")</f>
        <v>Tapolcai TFSE</v>
      </c>
      <c r="B1889" s="1" t="str">
        <f ca="1">IFERROR(__xludf.DUMMYFUNCTION("""COMPUTED_VALUE"""),"Gyarmati Vince")</f>
        <v>Gyarmati Vince</v>
      </c>
      <c r="C1889" s="1"/>
      <c r="D1889" s="1" t="str">
        <f ca="1">IFERROR(__xludf.DUMMYFUNCTION("""COMPUTED_VALUE"""),"Férfi")</f>
        <v>Férfi</v>
      </c>
      <c r="E1889" s="1"/>
      <c r="F1889" s="1">
        <f ca="1">IFERROR(__xludf.DUMMYFUNCTION("""COMPUTED_VALUE"""),1998)</f>
        <v>1998</v>
      </c>
      <c r="G1889" s="1">
        <f ca="1">IFERROR(__xludf.DUMMYFUNCTION("""COMPUTED_VALUE"""),3375)</f>
        <v>3375</v>
      </c>
      <c r="H1889" s="1" t="str">
        <f ca="1">IFERROR(__xludf.DUMMYFUNCTION("""COMPUTED_VALUE"""),"MTLSZ003375A20")</f>
        <v>MTLSZ003375A20</v>
      </c>
      <c r="I1889" s="2">
        <f ca="1">IFERROR(__xludf.DUMMYFUNCTION("""COMPUTED_VALUE"""),44147)</f>
        <v>44147</v>
      </c>
      <c r="J1889" s="2">
        <f ca="1">IFERROR(__xludf.DUMMYFUNCTION("""COMPUTED_VALUE"""),44511)</f>
        <v>44511</v>
      </c>
    </row>
    <row r="1890" spans="1:10" x14ac:dyDescent="0.25">
      <c r="A1890" s="1" t="str">
        <f ca="1">IFERROR(__xludf.DUMMYFUNCTION("""COMPUTED_VALUE"""),"Tapolcai TFSE")</f>
        <v>Tapolcai TFSE</v>
      </c>
      <c r="B1890" s="1" t="str">
        <f ca="1">IFERROR(__xludf.DUMMYFUNCTION("""COMPUTED_VALUE"""),"Németh Albert Kornél")</f>
        <v>Németh Albert Kornél</v>
      </c>
      <c r="C1890" s="1"/>
      <c r="D1890" s="1" t="str">
        <f ca="1">IFERROR(__xludf.DUMMYFUNCTION("""COMPUTED_VALUE"""),"Férfi")</f>
        <v>Férfi</v>
      </c>
      <c r="E1890" s="1"/>
      <c r="F1890" s="1">
        <f ca="1">IFERROR(__xludf.DUMMYFUNCTION("""COMPUTED_VALUE"""),1973)</f>
        <v>1973</v>
      </c>
      <c r="G1890" s="1">
        <f ca="1">IFERROR(__xludf.DUMMYFUNCTION("""COMPUTED_VALUE"""),3571)</f>
        <v>3571</v>
      </c>
      <c r="H1890" s="1" t="str">
        <f ca="1">IFERROR(__xludf.DUMMYFUNCTION("""COMPUTED_VALUE"""),"MTLSZ003571A20")</f>
        <v>MTLSZ003571A20</v>
      </c>
      <c r="I1890" s="2">
        <f ca="1">IFERROR(__xludf.DUMMYFUNCTION("""COMPUTED_VALUE"""),44147)</f>
        <v>44147</v>
      </c>
      <c r="J1890" s="2">
        <f ca="1">IFERROR(__xludf.DUMMYFUNCTION("""COMPUTED_VALUE"""),44511)</f>
        <v>44511</v>
      </c>
    </row>
    <row r="1891" spans="1:10" x14ac:dyDescent="0.25">
      <c r="A1891" s="1" t="str">
        <f ca="1">IFERROR(__xludf.DUMMYFUNCTION("""COMPUTED_VALUE"""),"Tapolcai TFSE")</f>
        <v>Tapolcai TFSE</v>
      </c>
      <c r="B1891" s="1" t="str">
        <f ca="1">IFERROR(__xludf.DUMMYFUNCTION("""COMPUTED_VALUE"""),"Pálosi János")</f>
        <v>Pálosi János</v>
      </c>
      <c r="C1891" s="1"/>
      <c r="D1891" s="1" t="str">
        <f ca="1">IFERROR(__xludf.DUMMYFUNCTION("""COMPUTED_VALUE"""),"Férfi")</f>
        <v>Férfi</v>
      </c>
      <c r="E1891" s="1"/>
      <c r="F1891" s="1">
        <f ca="1">IFERROR(__xludf.DUMMYFUNCTION("""COMPUTED_VALUE"""),1976)</f>
        <v>1976</v>
      </c>
      <c r="G1891" s="1">
        <f ca="1">IFERROR(__xludf.DUMMYFUNCTION("""COMPUTED_VALUE"""),3572)</f>
        <v>3572</v>
      </c>
      <c r="H1891" s="1" t="str">
        <f ca="1">IFERROR(__xludf.DUMMYFUNCTION("""COMPUTED_VALUE"""),"MTLSZ003572A20")</f>
        <v>MTLSZ003572A20</v>
      </c>
      <c r="I1891" s="2">
        <f ca="1">IFERROR(__xludf.DUMMYFUNCTION("""COMPUTED_VALUE"""),44147)</f>
        <v>44147</v>
      </c>
      <c r="J1891" s="2">
        <f ca="1">IFERROR(__xludf.DUMMYFUNCTION("""COMPUTED_VALUE"""),44511)</f>
        <v>44511</v>
      </c>
    </row>
    <row r="1892" spans="1:10" x14ac:dyDescent="0.25">
      <c r="A1892" s="1" t="str">
        <f ca="1">IFERROR(__xludf.DUMMYFUNCTION("""COMPUTED_VALUE"""),"Tapolcai TFSE")</f>
        <v>Tapolcai TFSE</v>
      </c>
      <c r="B1892" s="1" t="str">
        <f ca="1">IFERROR(__xludf.DUMMYFUNCTION("""COMPUTED_VALUE"""),"Pupos Csaba")</f>
        <v>Pupos Csaba</v>
      </c>
      <c r="C1892" s="1"/>
      <c r="D1892" s="1" t="str">
        <f ca="1">IFERROR(__xludf.DUMMYFUNCTION("""COMPUTED_VALUE"""),"Férfi")</f>
        <v>Férfi</v>
      </c>
      <c r="E1892" s="1"/>
      <c r="F1892" s="1">
        <f ca="1">IFERROR(__xludf.DUMMYFUNCTION("""COMPUTED_VALUE"""),1964)</f>
        <v>1964</v>
      </c>
      <c r="G1892" s="1">
        <f ca="1">IFERROR(__xludf.DUMMYFUNCTION("""COMPUTED_VALUE"""),3573)</f>
        <v>3573</v>
      </c>
      <c r="H1892" s="1" t="str">
        <f ca="1">IFERROR(__xludf.DUMMYFUNCTION("""COMPUTED_VALUE"""),"MTLSZ003573A20")</f>
        <v>MTLSZ003573A20</v>
      </c>
      <c r="I1892" s="2">
        <f ca="1">IFERROR(__xludf.DUMMYFUNCTION("""COMPUTED_VALUE"""),44147)</f>
        <v>44147</v>
      </c>
      <c r="J1892" s="2">
        <f ca="1">IFERROR(__xludf.DUMMYFUNCTION("""COMPUTED_VALUE"""),44511)</f>
        <v>44511</v>
      </c>
    </row>
    <row r="1893" spans="1:10" x14ac:dyDescent="0.25">
      <c r="A1893" s="1" t="str">
        <f ca="1">IFERROR(__xludf.DUMMYFUNCTION("""COMPUTED_VALUE"""),"T(r)ollas SE")</f>
        <v>T(r)ollas SE</v>
      </c>
      <c r="B1893" s="1" t="str">
        <f ca="1">IFERROR(__xludf.DUMMYFUNCTION("""COMPUTED_VALUE"""),"Rusznák László")</f>
        <v>Rusznák László</v>
      </c>
      <c r="C1893" s="1"/>
      <c r="D1893" s="1" t="str">
        <f ca="1">IFERROR(__xludf.DUMMYFUNCTION("""COMPUTED_VALUE"""),"Férfi")</f>
        <v>Férfi</v>
      </c>
      <c r="E1893" s="1"/>
      <c r="F1893" s="1">
        <f ca="1">IFERROR(__xludf.DUMMYFUNCTION("""COMPUTED_VALUE"""),1979)</f>
        <v>1979</v>
      </c>
      <c r="G1893" s="1">
        <f ca="1">IFERROR(__xludf.DUMMYFUNCTION("""COMPUTED_VALUE"""),2342)</f>
        <v>2342</v>
      </c>
      <c r="H1893" s="1" t="str">
        <f ca="1">IFERROR(__xludf.DUMMYFUNCTION("""COMPUTED_VALUE"""),"MTLSZ002342A20")</f>
        <v>MTLSZ002342A20</v>
      </c>
      <c r="I1893" s="2">
        <f ca="1">IFERROR(__xludf.DUMMYFUNCTION("""COMPUTED_VALUE"""),44147)</f>
        <v>44147</v>
      </c>
      <c r="J1893" s="2">
        <f ca="1">IFERROR(__xludf.DUMMYFUNCTION("""COMPUTED_VALUE"""),44511)</f>
        <v>44511</v>
      </c>
    </row>
    <row r="1894" spans="1:10" x14ac:dyDescent="0.25">
      <c r="A1894" s="1" t="str">
        <f ca="1">IFERROR(__xludf.DUMMYFUNCTION("""COMPUTED_VALUE"""),"Újpest TSE")</f>
        <v>Újpest TSE</v>
      </c>
      <c r="B1894" s="1" t="str">
        <f ca="1">IFERROR(__xludf.DUMMYFUNCTION("""COMPUTED_VALUE"""),"Frigyes Barnabás")</f>
        <v>Frigyes Barnabás</v>
      </c>
      <c r="C1894" s="1"/>
      <c r="D1894" s="1" t="str">
        <f ca="1">IFERROR(__xludf.DUMMYFUNCTION("""COMPUTED_VALUE"""),"Férfi")</f>
        <v>Férfi</v>
      </c>
      <c r="E1894" s="1"/>
      <c r="F1894" s="1">
        <f ca="1">IFERROR(__xludf.DUMMYFUNCTION("""COMPUTED_VALUE"""),2002)</f>
        <v>2002</v>
      </c>
      <c r="G1894" s="1">
        <f ca="1">IFERROR(__xludf.DUMMYFUNCTION("""COMPUTED_VALUE"""),3570)</f>
        <v>3570</v>
      </c>
      <c r="H1894" s="1" t="str">
        <f ca="1">IFERROR(__xludf.DUMMYFUNCTION("""COMPUTED_VALUE"""),"MTLSZ003570A20")</f>
        <v>MTLSZ003570A20</v>
      </c>
      <c r="I1894" s="2">
        <f ca="1">IFERROR(__xludf.DUMMYFUNCTION("""COMPUTED_VALUE"""),44147)</f>
        <v>44147</v>
      </c>
      <c r="J1894" s="2">
        <f ca="1">IFERROR(__xludf.DUMMYFUNCTION("""COMPUTED_VALUE"""),44511)</f>
        <v>44511</v>
      </c>
    </row>
    <row r="1895" spans="1:10" x14ac:dyDescent="0.25">
      <c r="A1895" s="1" t="str">
        <f ca="1">IFERROR(__xludf.DUMMYFUNCTION("""COMPUTED_VALUE"""),"Diaboló SE")</f>
        <v>Diaboló SE</v>
      </c>
      <c r="B1895" s="1" t="str">
        <f ca="1">IFERROR(__xludf.DUMMYFUNCTION("""COMPUTED_VALUE"""),"Kiss Péter dr.")</f>
        <v>Kiss Péter dr.</v>
      </c>
      <c r="C1895" s="1"/>
      <c r="D1895" s="1" t="str">
        <f ca="1">IFERROR(__xludf.DUMMYFUNCTION("""COMPUTED_VALUE"""),"Férfi")</f>
        <v>Férfi</v>
      </c>
      <c r="E1895" s="1"/>
      <c r="F1895" s="1">
        <f ca="1">IFERROR(__xludf.DUMMYFUNCTION("""COMPUTED_VALUE"""),1955)</f>
        <v>1955</v>
      </c>
      <c r="G1895" s="1">
        <f ca="1">IFERROR(__xludf.DUMMYFUNCTION("""COMPUTED_VALUE"""),489)</f>
        <v>489</v>
      </c>
      <c r="H1895" s="1" t="str">
        <f ca="1">IFERROR(__xludf.DUMMYFUNCTION("""COMPUTED_VALUE"""),"MTLSZ000489A20")</f>
        <v>MTLSZ000489A20</v>
      </c>
      <c r="I1895" s="2">
        <f ca="1">IFERROR(__xludf.DUMMYFUNCTION("""COMPUTED_VALUE"""),44146)</f>
        <v>44146</v>
      </c>
      <c r="J1895" s="2">
        <f ca="1">IFERROR(__xludf.DUMMYFUNCTION("""COMPUTED_VALUE"""),44510)</f>
        <v>44510</v>
      </c>
    </row>
    <row r="1896" spans="1:10" x14ac:dyDescent="0.25">
      <c r="A1896" s="1" t="str">
        <f ca="1">IFERROR(__xludf.DUMMYFUNCTION("""COMPUTED_VALUE"""),"Életmód SE")</f>
        <v>Életmód SE</v>
      </c>
      <c r="B1896" s="1" t="str">
        <f ca="1">IFERROR(__xludf.DUMMYFUNCTION("""COMPUTED_VALUE"""),"Gebhard Tamás")</f>
        <v>Gebhard Tamás</v>
      </c>
      <c r="C1896" s="1"/>
      <c r="D1896" s="1" t="str">
        <f ca="1">IFERROR(__xludf.DUMMYFUNCTION("""COMPUTED_VALUE"""),"Férfi")</f>
        <v>Férfi</v>
      </c>
      <c r="E1896" s="1"/>
      <c r="F1896" s="1">
        <f ca="1">IFERROR(__xludf.DUMMYFUNCTION("""COMPUTED_VALUE"""),1968)</f>
        <v>1968</v>
      </c>
      <c r="G1896" s="1">
        <f ca="1">IFERROR(__xludf.DUMMYFUNCTION("""COMPUTED_VALUE"""),290)</f>
        <v>290</v>
      </c>
      <c r="H1896" s="1" t="str">
        <f ca="1">IFERROR(__xludf.DUMMYFUNCTION("""COMPUTED_VALUE"""),"MTLSZ000290A20")</f>
        <v>MTLSZ000290A20</v>
      </c>
      <c r="I1896" s="2">
        <f ca="1">IFERROR(__xludf.DUMMYFUNCTION("""COMPUTED_VALUE"""),44137)</f>
        <v>44137</v>
      </c>
      <c r="J1896" s="2">
        <f ca="1">IFERROR(__xludf.DUMMYFUNCTION("""COMPUTED_VALUE"""),44501)</f>
        <v>44501</v>
      </c>
    </row>
    <row r="1897" spans="1:10" x14ac:dyDescent="0.25">
      <c r="A1897" s="1" t="str">
        <f ca="1">IFERROR(__xludf.DUMMYFUNCTION("""COMPUTED_VALUE"""),"Kék Sólymok SE")</f>
        <v>Kék Sólymok SE</v>
      </c>
      <c r="B1897" s="1" t="str">
        <f ca="1">IFERROR(__xludf.DUMMYFUNCTION("""COMPUTED_VALUE"""),"Pozsonyi Bálint")</f>
        <v>Pozsonyi Bálint</v>
      </c>
      <c r="C1897" s="1"/>
      <c r="D1897" s="1" t="str">
        <f ca="1">IFERROR(__xludf.DUMMYFUNCTION("""COMPUTED_VALUE"""),"Férfi")</f>
        <v>Férfi</v>
      </c>
      <c r="E1897" s="1"/>
      <c r="F1897" s="1">
        <f ca="1">IFERROR(__xludf.DUMMYFUNCTION("""COMPUTED_VALUE"""),2009)</f>
        <v>2009</v>
      </c>
      <c r="G1897" s="1">
        <f ca="1">IFERROR(__xludf.DUMMYFUNCTION("""COMPUTED_VALUE"""),3337)</f>
        <v>3337</v>
      </c>
      <c r="H1897" s="1" t="str">
        <f ca="1">IFERROR(__xludf.DUMMYFUNCTION("""COMPUTED_VALUE"""),"MTLSZ003337A20")</f>
        <v>MTLSZ003337A20</v>
      </c>
      <c r="I1897" s="2">
        <f ca="1">IFERROR(__xludf.DUMMYFUNCTION("""COMPUTED_VALUE"""),44137)</f>
        <v>44137</v>
      </c>
      <c r="J1897" s="2">
        <f ca="1">IFERROR(__xludf.DUMMYFUNCTION("""COMPUTED_VALUE"""),44501)</f>
        <v>44501</v>
      </c>
    </row>
    <row r="1898" spans="1:10" x14ac:dyDescent="0.25">
      <c r="A1898" s="1" t="str">
        <f ca="1">IFERROR(__xludf.DUMMYFUNCTION("""COMPUTED_VALUE"""),"Hajdú TSE")</f>
        <v>Hajdú TSE</v>
      </c>
      <c r="B1898" s="1" t="str">
        <f ca="1">IFERROR(__xludf.DUMMYFUNCTION("""COMPUTED_VALUE"""),"Csépán Viktória Tünde")</f>
        <v>Csépán Viktória Tünde</v>
      </c>
      <c r="C1898" s="1"/>
      <c r="D1898" s="1" t="str">
        <f ca="1">IFERROR(__xludf.DUMMYFUNCTION("""COMPUTED_VALUE"""),"Nő")</f>
        <v>Nő</v>
      </c>
      <c r="E1898" s="1"/>
      <c r="F1898" s="1">
        <f ca="1">IFERROR(__xludf.DUMMYFUNCTION("""COMPUTED_VALUE"""),2013)</f>
        <v>2013</v>
      </c>
      <c r="G1898" s="1">
        <f ca="1">IFERROR(__xludf.DUMMYFUNCTION("""COMPUTED_VALUE"""),3563)</f>
        <v>3563</v>
      </c>
      <c r="H1898" s="1" t="str">
        <f ca="1">IFERROR(__xludf.DUMMYFUNCTION("""COMPUTED_VALUE"""),"MTLSZ003563A20")</f>
        <v>MTLSZ003563A20</v>
      </c>
      <c r="I1898" s="2">
        <f ca="1">IFERROR(__xludf.DUMMYFUNCTION("""COMPUTED_VALUE"""),44133)</f>
        <v>44133</v>
      </c>
      <c r="J1898" s="2">
        <f ca="1">IFERROR(__xludf.DUMMYFUNCTION("""COMPUTED_VALUE"""),44497)</f>
        <v>44497</v>
      </c>
    </row>
    <row r="1899" spans="1:10" x14ac:dyDescent="0.25">
      <c r="A1899" s="1" t="str">
        <f ca="1">IFERROR(__xludf.DUMMYFUNCTION("""COMPUTED_VALUE"""),"Hajdú TSE")</f>
        <v>Hajdú TSE</v>
      </c>
      <c r="B1899" s="1" t="str">
        <f ca="1">IFERROR(__xludf.DUMMYFUNCTION("""COMPUTED_VALUE"""),"Gál Petra")</f>
        <v>Gál Petra</v>
      </c>
      <c r="C1899" s="1"/>
      <c r="D1899" s="1" t="str">
        <f ca="1">IFERROR(__xludf.DUMMYFUNCTION("""COMPUTED_VALUE"""),"Nő")</f>
        <v>Nő</v>
      </c>
      <c r="E1899" s="1"/>
      <c r="F1899" s="1">
        <f ca="1">IFERROR(__xludf.DUMMYFUNCTION("""COMPUTED_VALUE"""),2006)</f>
        <v>2006</v>
      </c>
      <c r="G1899" s="1">
        <f ca="1">IFERROR(__xludf.DUMMYFUNCTION("""COMPUTED_VALUE"""),3153)</f>
        <v>3153</v>
      </c>
      <c r="H1899" s="1" t="str">
        <f ca="1">IFERROR(__xludf.DUMMYFUNCTION("""COMPUTED_VALUE"""),"MTLSZ003153A20")</f>
        <v>MTLSZ003153A20</v>
      </c>
      <c r="I1899" s="2">
        <f ca="1">IFERROR(__xludf.DUMMYFUNCTION("""COMPUTED_VALUE"""),44133)</f>
        <v>44133</v>
      </c>
      <c r="J1899" s="2">
        <f ca="1">IFERROR(__xludf.DUMMYFUNCTION("""COMPUTED_VALUE"""),44497)</f>
        <v>44497</v>
      </c>
    </row>
    <row r="1900" spans="1:10" x14ac:dyDescent="0.25">
      <c r="A1900" s="1" t="str">
        <f ca="1">IFERROR(__xludf.DUMMYFUNCTION("""COMPUTED_VALUE"""),"Hajdú TSE")</f>
        <v>Hajdú TSE</v>
      </c>
      <c r="B1900" s="1" t="str">
        <f ca="1">IFERROR(__xludf.DUMMYFUNCTION("""COMPUTED_VALUE"""),"Kabály Zsanett")</f>
        <v>Kabály Zsanett</v>
      </c>
      <c r="C1900" s="1"/>
      <c r="D1900" s="1" t="str">
        <f ca="1">IFERROR(__xludf.DUMMYFUNCTION("""COMPUTED_VALUE"""),"Nő")</f>
        <v>Nő</v>
      </c>
      <c r="E1900" s="1"/>
      <c r="F1900" s="1">
        <f ca="1">IFERROR(__xludf.DUMMYFUNCTION("""COMPUTED_VALUE"""),2005)</f>
        <v>2005</v>
      </c>
      <c r="G1900" s="1">
        <f ca="1">IFERROR(__xludf.DUMMYFUNCTION("""COMPUTED_VALUE"""),2696)</f>
        <v>2696</v>
      </c>
      <c r="H1900" s="1" t="str">
        <f ca="1">IFERROR(__xludf.DUMMYFUNCTION("""COMPUTED_VALUE"""),"MTLSZ002696A20")</f>
        <v>MTLSZ002696A20</v>
      </c>
      <c r="I1900" s="2">
        <f ca="1">IFERROR(__xludf.DUMMYFUNCTION("""COMPUTED_VALUE"""),44133)</f>
        <v>44133</v>
      </c>
      <c r="J1900" s="2">
        <f ca="1">IFERROR(__xludf.DUMMYFUNCTION("""COMPUTED_VALUE"""),44497)</f>
        <v>44497</v>
      </c>
    </row>
    <row r="1901" spans="1:10" x14ac:dyDescent="0.25">
      <c r="A1901" s="1" t="str">
        <f ca="1">IFERROR(__xludf.DUMMYFUNCTION("""COMPUTED_VALUE"""),"Hajdú TSE")</f>
        <v>Hajdú TSE</v>
      </c>
      <c r="B1901" s="1" t="str">
        <f ca="1">IFERROR(__xludf.DUMMYFUNCTION("""COMPUTED_VALUE"""),"Oborzil Zoltán")</f>
        <v>Oborzil Zoltán</v>
      </c>
      <c r="C1901" s="1"/>
      <c r="D1901" s="1" t="str">
        <f ca="1">IFERROR(__xludf.DUMMYFUNCTION("""COMPUTED_VALUE"""),"Férfi")</f>
        <v>Férfi</v>
      </c>
      <c r="E1901" s="1"/>
      <c r="F1901" s="1">
        <f ca="1">IFERROR(__xludf.DUMMYFUNCTION("""COMPUTED_VALUE"""),2008)</f>
        <v>2008</v>
      </c>
      <c r="G1901" s="1">
        <f ca="1">IFERROR(__xludf.DUMMYFUNCTION("""COMPUTED_VALUE"""),3562)</f>
        <v>3562</v>
      </c>
      <c r="H1901" s="1" t="str">
        <f ca="1">IFERROR(__xludf.DUMMYFUNCTION("""COMPUTED_VALUE"""),"MTLSZ003562A20")</f>
        <v>MTLSZ003562A20</v>
      </c>
      <c r="I1901" s="2">
        <f ca="1">IFERROR(__xludf.DUMMYFUNCTION("""COMPUTED_VALUE"""),44133)</f>
        <v>44133</v>
      </c>
      <c r="J1901" s="2">
        <f ca="1">IFERROR(__xludf.DUMMYFUNCTION("""COMPUTED_VALUE"""),44497)</f>
        <v>44497</v>
      </c>
    </row>
    <row r="1902" spans="1:10" x14ac:dyDescent="0.25">
      <c r="A1902" s="1" t="str">
        <f ca="1">IFERROR(__xludf.DUMMYFUNCTION("""COMPUTED_VALUE"""),"Hajdú TSE")</f>
        <v>Hajdú TSE</v>
      </c>
      <c r="B1902" s="1" t="str">
        <f ca="1">IFERROR(__xludf.DUMMYFUNCTION("""COMPUTED_VALUE"""),"Pásztor Hanna Napsugár")</f>
        <v>Pásztor Hanna Napsugár</v>
      </c>
      <c r="C1902" s="1"/>
      <c r="D1902" s="1" t="str">
        <f ca="1">IFERROR(__xludf.DUMMYFUNCTION("""COMPUTED_VALUE"""),"Nő")</f>
        <v>Nő</v>
      </c>
      <c r="E1902" s="1"/>
      <c r="F1902" s="1">
        <f ca="1">IFERROR(__xludf.DUMMYFUNCTION("""COMPUTED_VALUE"""),2009)</f>
        <v>2009</v>
      </c>
      <c r="G1902" s="1">
        <f ca="1">IFERROR(__xludf.DUMMYFUNCTION("""COMPUTED_VALUE"""),3564)</f>
        <v>3564</v>
      </c>
      <c r="H1902" s="1" t="str">
        <f ca="1">IFERROR(__xludf.DUMMYFUNCTION("""COMPUTED_VALUE"""),"MTLSZ003564A20")</f>
        <v>MTLSZ003564A20</v>
      </c>
      <c r="I1902" s="2">
        <f ca="1">IFERROR(__xludf.DUMMYFUNCTION("""COMPUTED_VALUE"""),44133)</f>
        <v>44133</v>
      </c>
      <c r="J1902" s="2">
        <f ca="1">IFERROR(__xludf.DUMMYFUNCTION("""COMPUTED_VALUE"""),44497)</f>
        <v>44497</v>
      </c>
    </row>
    <row r="1903" spans="1:10" x14ac:dyDescent="0.25">
      <c r="A1903" s="1" t="str">
        <f ca="1">IFERROR(__xludf.DUMMYFUNCTION("""COMPUTED_VALUE"""),"Hajdú TSE")</f>
        <v>Hajdú TSE</v>
      </c>
      <c r="B1903" s="1" t="str">
        <f ca="1">IFERROR(__xludf.DUMMYFUNCTION("""COMPUTED_VALUE"""),"Tóth Fanni")</f>
        <v>Tóth Fanni</v>
      </c>
      <c r="C1903" s="1"/>
      <c r="D1903" s="1" t="str">
        <f ca="1">IFERROR(__xludf.DUMMYFUNCTION("""COMPUTED_VALUE"""),"Nő")</f>
        <v>Nő</v>
      </c>
      <c r="E1903" s="1"/>
      <c r="F1903" s="1">
        <f ca="1">IFERROR(__xludf.DUMMYFUNCTION("""COMPUTED_VALUE"""),2013)</f>
        <v>2013</v>
      </c>
      <c r="G1903" s="1">
        <f ca="1">IFERROR(__xludf.DUMMYFUNCTION("""COMPUTED_VALUE"""),3565)</f>
        <v>3565</v>
      </c>
      <c r="H1903" s="1" t="str">
        <f ca="1">IFERROR(__xludf.DUMMYFUNCTION("""COMPUTED_VALUE"""),"MTLSZ003565A20")</f>
        <v>MTLSZ003565A20</v>
      </c>
      <c r="I1903" s="2">
        <f ca="1">IFERROR(__xludf.DUMMYFUNCTION("""COMPUTED_VALUE"""),44133)</f>
        <v>44133</v>
      </c>
      <c r="J1903" s="2">
        <f ca="1">IFERROR(__xludf.DUMMYFUNCTION("""COMPUTED_VALUE"""),44497)</f>
        <v>44497</v>
      </c>
    </row>
    <row r="1904" spans="1:10" x14ac:dyDescent="0.25">
      <c r="A1904" s="1" t="str">
        <f ca="1">IFERROR(__xludf.DUMMYFUNCTION("""COMPUTED_VALUE"""),"Talentum TSE")</f>
        <v>Talentum TSE</v>
      </c>
      <c r="B1904" s="1" t="str">
        <f ca="1">IFERROR(__xludf.DUMMYFUNCTION("""COMPUTED_VALUE"""),"Lampek Péter Ármen")</f>
        <v>Lampek Péter Ármen</v>
      </c>
      <c r="C1904" s="1"/>
      <c r="D1904" s="1" t="str">
        <f ca="1">IFERROR(__xludf.DUMMYFUNCTION("""COMPUTED_VALUE"""),"Férfi")</f>
        <v>Férfi</v>
      </c>
      <c r="E1904" s="1"/>
      <c r="F1904" s="1">
        <f ca="1">IFERROR(__xludf.DUMMYFUNCTION("""COMPUTED_VALUE"""),2003)</f>
        <v>2003</v>
      </c>
      <c r="G1904" s="1">
        <f ca="1">IFERROR(__xludf.DUMMYFUNCTION("""COMPUTED_VALUE"""),2943)</f>
        <v>2943</v>
      </c>
      <c r="H1904" s="1" t="str">
        <f ca="1">IFERROR(__xludf.DUMMYFUNCTION("""COMPUTED_VALUE"""),"MTLSZ002943A20")</f>
        <v>MTLSZ002943A20</v>
      </c>
      <c r="I1904" s="2">
        <f ca="1">IFERROR(__xludf.DUMMYFUNCTION("""COMPUTED_VALUE"""),44133)</f>
        <v>44133</v>
      </c>
      <c r="J1904" s="2">
        <f ca="1">IFERROR(__xludf.DUMMYFUNCTION("""COMPUTED_VALUE"""),44497)</f>
        <v>44497</v>
      </c>
    </row>
    <row r="1905" spans="1:10" x14ac:dyDescent="0.25">
      <c r="A1905" s="1" t="str">
        <f ca="1">IFERROR(__xludf.DUMMYFUNCTION("""COMPUTED_VALUE"""),"Talentum TSE")</f>
        <v>Talentum TSE</v>
      </c>
      <c r="B1905" s="1" t="str">
        <f ca="1">IFERROR(__xludf.DUMMYFUNCTION("""COMPUTED_VALUE"""),"Prémecz Gergely")</f>
        <v>Prémecz Gergely</v>
      </c>
      <c r="C1905" s="1"/>
      <c r="D1905" s="1" t="str">
        <f ca="1">IFERROR(__xludf.DUMMYFUNCTION("""COMPUTED_VALUE"""),"Férfi")</f>
        <v>Férfi</v>
      </c>
      <c r="E1905" s="1"/>
      <c r="F1905" s="1">
        <f ca="1">IFERROR(__xludf.DUMMYFUNCTION("""COMPUTED_VALUE"""),1977)</f>
        <v>1977</v>
      </c>
      <c r="G1905" s="1">
        <f ca="1">IFERROR(__xludf.DUMMYFUNCTION("""COMPUTED_VALUE"""),3561)</f>
        <v>3561</v>
      </c>
      <c r="H1905" s="1" t="str">
        <f ca="1">IFERROR(__xludf.DUMMYFUNCTION("""COMPUTED_VALUE"""),"MTLSZ003561A20")</f>
        <v>MTLSZ003561A20</v>
      </c>
      <c r="I1905" s="2">
        <f ca="1">IFERROR(__xludf.DUMMYFUNCTION("""COMPUTED_VALUE"""),44133)</f>
        <v>44133</v>
      </c>
      <c r="J1905" s="2">
        <f ca="1">IFERROR(__xludf.DUMMYFUNCTION("""COMPUTED_VALUE"""),44497)</f>
        <v>44497</v>
      </c>
    </row>
    <row r="1906" spans="1:10" x14ac:dyDescent="0.25">
      <c r="A1906" s="1" t="str">
        <f ca="1">IFERROR(__xludf.DUMMYFUNCTION("""COMPUTED_VALUE"""),"VSD")</f>
        <v>VSD</v>
      </c>
      <c r="B1906" s="1" t="str">
        <f ca="1">IFERROR(__xludf.DUMMYFUNCTION("""COMPUTED_VALUE"""),"Szécskay Zoltán")</f>
        <v>Szécskay Zoltán</v>
      </c>
      <c r="C1906" s="1"/>
      <c r="D1906" s="1" t="str">
        <f ca="1">IFERROR(__xludf.DUMMYFUNCTION("""COMPUTED_VALUE"""),"Férfi")</f>
        <v>Férfi</v>
      </c>
      <c r="E1906" s="1"/>
      <c r="F1906" s="1">
        <f ca="1">IFERROR(__xludf.DUMMYFUNCTION("""COMPUTED_VALUE"""),1970)</f>
        <v>1970</v>
      </c>
      <c r="G1906" s="1">
        <f ca="1">IFERROR(__xludf.DUMMYFUNCTION("""COMPUTED_VALUE"""),2441)</f>
        <v>2441</v>
      </c>
      <c r="H1906" s="1" t="str">
        <f ca="1">IFERROR(__xludf.DUMMYFUNCTION("""COMPUTED_VALUE"""),"MTLSZ002441A20")</f>
        <v>MTLSZ002441A20</v>
      </c>
      <c r="I1906" s="2">
        <f ca="1">IFERROR(__xludf.DUMMYFUNCTION("""COMPUTED_VALUE"""),44133)</f>
        <v>44133</v>
      </c>
      <c r="J1906" s="2">
        <f ca="1">IFERROR(__xludf.DUMMYFUNCTION("""COMPUTED_VALUE"""),44497)</f>
        <v>44497</v>
      </c>
    </row>
    <row r="1907" spans="1:10" x14ac:dyDescent="0.25">
      <c r="A1907" s="1" t="str">
        <f ca="1">IFERROR(__xludf.DUMMYFUNCTION("""COMPUTED_VALUE"""),"OSC")</f>
        <v>OSC</v>
      </c>
      <c r="B1907" s="1" t="str">
        <f ca="1">IFERROR(__xludf.DUMMYFUNCTION("""COMPUTED_VALUE"""),"Hocza Bence")</f>
        <v>Hocza Bence</v>
      </c>
      <c r="C1907" s="1"/>
      <c r="D1907" s="1" t="str">
        <f ca="1">IFERROR(__xludf.DUMMYFUNCTION("""COMPUTED_VALUE"""),"Férfi")</f>
        <v>Férfi</v>
      </c>
      <c r="E1907" s="1"/>
      <c r="F1907" s="1">
        <f ca="1">IFERROR(__xludf.DUMMYFUNCTION("""COMPUTED_VALUE"""),2007)</f>
        <v>2007</v>
      </c>
      <c r="G1907" s="1">
        <f ca="1">IFERROR(__xludf.DUMMYFUNCTION("""COMPUTED_VALUE"""),3559)</f>
        <v>3559</v>
      </c>
      <c r="H1907" s="1" t="str">
        <f ca="1">IFERROR(__xludf.DUMMYFUNCTION("""COMPUTED_VALUE"""),"MTLSZ003559A20")</f>
        <v>MTLSZ003559A20</v>
      </c>
      <c r="I1907" s="2">
        <f ca="1">IFERROR(__xludf.DUMMYFUNCTION("""COMPUTED_VALUE"""),44130)</f>
        <v>44130</v>
      </c>
      <c r="J1907" s="2">
        <f ca="1">IFERROR(__xludf.DUMMYFUNCTION("""COMPUTED_VALUE"""),44494)</f>
        <v>44494</v>
      </c>
    </row>
    <row r="1908" spans="1:10" x14ac:dyDescent="0.25">
      <c r="A1908" s="1" t="str">
        <f ca="1">IFERROR(__xludf.DUMMYFUNCTION("""COMPUTED_VALUE"""),"OSC")</f>
        <v>OSC</v>
      </c>
      <c r="B1908" s="1" t="str">
        <f ca="1">IFERROR(__xludf.DUMMYFUNCTION("""COMPUTED_VALUE"""),"Panda Om")</f>
        <v>Panda Om</v>
      </c>
      <c r="C1908" s="1"/>
      <c r="D1908" s="1" t="str">
        <f ca="1">IFERROR(__xludf.DUMMYFUNCTION("""COMPUTED_VALUE"""),"Férfi")</f>
        <v>Férfi</v>
      </c>
      <c r="E1908" s="1"/>
      <c r="F1908" s="1">
        <f ca="1">IFERROR(__xludf.DUMMYFUNCTION("""COMPUTED_VALUE"""),2007)</f>
        <v>2007</v>
      </c>
      <c r="G1908" s="1">
        <f ca="1">IFERROR(__xludf.DUMMYFUNCTION("""COMPUTED_VALUE"""),3558)</f>
        <v>3558</v>
      </c>
      <c r="H1908" s="1" t="str">
        <f ca="1">IFERROR(__xludf.DUMMYFUNCTION("""COMPUTED_VALUE"""),"MTLSZ003558A20")</f>
        <v>MTLSZ003558A20</v>
      </c>
      <c r="I1908" s="2">
        <f ca="1">IFERROR(__xludf.DUMMYFUNCTION("""COMPUTED_VALUE"""),44130)</f>
        <v>44130</v>
      </c>
      <c r="J1908" s="2">
        <f ca="1">IFERROR(__xludf.DUMMYFUNCTION("""COMPUTED_VALUE"""),44494)</f>
        <v>44494</v>
      </c>
    </row>
    <row r="1909" spans="1:10" x14ac:dyDescent="0.25">
      <c r="A1909" s="1" t="str">
        <f ca="1">IFERROR(__xludf.DUMMYFUNCTION("""COMPUTED_VALUE"""),"T(r)ollas SE")</f>
        <v>T(r)ollas SE</v>
      </c>
      <c r="B1909" s="1" t="str">
        <f ca="1">IFERROR(__xludf.DUMMYFUNCTION("""COMPUTED_VALUE"""),"Wang Mia Wenxiao")</f>
        <v>Wang Mia Wenxiao</v>
      </c>
      <c r="C1909" s="1"/>
      <c r="D1909" s="1" t="str">
        <f ca="1">IFERROR(__xludf.DUMMYFUNCTION("""COMPUTED_VALUE"""),"Nő")</f>
        <v>Nő</v>
      </c>
      <c r="E1909" s="1"/>
      <c r="F1909" s="1">
        <f ca="1">IFERROR(__xludf.DUMMYFUNCTION("""COMPUTED_VALUE"""),1987)</f>
        <v>1987</v>
      </c>
      <c r="G1909" s="1">
        <f ca="1">IFERROR(__xludf.DUMMYFUNCTION("""COMPUTED_VALUE"""),3473)</f>
        <v>3473</v>
      </c>
      <c r="H1909" s="1" t="str">
        <f ca="1">IFERROR(__xludf.DUMMYFUNCTION("""COMPUTED_VALUE"""),"MTLSZ003473A20")</f>
        <v>MTLSZ003473A20</v>
      </c>
      <c r="I1909" s="2">
        <f ca="1">IFERROR(__xludf.DUMMYFUNCTION("""COMPUTED_VALUE"""),44128)</f>
        <v>44128</v>
      </c>
      <c r="J1909" s="2">
        <f ca="1">IFERROR(__xludf.DUMMYFUNCTION("""COMPUTED_VALUE"""),44492)</f>
        <v>44492</v>
      </c>
    </row>
    <row r="1910" spans="1:10" x14ac:dyDescent="0.25">
      <c r="A1910" s="1" t="str">
        <f ca="1">IFERROR(__xludf.DUMMYFUNCTION("""COMPUTED_VALUE"""),"MAFC")</f>
        <v>MAFC</v>
      </c>
      <c r="B1910" s="1" t="str">
        <f ca="1">IFERROR(__xludf.DUMMYFUNCTION("""COMPUTED_VALUE"""),"Horváth Eszter")</f>
        <v>Horváth Eszter</v>
      </c>
      <c r="C1910" s="1"/>
      <c r="D1910" s="1" t="str">
        <f ca="1">IFERROR(__xludf.DUMMYFUNCTION("""COMPUTED_VALUE"""),"Nő")</f>
        <v>Nő</v>
      </c>
      <c r="E1910" s="1"/>
      <c r="F1910" s="1">
        <f ca="1">IFERROR(__xludf.DUMMYFUNCTION("""COMPUTED_VALUE"""),2003)</f>
        <v>2003</v>
      </c>
      <c r="G1910" s="1">
        <f ca="1">IFERROR(__xludf.DUMMYFUNCTION("""COMPUTED_VALUE"""),2945)</f>
        <v>2945</v>
      </c>
      <c r="H1910" s="1" t="str">
        <f ca="1">IFERROR(__xludf.DUMMYFUNCTION("""COMPUTED_VALUE"""),"MTLSZ002945A20")</f>
        <v>MTLSZ002945A20</v>
      </c>
      <c r="I1910" s="2">
        <f ca="1">IFERROR(__xludf.DUMMYFUNCTION("""COMPUTED_VALUE"""),44126)</f>
        <v>44126</v>
      </c>
      <c r="J1910" s="2">
        <f ca="1">IFERROR(__xludf.DUMMYFUNCTION("""COMPUTED_VALUE"""),44490)</f>
        <v>44490</v>
      </c>
    </row>
    <row r="1911" spans="1:10" x14ac:dyDescent="0.25">
      <c r="A1911" s="1" t="str">
        <f ca="1">IFERROR(__xludf.DUMMYFUNCTION("""COMPUTED_VALUE"""),"MAFC")</f>
        <v>MAFC</v>
      </c>
      <c r="B1911" s="1" t="str">
        <f ca="1">IFERROR(__xludf.DUMMYFUNCTION("""COMPUTED_VALUE"""),"Nagy Vanda")</f>
        <v>Nagy Vanda</v>
      </c>
      <c r="C1911" s="1"/>
      <c r="D1911" s="1" t="str">
        <f ca="1">IFERROR(__xludf.DUMMYFUNCTION("""COMPUTED_VALUE"""),"Nő")</f>
        <v>Nő</v>
      </c>
      <c r="E1911" s="1"/>
      <c r="F1911" s="1">
        <f ca="1">IFERROR(__xludf.DUMMYFUNCTION("""COMPUTED_VALUE"""),1999)</f>
        <v>1999</v>
      </c>
      <c r="G1911" s="1">
        <f ca="1">IFERROR(__xludf.DUMMYFUNCTION("""COMPUTED_VALUE"""),2319)</f>
        <v>2319</v>
      </c>
      <c r="H1911" s="1" t="str">
        <f ca="1">IFERROR(__xludf.DUMMYFUNCTION("""COMPUTED_VALUE"""),"MTLSZ002319A20")</f>
        <v>MTLSZ002319A20</v>
      </c>
      <c r="I1911" s="2">
        <f ca="1">IFERROR(__xludf.DUMMYFUNCTION("""COMPUTED_VALUE"""),44126)</f>
        <v>44126</v>
      </c>
      <c r="J1911" s="2">
        <f ca="1">IFERROR(__xludf.DUMMYFUNCTION("""COMPUTED_VALUE"""),44490)</f>
        <v>44490</v>
      </c>
    </row>
    <row r="1912" spans="1:10" x14ac:dyDescent="0.25">
      <c r="A1912" s="1" t="str">
        <f ca="1">IFERROR(__xludf.DUMMYFUNCTION("""COMPUTED_VALUE"""),"OSC")</f>
        <v>OSC</v>
      </c>
      <c r="B1912" s="1" t="str">
        <f ca="1">IFERROR(__xludf.DUMMYFUNCTION("""COMPUTED_VALUE"""),"Agarwal Vivaan")</f>
        <v>Agarwal Vivaan</v>
      </c>
      <c r="C1912" s="1"/>
      <c r="D1912" s="1" t="str">
        <f ca="1">IFERROR(__xludf.DUMMYFUNCTION("""COMPUTED_VALUE"""),"Férfi")</f>
        <v>Férfi</v>
      </c>
      <c r="E1912" s="1"/>
      <c r="F1912" s="1">
        <f ca="1">IFERROR(__xludf.DUMMYFUNCTION("""COMPUTED_VALUE"""),2007)</f>
        <v>2007</v>
      </c>
      <c r="G1912" s="1">
        <f ca="1">IFERROR(__xludf.DUMMYFUNCTION("""COMPUTED_VALUE"""),3380)</f>
        <v>3380</v>
      </c>
      <c r="H1912" s="1" t="str">
        <f ca="1">IFERROR(__xludf.DUMMYFUNCTION("""COMPUTED_VALUE"""),"MTLSZ003380A20")</f>
        <v>MTLSZ003380A20</v>
      </c>
      <c r="I1912" s="2">
        <f ca="1">IFERROR(__xludf.DUMMYFUNCTION("""COMPUTED_VALUE"""),44126)</f>
        <v>44126</v>
      </c>
      <c r="J1912" s="2">
        <f ca="1">IFERROR(__xludf.DUMMYFUNCTION("""COMPUTED_VALUE"""),44490)</f>
        <v>44490</v>
      </c>
    </row>
    <row r="1913" spans="1:10" x14ac:dyDescent="0.25">
      <c r="A1913" s="1" t="str">
        <f ca="1">IFERROR(__xludf.DUMMYFUNCTION("""COMPUTED_VALUE"""),"OSC")</f>
        <v>OSC</v>
      </c>
      <c r="B1913" s="1" t="str">
        <f ca="1">IFERROR(__xludf.DUMMYFUNCTION("""COMPUTED_VALUE"""),"Barla-Szabó Anna")</f>
        <v>Barla-Szabó Anna</v>
      </c>
      <c r="C1913" s="1"/>
      <c r="D1913" s="1" t="str">
        <f ca="1">IFERROR(__xludf.DUMMYFUNCTION("""COMPUTED_VALUE"""),"Nő")</f>
        <v>Nő</v>
      </c>
      <c r="E1913" s="1"/>
      <c r="F1913" s="1">
        <f ca="1">IFERROR(__xludf.DUMMYFUNCTION("""COMPUTED_VALUE"""),2005)</f>
        <v>2005</v>
      </c>
      <c r="G1913" s="1">
        <f ca="1">IFERROR(__xludf.DUMMYFUNCTION("""COMPUTED_VALUE"""),3384)</f>
        <v>3384</v>
      </c>
      <c r="H1913" s="1" t="str">
        <f ca="1">IFERROR(__xludf.DUMMYFUNCTION("""COMPUTED_VALUE"""),"MTLSZ003384A20")</f>
        <v>MTLSZ003384A20</v>
      </c>
      <c r="I1913" s="2">
        <f ca="1">IFERROR(__xludf.DUMMYFUNCTION("""COMPUTED_VALUE"""),44126)</f>
        <v>44126</v>
      </c>
      <c r="J1913" s="2">
        <f ca="1">IFERROR(__xludf.DUMMYFUNCTION("""COMPUTED_VALUE"""),44490)</f>
        <v>44490</v>
      </c>
    </row>
    <row r="1914" spans="1:10" x14ac:dyDescent="0.25">
      <c r="A1914" s="1" t="str">
        <f ca="1">IFERROR(__xludf.DUMMYFUNCTION("""COMPUTED_VALUE"""),"OSC")</f>
        <v>OSC</v>
      </c>
      <c r="B1914" s="1" t="str">
        <f ca="1">IFERROR(__xludf.DUMMYFUNCTION("""COMPUTED_VALUE"""),"Horváth Laura")</f>
        <v>Horváth Laura</v>
      </c>
      <c r="C1914" s="1"/>
      <c r="D1914" s="1" t="str">
        <f ca="1">IFERROR(__xludf.DUMMYFUNCTION("""COMPUTED_VALUE"""),"Nő")</f>
        <v>Nő</v>
      </c>
      <c r="E1914" s="1"/>
      <c r="F1914" s="1">
        <f ca="1">IFERROR(__xludf.DUMMYFUNCTION("""COMPUTED_VALUE"""),2001)</f>
        <v>2001</v>
      </c>
      <c r="G1914" s="1">
        <f ca="1">IFERROR(__xludf.DUMMYFUNCTION("""COMPUTED_VALUE"""),2949)</f>
        <v>2949</v>
      </c>
      <c r="H1914" s="1" t="str">
        <f ca="1">IFERROR(__xludf.DUMMYFUNCTION("""COMPUTED_VALUE"""),"MTLSZ002949A20")</f>
        <v>MTLSZ002949A20</v>
      </c>
      <c r="I1914" s="2">
        <f ca="1">IFERROR(__xludf.DUMMYFUNCTION("""COMPUTED_VALUE"""),44126)</f>
        <v>44126</v>
      </c>
      <c r="J1914" s="2">
        <f ca="1">IFERROR(__xludf.DUMMYFUNCTION("""COMPUTED_VALUE"""),44490)</f>
        <v>44490</v>
      </c>
    </row>
    <row r="1915" spans="1:10" x14ac:dyDescent="0.25">
      <c r="A1915" s="1" t="str">
        <f ca="1">IFERROR(__xludf.DUMMYFUNCTION("""COMPUTED_VALUE"""),"OSC")</f>
        <v>OSC</v>
      </c>
      <c r="B1915" s="1" t="str">
        <f ca="1">IFERROR(__xludf.DUMMYFUNCTION("""COMPUTED_VALUE"""),"Nguyen Nóra")</f>
        <v>Nguyen Nóra</v>
      </c>
      <c r="C1915" s="1"/>
      <c r="D1915" s="1" t="str">
        <f ca="1">IFERROR(__xludf.DUMMYFUNCTION("""COMPUTED_VALUE"""),"Nő")</f>
        <v>Nő</v>
      </c>
      <c r="E1915" s="1"/>
      <c r="F1915" s="1">
        <f ca="1">IFERROR(__xludf.DUMMYFUNCTION("""COMPUTED_VALUE"""),2004)</f>
        <v>2004</v>
      </c>
      <c r="G1915" s="1">
        <f ca="1">IFERROR(__xludf.DUMMYFUNCTION("""COMPUTED_VALUE"""),2835)</f>
        <v>2835</v>
      </c>
      <c r="H1915" s="1" t="str">
        <f ca="1">IFERROR(__xludf.DUMMYFUNCTION("""COMPUTED_VALUE"""),"MTLSZ002835A20")</f>
        <v>MTLSZ002835A20</v>
      </c>
      <c r="I1915" s="2">
        <f ca="1">IFERROR(__xludf.DUMMYFUNCTION("""COMPUTED_VALUE"""),44126)</f>
        <v>44126</v>
      </c>
      <c r="J1915" s="2">
        <f ca="1">IFERROR(__xludf.DUMMYFUNCTION("""COMPUTED_VALUE"""),44490)</f>
        <v>44490</v>
      </c>
    </row>
    <row r="1916" spans="1:10" x14ac:dyDescent="0.25">
      <c r="A1916" s="1" t="str">
        <f ca="1">IFERROR(__xludf.DUMMYFUNCTION("""COMPUTED_VALUE"""),"Tisza TSE")</f>
        <v>Tisza TSE</v>
      </c>
      <c r="B1916" s="1" t="str">
        <f ca="1">IFERROR(__xludf.DUMMYFUNCTION("""COMPUTED_VALUE"""),"Wulandari Silvi")</f>
        <v>Wulandari Silvi</v>
      </c>
      <c r="C1916" s="1"/>
      <c r="D1916" s="1" t="str">
        <f ca="1">IFERROR(__xludf.DUMMYFUNCTION("""COMPUTED_VALUE"""),"Nő")</f>
        <v>Nő</v>
      </c>
      <c r="E1916" s="1"/>
      <c r="F1916" s="1">
        <f ca="1">IFERROR(__xludf.DUMMYFUNCTION("""COMPUTED_VALUE"""),1999)</f>
        <v>1999</v>
      </c>
      <c r="G1916" s="1">
        <f ca="1">IFERROR(__xludf.DUMMYFUNCTION("""COMPUTED_VALUE"""),3426)</f>
        <v>3426</v>
      </c>
      <c r="H1916" s="1" t="str">
        <f ca="1">IFERROR(__xludf.DUMMYFUNCTION("""COMPUTED_VALUE"""),"MTLSZ003426A20")</f>
        <v>MTLSZ003426A20</v>
      </c>
      <c r="I1916" s="2">
        <f ca="1">IFERROR(__xludf.DUMMYFUNCTION("""COMPUTED_VALUE"""),44126)</f>
        <v>44126</v>
      </c>
      <c r="J1916" s="2">
        <f ca="1">IFERROR(__xludf.DUMMYFUNCTION("""COMPUTED_VALUE"""),44490)</f>
        <v>44490</v>
      </c>
    </row>
    <row r="1917" spans="1:10" x14ac:dyDescent="0.25">
      <c r="A1917" s="1" t="str">
        <f ca="1">IFERROR(__xludf.DUMMYFUNCTION("""COMPUTED_VALUE"""),"T(r)ollas SE")</f>
        <v>T(r)ollas SE</v>
      </c>
      <c r="B1917" s="1" t="str">
        <f ca="1">IFERROR(__xludf.DUMMYFUNCTION("""COMPUTED_VALUE"""),"Poprócsi István")</f>
        <v>Poprócsi István</v>
      </c>
      <c r="C1917" s="1"/>
      <c r="D1917" s="1" t="str">
        <f ca="1">IFERROR(__xludf.DUMMYFUNCTION("""COMPUTED_VALUE"""),"Férfi")</f>
        <v>Férfi</v>
      </c>
      <c r="E1917" s="1"/>
      <c r="F1917" s="1">
        <f ca="1">IFERROR(__xludf.DUMMYFUNCTION("""COMPUTED_VALUE"""),1981)</f>
        <v>1981</v>
      </c>
      <c r="G1917" s="1">
        <f ca="1">IFERROR(__xludf.DUMMYFUNCTION("""COMPUTED_VALUE"""),3329)</f>
        <v>3329</v>
      </c>
      <c r="H1917" s="1" t="str">
        <f ca="1">IFERROR(__xludf.DUMMYFUNCTION("""COMPUTED_VALUE"""),"MTLSZ003329A20")</f>
        <v>MTLSZ003329A20</v>
      </c>
      <c r="I1917" s="2">
        <f ca="1">IFERROR(__xludf.DUMMYFUNCTION("""COMPUTED_VALUE"""),44126)</f>
        <v>44126</v>
      </c>
      <c r="J1917" s="2">
        <f ca="1">IFERROR(__xludf.DUMMYFUNCTION("""COMPUTED_VALUE"""),44490)</f>
        <v>44490</v>
      </c>
    </row>
    <row r="1918" spans="1:10" x14ac:dyDescent="0.25">
      <c r="A1918" s="1" t="str">
        <f ca="1">IFERROR(__xludf.DUMMYFUNCTION("""COMPUTED_VALUE"""),"T(r)ollas SE")</f>
        <v>T(r)ollas SE</v>
      </c>
      <c r="B1918" s="1" t="str">
        <f ca="1">IFERROR(__xludf.DUMMYFUNCTION("""COMPUTED_VALUE"""),"Reisz Aletta")</f>
        <v>Reisz Aletta</v>
      </c>
      <c r="C1918" s="1"/>
      <c r="D1918" s="1" t="str">
        <f ca="1">IFERROR(__xludf.DUMMYFUNCTION("""COMPUTED_VALUE"""),"Nő")</f>
        <v>Nő</v>
      </c>
      <c r="E1918" s="1"/>
      <c r="F1918" s="1">
        <f ca="1">IFERROR(__xludf.DUMMYFUNCTION("""COMPUTED_VALUE"""),1996)</f>
        <v>1996</v>
      </c>
      <c r="G1918" s="1">
        <f ca="1">IFERROR(__xludf.DUMMYFUNCTION("""COMPUTED_VALUE"""),3159)</f>
        <v>3159</v>
      </c>
      <c r="H1918" s="1" t="str">
        <f ca="1">IFERROR(__xludf.DUMMYFUNCTION("""COMPUTED_VALUE"""),"MTLSZ003159A20")</f>
        <v>MTLSZ003159A20</v>
      </c>
      <c r="I1918" s="2">
        <f ca="1">IFERROR(__xludf.DUMMYFUNCTION("""COMPUTED_VALUE"""),44126)</f>
        <v>44126</v>
      </c>
      <c r="J1918" s="2">
        <f ca="1">IFERROR(__xludf.DUMMYFUNCTION("""COMPUTED_VALUE"""),44490)</f>
        <v>44490</v>
      </c>
    </row>
    <row r="1919" spans="1:10" x14ac:dyDescent="0.25">
      <c r="A1919" s="1" t="str">
        <f ca="1">IFERROR(__xludf.DUMMYFUNCTION("""COMPUTED_VALUE"""),"Újpest TSE")</f>
        <v>Újpest TSE</v>
      </c>
      <c r="B1919" s="1" t="str">
        <f ca="1">IFERROR(__xludf.DUMMYFUNCTION("""COMPUTED_VALUE"""),"Márki Attila")</f>
        <v>Márki Attila</v>
      </c>
      <c r="C1919" s="1"/>
      <c r="D1919" s="1" t="str">
        <f ca="1">IFERROR(__xludf.DUMMYFUNCTION("""COMPUTED_VALUE"""),"Férfi")</f>
        <v>Férfi</v>
      </c>
      <c r="E1919" s="1"/>
      <c r="F1919" s="1">
        <f ca="1">IFERROR(__xludf.DUMMYFUNCTION("""COMPUTED_VALUE"""),1999)</f>
        <v>1999</v>
      </c>
      <c r="G1919" s="1">
        <f ca="1">IFERROR(__xludf.DUMMYFUNCTION("""COMPUTED_VALUE"""),2273)</f>
        <v>2273</v>
      </c>
      <c r="H1919" s="1" t="str">
        <f ca="1">IFERROR(__xludf.DUMMYFUNCTION("""COMPUTED_VALUE"""),"MTLSZ002273A20")</f>
        <v>MTLSZ002273A20</v>
      </c>
      <c r="I1919" s="2">
        <f ca="1">IFERROR(__xludf.DUMMYFUNCTION("""COMPUTED_VALUE"""),44125)</f>
        <v>44125</v>
      </c>
      <c r="J1919" s="2">
        <f ca="1">IFERROR(__xludf.DUMMYFUNCTION("""COMPUTED_VALUE"""),44489)</f>
        <v>44489</v>
      </c>
    </row>
    <row r="1920" spans="1:10" x14ac:dyDescent="0.25">
      <c r="A1920" s="1" t="str">
        <f ca="1">IFERROR(__xludf.DUMMYFUNCTION("""COMPUTED_VALUE"""),"Multi Alarm SE")</f>
        <v>Multi Alarm SE</v>
      </c>
      <c r="B1920" s="1" t="str">
        <f ca="1">IFERROR(__xludf.DUMMYFUNCTION("""COMPUTED_VALUE"""),"McVean Gregor")</f>
        <v>McVean Gregor</v>
      </c>
      <c r="C1920" s="1"/>
      <c r="D1920" s="1" t="str">
        <f ca="1">IFERROR(__xludf.DUMMYFUNCTION("""COMPUTED_VALUE"""),"Férfi")</f>
        <v>Férfi</v>
      </c>
      <c r="E1920" s="1"/>
      <c r="F1920" s="1">
        <f ca="1">IFERROR(__xludf.DUMMYFUNCTION("""COMPUTED_VALUE"""),1993)</f>
        <v>1993</v>
      </c>
      <c r="G1920" s="1">
        <f ca="1">IFERROR(__xludf.DUMMYFUNCTION("""COMPUTED_VALUE"""),3167)</f>
        <v>3167</v>
      </c>
      <c r="H1920" s="1" t="str">
        <f ca="1">IFERROR(__xludf.DUMMYFUNCTION("""COMPUTED_VALUE"""),"MTLSZ003167A20")</f>
        <v>MTLSZ003167A20</v>
      </c>
      <c r="I1920" s="2">
        <f ca="1">IFERROR(__xludf.DUMMYFUNCTION("""COMPUTED_VALUE"""),44124)</f>
        <v>44124</v>
      </c>
      <c r="J1920" s="2">
        <f ca="1">IFERROR(__xludf.DUMMYFUNCTION("""COMPUTED_VALUE"""),44488)</f>
        <v>44488</v>
      </c>
    </row>
    <row r="1921" spans="1:10" x14ac:dyDescent="0.25">
      <c r="A1921" s="1" t="str">
        <f ca="1">IFERROR(__xludf.DUMMYFUNCTION("""COMPUTED_VALUE"""),"Talentum TSE")</f>
        <v>Talentum TSE</v>
      </c>
      <c r="B1921" s="1" t="str">
        <f ca="1">IFERROR(__xludf.DUMMYFUNCTION("""COMPUTED_VALUE"""),"Elek Bendegúz")</f>
        <v>Elek Bendegúz</v>
      </c>
      <c r="C1921" s="1"/>
      <c r="D1921" s="1" t="str">
        <f ca="1">IFERROR(__xludf.DUMMYFUNCTION("""COMPUTED_VALUE"""),"Férfi")</f>
        <v>Férfi</v>
      </c>
      <c r="E1921" s="1"/>
      <c r="F1921" s="1">
        <f ca="1">IFERROR(__xludf.DUMMYFUNCTION("""COMPUTED_VALUE"""),2005)</f>
        <v>2005</v>
      </c>
      <c r="G1921" s="1">
        <f ca="1">IFERROR(__xludf.DUMMYFUNCTION("""COMPUTED_VALUE"""),3220)</f>
        <v>3220</v>
      </c>
      <c r="H1921" s="1" t="str">
        <f ca="1">IFERROR(__xludf.DUMMYFUNCTION("""COMPUTED_VALUE"""),"MTLSZ003220A20")</f>
        <v>MTLSZ003220A20</v>
      </c>
      <c r="I1921" s="2">
        <f ca="1">IFERROR(__xludf.DUMMYFUNCTION("""COMPUTED_VALUE"""),44124)</f>
        <v>44124</v>
      </c>
      <c r="J1921" s="2">
        <f ca="1">IFERROR(__xludf.DUMMYFUNCTION("""COMPUTED_VALUE"""),44488)</f>
        <v>44488</v>
      </c>
    </row>
    <row r="1922" spans="1:10" x14ac:dyDescent="0.25">
      <c r="A1922" s="1" t="str">
        <f ca="1">IFERROR(__xludf.DUMMYFUNCTION("""COMPUTED_VALUE"""),"Talentum TSE")</f>
        <v>Talentum TSE</v>
      </c>
      <c r="B1922" s="1" t="str">
        <f ca="1">IFERROR(__xludf.DUMMYFUNCTION("""COMPUTED_VALUE"""),"Gál Csongor")</f>
        <v>Gál Csongor</v>
      </c>
      <c r="C1922" s="1"/>
      <c r="D1922" s="1" t="str">
        <f ca="1">IFERROR(__xludf.DUMMYFUNCTION("""COMPUTED_VALUE"""),"Férfi")</f>
        <v>Férfi</v>
      </c>
      <c r="E1922" s="1"/>
      <c r="F1922" s="1">
        <f ca="1">IFERROR(__xludf.DUMMYFUNCTION("""COMPUTED_VALUE"""),2007)</f>
        <v>2007</v>
      </c>
      <c r="G1922" s="1">
        <f ca="1">IFERROR(__xludf.DUMMYFUNCTION("""COMPUTED_VALUE"""),3224)</f>
        <v>3224</v>
      </c>
      <c r="H1922" s="1" t="str">
        <f ca="1">IFERROR(__xludf.DUMMYFUNCTION("""COMPUTED_VALUE"""),"MTLSZ003224A20")</f>
        <v>MTLSZ003224A20</v>
      </c>
      <c r="I1922" s="2">
        <f ca="1">IFERROR(__xludf.DUMMYFUNCTION("""COMPUTED_VALUE"""),44124)</f>
        <v>44124</v>
      </c>
      <c r="J1922" s="2">
        <f ca="1">IFERROR(__xludf.DUMMYFUNCTION("""COMPUTED_VALUE"""),44488)</f>
        <v>44488</v>
      </c>
    </row>
    <row r="1923" spans="1:10" x14ac:dyDescent="0.25">
      <c r="A1923" s="1" t="str">
        <f ca="1">IFERROR(__xludf.DUMMYFUNCTION("""COMPUTED_VALUE"""),"Talentum TSE")</f>
        <v>Talentum TSE</v>
      </c>
      <c r="B1923" s="1" t="str">
        <f ca="1">IFERROR(__xludf.DUMMYFUNCTION("""COMPUTED_VALUE"""),"Gál Marcell")</f>
        <v>Gál Marcell</v>
      </c>
      <c r="C1923" s="1"/>
      <c r="D1923" s="1" t="str">
        <f ca="1">IFERROR(__xludf.DUMMYFUNCTION("""COMPUTED_VALUE"""),"Férfi")</f>
        <v>Férfi</v>
      </c>
      <c r="E1923" s="1"/>
      <c r="F1923" s="1">
        <f ca="1">IFERROR(__xludf.DUMMYFUNCTION("""COMPUTED_VALUE"""),2005)</f>
        <v>2005</v>
      </c>
      <c r="G1923" s="1">
        <f ca="1">IFERROR(__xludf.DUMMYFUNCTION("""COMPUTED_VALUE"""),3223)</f>
        <v>3223</v>
      </c>
      <c r="H1923" s="1" t="str">
        <f ca="1">IFERROR(__xludf.DUMMYFUNCTION("""COMPUTED_VALUE"""),"MTLSZ003223A20")</f>
        <v>MTLSZ003223A20</v>
      </c>
      <c r="I1923" s="2">
        <f ca="1">IFERROR(__xludf.DUMMYFUNCTION("""COMPUTED_VALUE"""),44124)</f>
        <v>44124</v>
      </c>
      <c r="J1923" s="2">
        <f ca="1">IFERROR(__xludf.DUMMYFUNCTION("""COMPUTED_VALUE"""),44488)</f>
        <v>44488</v>
      </c>
    </row>
    <row r="1924" spans="1:10" x14ac:dyDescent="0.25">
      <c r="A1924" s="1" t="str">
        <f ca="1">IFERROR(__xludf.DUMMYFUNCTION("""COMPUTED_VALUE"""),"Talentum TSE")</f>
        <v>Talentum TSE</v>
      </c>
      <c r="B1924" s="1" t="str">
        <f ca="1">IFERROR(__xludf.DUMMYFUNCTION("""COMPUTED_VALUE"""),"Horváth Martin")</f>
        <v>Horváth Martin</v>
      </c>
      <c r="C1924" s="1"/>
      <c r="D1924" s="1" t="str">
        <f ca="1">IFERROR(__xludf.DUMMYFUNCTION("""COMPUTED_VALUE"""),"Férfi")</f>
        <v>Férfi</v>
      </c>
      <c r="E1924" s="1"/>
      <c r="F1924" s="1">
        <f ca="1">IFERROR(__xludf.DUMMYFUNCTION("""COMPUTED_VALUE"""),1999)</f>
        <v>1999</v>
      </c>
      <c r="G1924" s="1">
        <f ca="1">IFERROR(__xludf.DUMMYFUNCTION("""COMPUTED_VALUE"""),2922)</f>
        <v>2922</v>
      </c>
      <c r="H1924" s="1" t="str">
        <f ca="1">IFERROR(__xludf.DUMMYFUNCTION("""COMPUTED_VALUE"""),"MTLSZ002922A20")</f>
        <v>MTLSZ002922A20</v>
      </c>
      <c r="I1924" s="2">
        <f ca="1">IFERROR(__xludf.DUMMYFUNCTION("""COMPUTED_VALUE"""),44124)</f>
        <v>44124</v>
      </c>
      <c r="J1924" s="2">
        <f ca="1">IFERROR(__xludf.DUMMYFUNCTION("""COMPUTED_VALUE"""),44488)</f>
        <v>44488</v>
      </c>
    </row>
    <row r="1925" spans="1:10" x14ac:dyDescent="0.25">
      <c r="A1925" s="1" t="str">
        <f ca="1">IFERROR(__xludf.DUMMYFUNCTION("""COMPUTED_VALUE"""),"Talentum TSE")</f>
        <v>Talentum TSE</v>
      </c>
      <c r="B1925" s="1" t="str">
        <f ca="1">IFERROR(__xludf.DUMMYFUNCTION("""COMPUTED_VALUE"""),"Szőke Richárd")</f>
        <v>Szőke Richárd</v>
      </c>
      <c r="C1925" s="1"/>
      <c r="D1925" s="1" t="str">
        <f ca="1">IFERROR(__xludf.DUMMYFUNCTION("""COMPUTED_VALUE"""),"Férfi")</f>
        <v>Férfi</v>
      </c>
      <c r="E1925" s="1"/>
      <c r="F1925" s="1">
        <f ca="1">IFERROR(__xludf.DUMMYFUNCTION("""COMPUTED_VALUE"""),2002)</f>
        <v>2002</v>
      </c>
      <c r="G1925" s="1">
        <f ca="1">IFERROR(__xludf.DUMMYFUNCTION("""COMPUTED_VALUE"""),3182)</f>
        <v>3182</v>
      </c>
      <c r="H1925" s="1" t="str">
        <f ca="1">IFERROR(__xludf.DUMMYFUNCTION("""COMPUTED_VALUE"""),"MTLSZ003182A20")</f>
        <v>MTLSZ003182A20</v>
      </c>
      <c r="I1925" s="2">
        <f ca="1">IFERROR(__xludf.DUMMYFUNCTION("""COMPUTED_VALUE"""),44124)</f>
        <v>44124</v>
      </c>
      <c r="J1925" s="2">
        <f ca="1">IFERROR(__xludf.DUMMYFUNCTION("""COMPUTED_VALUE"""),44488)</f>
        <v>44488</v>
      </c>
    </row>
    <row r="1926" spans="1:10" x14ac:dyDescent="0.25">
      <c r="A1926" s="1" t="str">
        <f ca="1">IFERROR(__xludf.DUMMYFUNCTION("""COMPUTED_VALUE"""),"Újpest TSE")</f>
        <v>Újpest TSE</v>
      </c>
      <c r="B1926" s="1" t="str">
        <f ca="1">IFERROR(__xludf.DUMMYFUNCTION("""COMPUTED_VALUE"""),"Bekó Anna")</f>
        <v>Bekó Anna</v>
      </c>
      <c r="C1926" s="1"/>
      <c r="D1926" s="1" t="str">
        <f ca="1">IFERROR(__xludf.DUMMYFUNCTION("""COMPUTED_VALUE"""),"Nő")</f>
        <v>Nő</v>
      </c>
      <c r="E1926" s="1"/>
      <c r="F1926" s="1">
        <f ca="1">IFERROR(__xludf.DUMMYFUNCTION("""COMPUTED_VALUE"""),2001)</f>
        <v>2001</v>
      </c>
      <c r="G1926" s="1">
        <f ca="1">IFERROR(__xludf.DUMMYFUNCTION("""COMPUTED_VALUE"""),2736)</f>
        <v>2736</v>
      </c>
      <c r="H1926" s="1" t="str">
        <f ca="1">IFERROR(__xludf.DUMMYFUNCTION("""COMPUTED_VALUE"""),"MTLSZ002736A20")</f>
        <v>MTLSZ002736A20</v>
      </c>
      <c r="I1926" s="2">
        <f ca="1">IFERROR(__xludf.DUMMYFUNCTION("""COMPUTED_VALUE"""),44124)</f>
        <v>44124</v>
      </c>
      <c r="J1926" s="2">
        <f ca="1">IFERROR(__xludf.DUMMYFUNCTION("""COMPUTED_VALUE"""),44488)</f>
        <v>44488</v>
      </c>
    </row>
    <row r="1927" spans="1:10" x14ac:dyDescent="0.25">
      <c r="A1927" s="1" t="str">
        <f ca="1">IFERROR(__xludf.DUMMYFUNCTION("""COMPUTED_VALUE"""),"Veszprémi TE")</f>
        <v>Veszprémi TE</v>
      </c>
      <c r="B1927" s="1" t="str">
        <f ca="1">IFERROR(__xludf.DUMMYFUNCTION("""COMPUTED_VALUE"""),"Kárpáti Fruzsina")</f>
        <v>Kárpáti Fruzsina</v>
      </c>
      <c r="C1927" s="1"/>
      <c r="D1927" s="1" t="str">
        <f ca="1">IFERROR(__xludf.DUMMYFUNCTION("""COMPUTED_VALUE"""),"Nő")</f>
        <v>Nő</v>
      </c>
      <c r="E1927" s="1"/>
      <c r="F1927" s="1">
        <f ca="1">IFERROR(__xludf.DUMMYFUNCTION("""COMPUTED_VALUE"""),2000)</f>
        <v>2000</v>
      </c>
      <c r="G1927" s="1">
        <f ca="1">IFERROR(__xludf.DUMMYFUNCTION("""COMPUTED_VALUE"""),3226)</f>
        <v>3226</v>
      </c>
      <c r="H1927" s="1" t="str">
        <f ca="1">IFERROR(__xludf.DUMMYFUNCTION("""COMPUTED_VALUE"""),"MTLSZ003226A20")</f>
        <v>MTLSZ003226A20</v>
      </c>
      <c r="I1927" s="2">
        <f ca="1">IFERROR(__xludf.DUMMYFUNCTION("""COMPUTED_VALUE"""),44124)</f>
        <v>44124</v>
      </c>
      <c r="J1927" s="2">
        <f ca="1">IFERROR(__xludf.DUMMYFUNCTION("""COMPUTED_VALUE"""),44488)</f>
        <v>44488</v>
      </c>
    </row>
    <row r="1928" spans="1:10" x14ac:dyDescent="0.25">
      <c r="A1928" s="1" t="str">
        <f ca="1">IFERROR(__xludf.DUMMYFUNCTION("""COMPUTED_VALUE"""),"DSC-SI")</f>
        <v>DSC-SI</v>
      </c>
      <c r="B1928" s="1" t="str">
        <f ca="1">IFERROR(__xludf.DUMMYFUNCTION("""COMPUTED_VALUE"""),"Gulyás Attila")</f>
        <v>Gulyás Attila</v>
      </c>
      <c r="C1928" s="1"/>
      <c r="D1928" s="1" t="str">
        <f ca="1">IFERROR(__xludf.DUMMYFUNCTION("""COMPUTED_VALUE"""),"Férfi")</f>
        <v>Férfi</v>
      </c>
      <c r="E1928" s="1"/>
      <c r="F1928" s="1">
        <f ca="1">IFERROR(__xludf.DUMMYFUNCTION("""COMPUTED_VALUE"""),2008)</f>
        <v>2008</v>
      </c>
      <c r="G1928" s="1">
        <f ca="1">IFERROR(__xludf.DUMMYFUNCTION("""COMPUTED_VALUE"""),3040)</f>
        <v>3040</v>
      </c>
      <c r="H1928" s="1" t="str">
        <f ca="1">IFERROR(__xludf.DUMMYFUNCTION("""COMPUTED_VALUE"""),"MTLSZ003040A20")</f>
        <v>MTLSZ003040A20</v>
      </c>
      <c r="I1928" s="2">
        <f ca="1">IFERROR(__xludf.DUMMYFUNCTION("""COMPUTED_VALUE"""),44123)</f>
        <v>44123</v>
      </c>
      <c r="J1928" s="2">
        <f ca="1">IFERROR(__xludf.DUMMYFUNCTION("""COMPUTED_VALUE"""),44487)</f>
        <v>44487</v>
      </c>
    </row>
    <row r="1929" spans="1:10" x14ac:dyDescent="0.25">
      <c r="A1929" s="1" t="str">
        <f ca="1">IFERROR(__xludf.DUMMYFUNCTION("""COMPUTED_VALUE"""),"DSC-SI")</f>
        <v>DSC-SI</v>
      </c>
      <c r="B1929" s="1" t="str">
        <f ca="1">IFERROR(__xludf.DUMMYFUNCTION("""COMPUTED_VALUE"""),"Gulyás Csenge")</f>
        <v>Gulyás Csenge</v>
      </c>
      <c r="C1929" s="1"/>
      <c r="D1929" s="1" t="str">
        <f ca="1">IFERROR(__xludf.DUMMYFUNCTION("""COMPUTED_VALUE"""),"Nő")</f>
        <v>Nő</v>
      </c>
      <c r="E1929" s="1"/>
      <c r="F1929" s="1">
        <f ca="1">IFERROR(__xludf.DUMMYFUNCTION("""COMPUTED_VALUE"""),2007)</f>
        <v>2007</v>
      </c>
      <c r="G1929" s="1">
        <f ca="1">IFERROR(__xludf.DUMMYFUNCTION("""COMPUTED_VALUE"""),3041)</f>
        <v>3041</v>
      </c>
      <c r="H1929" s="1" t="str">
        <f ca="1">IFERROR(__xludf.DUMMYFUNCTION("""COMPUTED_VALUE"""),"MTLSZ003041A20")</f>
        <v>MTLSZ003041A20</v>
      </c>
      <c r="I1929" s="2">
        <f ca="1">IFERROR(__xludf.DUMMYFUNCTION("""COMPUTED_VALUE"""),44123)</f>
        <v>44123</v>
      </c>
      <c r="J1929" s="2">
        <f ca="1">IFERROR(__xludf.DUMMYFUNCTION("""COMPUTED_VALUE"""),44487)</f>
        <v>44487</v>
      </c>
    </row>
    <row r="1930" spans="1:10" x14ac:dyDescent="0.25">
      <c r="A1930" s="1" t="str">
        <f ca="1">IFERROR(__xludf.DUMMYFUNCTION("""COMPUTED_VALUE"""),"DSC-SI")</f>
        <v>DSC-SI</v>
      </c>
      <c r="B1930" s="1" t="str">
        <f ca="1">IFERROR(__xludf.DUMMYFUNCTION("""COMPUTED_VALUE"""),"Kovács Fanni Virág")</f>
        <v>Kovács Fanni Virág</v>
      </c>
      <c r="C1930" s="1"/>
      <c r="D1930" s="1" t="str">
        <f ca="1">IFERROR(__xludf.DUMMYFUNCTION("""COMPUTED_VALUE"""),"Nő")</f>
        <v>Nő</v>
      </c>
      <c r="E1930" s="1"/>
      <c r="F1930" s="1">
        <f ca="1">IFERROR(__xludf.DUMMYFUNCTION("""COMPUTED_VALUE"""),2004)</f>
        <v>2004</v>
      </c>
      <c r="G1930" s="1">
        <f ca="1">IFERROR(__xludf.DUMMYFUNCTION("""COMPUTED_VALUE"""),2690)</f>
        <v>2690</v>
      </c>
      <c r="H1930" s="1" t="str">
        <f ca="1">IFERROR(__xludf.DUMMYFUNCTION("""COMPUTED_VALUE"""),"MTLSZ002690A20")</f>
        <v>MTLSZ002690A20</v>
      </c>
      <c r="I1930" s="2">
        <f ca="1">IFERROR(__xludf.DUMMYFUNCTION("""COMPUTED_VALUE"""),44123)</f>
        <v>44123</v>
      </c>
      <c r="J1930" s="2">
        <f ca="1">IFERROR(__xludf.DUMMYFUNCTION("""COMPUTED_VALUE"""),44487)</f>
        <v>44487</v>
      </c>
    </row>
    <row r="1931" spans="1:10" x14ac:dyDescent="0.25">
      <c r="A1931" s="1" t="str">
        <f ca="1">IFERROR(__xludf.DUMMYFUNCTION("""COMPUTED_VALUE"""),"DSC-SI")</f>
        <v>DSC-SI</v>
      </c>
      <c r="B1931" s="1" t="str">
        <f ca="1">IFERROR(__xludf.DUMMYFUNCTION("""COMPUTED_VALUE"""),"Nábrádi Bálint")</f>
        <v>Nábrádi Bálint</v>
      </c>
      <c r="C1931" s="1"/>
      <c r="D1931" s="1" t="str">
        <f ca="1">IFERROR(__xludf.DUMMYFUNCTION("""COMPUTED_VALUE"""),"Férfi")</f>
        <v>Férfi</v>
      </c>
      <c r="E1931" s="1"/>
      <c r="F1931" s="1">
        <f ca="1">IFERROR(__xludf.DUMMYFUNCTION("""COMPUTED_VALUE"""),2007)</f>
        <v>2007</v>
      </c>
      <c r="G1931" s="1">
        <f ca="1">IFERROR(__xludf.DUMMYFUNCTION("""COMPUTED_VALUE"""),2992)</f>
        <v>2992</v>
      </c>
      <c r="H1931" s="1" t="str">
        <f ca="1">IFERROR(__xludf.DUMMYFUNCTION("""COMPUTED_VALUE"""),"MTLSZ002992A20")</f>
        <v>MTLSZ002992A20</v>
      </c>
      <c r="I1931" s="2">
        <f ca="1">IFERROR(__xludf.DUMMYFUNCTION("""COMPUTED_VALUE"""),44123)</f>
        <v>44123</v>
      </c>
      <c r="J1931" s="2">
        <f ca="1">IFERROR(__xludf.DUMMYFUNCTION("""COMPUTED_VALUE"""),44487)</f>
        <v>44487</v>
      </c>
    </row>
    <row r="1932" spans="1:10" x14ac:dyDescent="0.25">
      <c r="A1932" s="1" t="str">
        <f ca="1">IFERROR(__xludf.DUMMYFUNCTION("""COMPUTED_VALUE"""),"DSC-SI")</f>
        <v>DSC-SI</v>
      </c>
      <c r="B1932" s="1" t="str">
        <f ca="1">IFERROR(__xludf.DUMMYFUNCTION("""COMPUTED_VALUE"""),"Papp Máté")</f>
        <v>Papp Máté</v>
      </c>
      <c r="C1932" s="1"/>
      <c r="D1932" s="1" t="str">
        <f ca="1">IFERROR(__xludf.DUMMYFUNCTION("""COMPUTED_VALUE"""),"Férfi")</f>
        <v>Férfi</v>
      </c>
      <c r="E1932" s="1"/>
      <c r="F1932" s="1">
        <f ca="1">IFERROR(__xludf.DUMMYFUNCTION("""COMPUTED_VALUE"""),2008)</f>
        <v>2008</v>
      </c>
      <c r="G1932" s="1">
        <f ca="1">IFERROR(__xludf.DUMMYFUNCTION("""COMPUTED_VALUE"""),3048)</f>
        <v>3048</v>
      </c>
      <c r="H1932" s="1" t="str">
        <f ca="1">IFERROR(__xludf.DUMMYFUNCTION("""COMPUTED_VALUE"""),"MTLSZ003048A20")</f>
        <v>MTLSZ003048A20</v>
      </c>
      <c r="I1932" s="2">
        <f ca="1">IFERROR(__xludf.DUMMYFUNCTION("""COMPUTED_VALUE"""),44123)</f>
        <v>44123</v>
      </c>
      <c r="J1932" s="2">
        <f ca="1">IFERROR(__xludf.DUMMYFUNCTION("""COMPUTED_VALUE"""),44487)</f>
        <v>44487</v>
      </c>
    </row>
    <row r="1933" spans="1:10" x14ac:dyDescent="0.25">
      <c r="A1933" s="1" t="str">
        <f ca="1">IFERROR(__xludf.DUMMYFUNCTION("""COMPUTED_VALUE"""),"DSC-SI")</f>
        <v>DSC-SI</v>
      </c>
      <c r="B1933" s="1" t="str">
        <f ca="1">IFERROR(__xludf.DUMMYFUNCTION("""COMPUTED_VALUE"""),"Papp Melitta")</f>
        <v>Papp Melitta</v>
      </c>
      <c r="C1933" s="1"/>
      <c r="D1933" s="1" t="str">
        <f ca="1">IFERROR(__xludf.DUMMYFUNCTION("""COMPUTED_VALUE"""),"Nő")</f>
        <v>Nő</v>
      </c>
      <c r="E1933" s="1"/>
      <c r="F1933" s="1">
        <f ca="1">IFERROR(__xludf.DUMMYFUNCTION("""COMPUTED_VALUE"""),2006)</f>
        <v>2006</v>
      </c>
      <c r="G1933" s="1">
        <f ca="1">IFERROR(__xludf.DUMMYFUNCTION("""COMPUTED_VALUE"""),3047)</f>
        <v>3047</v>
      </c>
      <c r="H1933" s="1" t="str">
        <f ca="1">IFERROR(__xludf.DUMMYFUNCTION("""COMPUTED_VALUE"""),"MTLSZ003047A20")</f>
        <v>MTLSZ003047A20</v>
      </c>
      <c r="I1933" s="2">
        <f ca="1">IFERROR(__xludf.DUMMYFUNCTION("""COMPUTED_VALUE"""),44123)</f>
        <v>44123</v>
      </c>
      <c r="J1933" s="2">
        <f ca="1">IFERROR(__xludf.DUMMYFUNCTION("""COMPUTED_VALUE"""),44487)</f>
        <v>44487</v>
      </c>
    </row>
    <row r="1934" spans="1:10" x14ac:dyDescent="0.25">
      <c r="A1934" s="1" t="str">
        <f ca="1">IFERROR(__xludf.DUMMYFUNCTION("""COMPUTED_VALUE"""),"Ludovika SE")</f>
        <v>Ludovika SE</v>
      </c>
      <c r="B1934" s="1" t="str">
        <f ca="1">IFERROR(__xludf.DUMMYFUNCTION("""COMPUTED_VALUE"""),"Pallai Márton")</f>
        <v>Pallai Márton</v>
      </c>
      <c r="C1934" s="1"/>
      <c r="D1934" s="1" t="str">
        <f ca="1">IFERROR(__xludf.DUMMYFUNCTION("""COMPUTED_VALUE"""),"Férfi")</f>
        <v>Férfi</v>
      </c>
      <c r="E1934" s="1"/>
      <c r="F1934" s="1">
        <f ca="1">IFERROR(__xludf.DUMMYFUNCTION("""COMPUTED_VALUE"""),2004)</f>
        <v>2004</v>
      </c>
      <c r="G1934" s="1">
        <f ca="1">IFERROR(__xludf.DUMMYFUNCTION("""COMPUTED_VALUE"""),2508)</f>
        <v>2508</v>
      </c>
      <c r="H1934" s="1" t="str">
        <f ca="1">IFERROR(__xludf.DUMMYFUNCTION("""COMPUTED_VALUE"""),"MTLSZ002508A20")</f>
        <v>MTLSZ002508A20</v>
      </c>
      <c r="I1934" s="2">
        <f ca="1">IFERROR(__xludf.DUMMYFUNCTION("""COMPUTED_VALUE"""),44123)</f>
        <v>44123</v>
      </c>
      <c r="J1934" s="2">
        <f ca="1">IFERROR(__xludf.DUMMYFUNCTION("""COMPUTED_VALUE"""),44487)</f>
        <v>44487</v>
      </c>
    </row>
    <row r="1935" spans="1:10" x14ac:dyDescent="0.25">
      <c r="A1935" s="1" t="str">
        <f ca="1">IFERROR(__xludf.DUMMYFUNCTION("""COMPUTED_VALUE"""),"Multi Alarm SE")</f>
        <v>Multi Alarm SE</v>
      </c>
      <c r="B1935" s="1" t="str">
        <f ca="1">IFERROR(__xludf.DUMMYFUNCTION("""COMPUTED_VALUE"""),"Bogos Boglárka")</f>
        <v>Bogos Boglárka</v>
      </c>
      <c r="C1935" s="1"/>
      <c r="D1935" s="1" t="str">
        <f ca="1">IFERROR(__xludf.DUMMYFUNCTION("""COMPUTED_VALUE"""),"Nő")</f>
        <v>Nő</v>
      </c>
      <c r="E1935" s="1"/>
      <c r="F1935" s="1">
        <f ca="1">IFERROR(__xludf.DUMMYFUNCTION("""COMPUTED_VALUE"""),2005)</f>
        <v>2005</v>
      </c>
      <c r="G1935" s="1">
        <f ca="1">IFERROR(__xludf.DUMMYFUNCTION("""COMPUTED_VALUE"""),2630)</f>
        <v>2630</v>
      </c>
      <c r="H1935" s="1" t="str">
        <f ca="1">IFERROR(__xludf.DUMMYFUNCTION("""COMPUTED_VALUE"""),"MTLSZ002630A20")</f>
        <v>MTLSZ002630A20</v>
      </c>
      <c r="I1935" s="2">
        <f ca="1">IFERROR(__xludf.DUMMYFUNCTION("""COMPUTED_VALUE"""),44123)</f>
        <v>44123</v>
      </c>
      <c r="J1935" s="2">
        <f ca="1">IFERROR(__xludf.DUMMYFUNCTION("""COMPUTED_VALUE"""),44487)</f>
        <v>44487</v>
      </c>
    </row>
    <row r="1936" spans="1:10" x14ac:dyDescent="0.25">
      <c r="A1936" s="1" t="str">
        <f ca="1">IFERROR(__xludf.DUMMYFUNCTION("""COMPUTED_VALUE"""),"Talentum TSE")</f>
        <v>Talentum TSE</v>
      </c>
      <c r="B1936" s="1" t="str">
        <f ca="1">IFERROR(__xludf.DUMMYFUNCTION("""COMPUTED_VALUE"""),"Majoros Anikó")</f>
        <v>Majoros Anikó</v>
      </c>
      <c r="C1936" s="1"/>
      <c r="D1936" s="1" t="str">
        <f ca="1">IFERROR(__xludf.DUMMYFUNCTION("""COMPUTED_VALUE"""),"Nő")</f>
        <v>Nő</v>
      </c>
      <c r="E1936" s="1"/>
      <c r="F1936" s="1">
        <f ca="1">IFERROR(__xludf.DUMMYFUNCTION("""COMPUTED_VALUE"""),1999)</f>
        <v>1999</v>
      </c>
      <c r="G1936" s="1">
        <f ca="1">IFERROR(__xludf.DUMMYFUNCTION("""COMPUTED_VALUE"""),3180)</f>
        <v>3180</v>
      </c>
      <c r="H1936" s="1" t="str">
        <f ca="1">IFERROR(__xludf.DUMMYFUNCTION("""COMPUTED_VALUE"""),"MTLSZ003180A20")</f>
        <v>MTLSZ003180A20</v>
      </c>
      <c r="I1936" s="2">
        <f ca="1">IFERROR(__xludf.DUMMYFUNCTION("""COMPUTED_VALUE"""),44120)</f>
        <v>44120</v>
      </c>
      <c r="J1936" s="2">
        <f ca="1">IFERROR(__xludf.DUMMYFUNCTION("""COMPUTED_VALUE"""),44484)</f>
        <v>44484</v>
      </c>
    </row>
    <row r="1937" spans="1:10" x14ac:dyDescent="0.25">
      <c r="A1937" s="1" t="str">
        <f ca="1">IFERROR(__xludf.DUMMYFUNCTION("""COMPUTED_VALUE"""),"DSC-SI")</f>
        <v>DSC-SI</v>
      </c>
      <c r="B1937" s="1" t="str">
        <f ca="1">IFERROR(__xludf.DUMMYFUNCTION("""COMPUTED_VALUE"""),"Berkes Dorottya")</f>
        <v>Berkes Dorottya</v>
      </c>
      <c r="C1937" s="1"/>
      <c r="D1937" s="1" t="str">
        <f ca="1">IFERROR(__xludf.DUMMYFUNCTION("""COMPUTED_VALUE"""),"Nő")</f>
        <v>Nő</v>
      </c>
      <c r="E1937" s="1"/>
      <c r="F1937" s="1">
        <f ca="1">IFERROR(__xludf.DUMMYFUNCTION("""COMPUTED_VALUE"""),1989)</f>
        <v>1989</v>
      </c>
      <c r="G1937" s="1">
        <f ca="1">IFERROR(__xludf.DUMMYFUNCTION("""COMPUTED_VALUE"""),80)</f>
        <v>80</v>
      </c>
      <c r="H1937" s="1" t="str">
        <f ca="1">IFERROR(__xludf.DUMMYFUNCTION("""COMPUTED_VALUE"""),"MTLSZ000080A20")</f>
        <v>MTLSZ000080A20</v>
      </c>
      <c r="I1937" s="2">
        <f ca="1">IFERROR(__xludf.DUMMYFUNCTION("""COMPUTED_VALUE"""),44119)</f>
        <v>44119</v>
      </c>
      <c r="J1937" s="2">
        <f ca="1">IFERROR(__xludf.DUMMYFUNCTION("""COMPUTED_VALUE"""),44483)</f>
        <v>44483</v>
      </c>
    </row>
    <row r="1938" spans="1:10" x14ac:dyDescent="0.25">
      <c r="A1938" s="1" t="str">
        <f ca="1">IFERROR(__xludf.DUMMYFUNCTION("""COMPUTED_VALUE"""),"Talentum TSE")</f>
        <v>Talentum TSE</v>
      </c>
      <c r="B1938" s="1" t="str">
        <f ca="1">IFERROR(__xludf.DUMMYFUNCTION("""COMPUTED_VALUE"""),"Bukszár Fruzsina")</f>
        <v>Bukszár Fruzsina</v>
      </c>
      <c r="C1938" s="1"/>
      <c r="D1938" s="1" t="str">
        <f ca="1">IFERROR(__xludf.DUMMYFUNCTION("""COMPUTED_VALUE"""),"Nő")</f>
        <v>Nő</v>
      </c>
      <c r="E1938" s="1"/>
      <c r="F1938" s="1">
        <f ca="1">IFERROR(__xludf.DUMMYFUNCTION("""COMPUTED_VALUE"""),2001)</f>
        <v>2001</v>
      </c>
      <c r="G1938" s="1">
        <f ca="1">IFERROR(__xludf.DUMMYFUNCTION("""COMPUTED_VALUE"""),3168)</f>
        <v>3168</v>
      </c>
      <c r="H1938" s="1" t="str">
        <f ca="1">IFERROR(__xludf.DUMMYFUNCTION("""COMPUTED_VALUE"""),"MTLSZ003168A20")</f>
        <v>MTLSZ003168A20</v>
      </c>
      <c r="I1938" s="2">
        <f ca="1">IFERROR(__xludf.DUMMYFUNCTION("""COMPUTED_VALUE"""),44119)</f>
        <v>44119</v>
      </c>
      <c r="J1938" s="2">
        <f ca="1">IFERROR(__xludf.DUMMYFUNCTION("""COMPUTED_VALUE"""),44483)</f>
        <v>44483</v>
      </c>
    </row>
    <row r="1939" spans="1:10" x14ac:dyDescent="0.25">
      <c r="A1939" s="1" t="str">
        <f ca="1">IFERROR(__xludf.DUMMYFUNCTION("""COMPUTED_VALUE"""),"Talentum TSE")</f>
        <v>Talentum TSE</v>
      </c>
      <c r="B1939" s="1" t="str">
        <f ca="1">IFERROR(__xludf.DUMMYFUNCTION("""COMPUTED_VALUE"""),"Hadadi Tamás")</f>
        <v>Hadadi Tamás</v>
      </c>
      <c r="C1939" s="1"/>
      <c r="D1939" s="1" t="str">
        <f ca="1">IFERROR(__xludf.DUMMYFUNCTION("""COMPUTED_VALUE"""),"Férfi")</f>
        <v>Férfi</v>
      </c>
      <c r="E1939" s="1"/>
      <c r="F1939" s="1">
        <f ca="1">IFERROR(__xludf.DUMMYFUNCTION("""COMPUTED_VALUE"""),2004)</f>
        <v>2004</v>
      </c>
      <c r="G1939" s="1">
        <f ca="1">IFERROR(__xludf.DUMMYFUNCTION("""COMPUTED_VALUE"""),3139)</f>
        <v>3139</v>
      </c>
      <c r="H1939" s="1" t="str">
        <f ca="1">IFERROR(__xludf.DUMMYFUNCTION("""COMPUTED_VALUE"""),"MTLSZ003139A20")</f>
        <v>MTLSZ003139A20</v>
      </c>
      <c r="I1939" s="2">
        <f ca="1">IFERROR(__xludf.DUMMYFUNCTION("""COMPUTED_VALUE"""),44119)</f>
        <v>44119</v>
      </c>
      <c r="J1939" s="2">
        <f ca="1">IFERROR(__xludf.DUMMYFUNCTION("""COMPUTED_VALUE"""),44483)</f>
        <v>44483</v>
      </c>
    </row>
    <row r="1940" spans="1:10" x14ac:dyDescent="0.25">
      <c r="A1940" s="1" t="str">
        <f ca="1">IFERROR(__xludf.DUMMYFUNCTION("""COMPUTED_VALUE"""),"Verőcei DE")</f>
        <v>Verőcei DE</v>
      </c>
      <c r="B1940" s="1" t="str">
        <f ca="1">IFERROR(__xludf.DUMMYFUNCTION("""COMPUTED_VALUE"""),"Bartha Enikő")</f>
        <v>Bartha Enikő</v>
      </c>
      <c r="C1940" s="1"/>
      <c r="D1940" s="1" t="str">
        <f ca="1">IFERROR(__xludf.DUMMYFUNCTION("""COMPUTED_VALUE"""),"Nő")</f>
        <v>Nő</v>
      </c>
      <c r="E1940" s="1"/>
      <c r="F1940" s="1">
        <f ca="1">IFERROR(__xludf.DUMMYFUNCTION("""COMPUTED_VALUE"""),1969)</f>
        <v>1969</v>
      </c>
      <c r="G1940" s="1">
        <f ca="1">IFERROR(__xludf.DUMMYFUNCTION("""COMPUTED_VALUE"""),2469)</f>
        <v>2469</v>
      </c>
      <c r="H1940" s="1" t="str">
        <f ca="1">IFERROR(__xludf.DUMMYFUNCTION("""COMPUTED_VALUE"""),"MTLSZ002469A20")</f>
        <v>MTLSZ002469A20</v>
      </c>
      <c r="I1940" s="2">
        <f ca="1">IFERROR(__xludf.DUMMYFUNCTION("""COMPUTED_VALUE"""),44119)</f>
        <v>44119</v>
      </c>
      <c r="J1940" s="2">
        <f ca="1">IFERROR(__xludf.DUMMYFUNCTION("""COMPUTED_VALUE"""),44483)</f>
        <v>44483</v>
      </c>
    </row>
    <row r="1941" spans="1:10" x14ac:dyDescent="0.25">
      <c r="A1941" s="1" t="str">
        <f ca="1">IFERROR(__xludf.DUMMYFUNCTION("""COMPUTED_VALUE"""),"Verőcei DE")</f>
        <v>Verőcei DE</v>
      </c>
      <c r="B1941" s="1" t="str">
        <f ca="1">IFERROR(__xludf.DUMMYFUNCTION("""COMPUTED_VALUE"""),"Grauszmann Gréta Anna")</f>
        <v>Grauszmann Gréta Anna</v>
      </c>
      <c r="C1941" s="1"/>
      <c r="D1941" s="1" t="str">
        <f ca="1">IFERROR(__xludf.DUMMYFUNCTION("""COMPUTED_VALUE"""),"Nő")</f>
        <v>Nő</v>
      </c>
      <c r="E1941" s="1"/>
      <c r="F1941" s="1">
        <f ca="1">IFERROR(__xludf.DUMMYFUNCTION("""COMPUTED_VALUE"""),2007)</f>
        <v>2007</v>
      </c>
      <c r="G1941" s="1">
        <f ca="1">IFERROR(__xludf.DUMMYFUNCTION("""COMPUTED_VALUE"""),3008)</f>
        <v>3008</v>
      </c>
      <c r="H1941" s="1" t="str">
        <f ca="1">IFERROR(__xludf.DUMMYFUNCTION("""COMPUTED_VALUE"""),"MTLSZ003008A20")</f>
        <v>MTLSZ003008A20</v>
      </c>
      <c r="I1941" s="2">
        <f ca="1">IFERROR(__xludf.DUMMYFUNCTION("""COMPUTED_VALUE"""),44119)</f>
        <v>44119</v>
      </c>
      <c r="J1941" s="2">
        <f ca="1">IFERROR(__xludf.DUMMYFUNCTION("""COMPUTED_VALUE"""),44483)</f>
        <v>44483</v>
      </c>
    </row>
    <row r="1942" spans="1:10" x14ac:dyDescent="0.25">
      <c r="A1942" s="1" t="str">
        <f ca="1">IFERROR(__xludf.DUMMYFUNCTION("""COMPUTED_VALUE"""),"Verőcei DE")</f>
        <v>Verőcei DE</v>
      </c>
      <c r="B1942" s="1" t="str">
        <f ca="1">IFERROR(__xludf.DUMMYFUNCTION("""COMPUTED_VALUE"""),"Hevesi Eszter")</f>
        <v>Hevesi Eszter</v>
      </c>
      <c r="C1942" s="1"/>
      <c r="D1942" s="1" t="str">
        <f ca="1">IFERROR(__xludf.DUMMYFUNCTION("""COMPUTED_VALUE"""),"Nő")</f>
        <v>Nő</v>
      </c>
      <c r="E1942" s="1"/>
      <c r="F1942" s="1">
        <f ca="1">IFERROR(__xludf.DUMMYFUNCTION("""COMPUTED_VALUE"""),2003)</f>
        <v>2003</v>
      </c>
      <c r="G1942" s="1">
        <f ca="1">IFERROR(__xludf.DUMMYFUNCTION("""COMPUTED_VALUE"""),3555)</f>
        <v>3555</v>
      </c>
      <c r="H1942" s="1" t="str">
        <f ca="1">IFERROR(__xludf.DUMMYFUNCTION("""COMPUTED_VALUE"""),"MTLSZ003555A20")</f>
        <v>MTLSZ003555A20</v>
      </c>
      <c r="I1942" s="2">
        <f ca="1">IFERROR(__xludf.DUMMYFUNCTION("""COMPUTED_VALUE"""),44119)</f>
        <v>44119</v>
      </c>
      <c r="J1942" s="2">
        <f ca="1">IFERROR(__xludf.DUMMYFUNCTION("""COMPUTED_VALUE"""),44483)</f>
        <v>44483</v>
      </c>
    </row>
    <row r="1943" spans="1:10" x14ac:dyDescent="0.25">
      <c r="A1943" s="1" t="str">
        <f ca="1">IFERROR(__xludf.DUMMYFUNCTION("""COMPUTED_VALUE"""),"Verőcei DE")</f>
        <v>Verőcei DE</v>
      </c>
      <c r="B1943" s="1" t="str">
        <f ca="1">IFERROR(__xludf.DUMMYFUNCTION("""COMPUTED_VALUE"""),"Lencsés Ernő")</f>
        <v>Lencsés Ernő</v>
      </c>
      <c r="C1943" s="1"/>
      <c r="D1943" s="1" t="str">
        <f ca="1">IFERROR(__xludf.DUMMYFUNCTION("""COMPUTED_VALUE"""),"Férfi")</f>
        <v>Férfi</v>
      </c>
      <c r="E1943" s="1"/>
      <c r="F1943" s="1">
        <f ca="1">IFERROR(__xludf.DUMMYFUNCTION("""COMPUTED_VALUE"""),1977)</f>
        <v>1977</v>
      </c>
      <c r="G1943" s="1">
        <f ca="1">IFERROR(__xludf.DUMMYFUNCTION("""COMPUTED_VALUE"""),2705)</f>
        <v>2705</v>
      </c>
      <c r="H1943" s="1" t="str">
        <f ca="1">IFERROR(__xludf.DUMMYFUNCTION("""COMPUTED_VALUE"""),"MTLSZ002705A20")</f>
        <v>MTLSZ002705A20</v>
      </c>
      <c r="I1943" s="2">
        <f ca="1">IFERROR(__xludf.DUMMYFUNCTION("""COMPUTED_VALUE"""),44119)</f>
        <v>44119</v>
      </c>
      <c r="J1943" s="2">
        <f ca="1">IFERROR(__xludf.DUMMYFUNCTION("""COMPUTED_VALUE"""),44483)</f>
        <v>44483</v>
      </c>
    </row>
    <row r="1944" spans="1:10" x14ac:dyDescent="0.25">
      <c r="A1944" s="1" t="str">
        <f ca="1">IFERROR(__xludf.DUMMYFUNCTION("""COMPUTED_VALUE"""),"Verőcei DE")</f>
        <v>Verőcei DE</v>
      </c>
      <c r="B1944" s="1" t="str">
        <f ca="1">IFERROR(__xludf.DUMMYFUNCTION("""COMPUTED_VALUE"""),"Scheibert Gábor")</f>
        <v>Scheibert Gábor</v>
      </c>
      <c r="C1944" s="1"/>
      <c r="D1944" s="1" t="str">
        <f ca="1">IFERROR(__xludf.DUMMYFUNCTION("""COMPUTED_VALUE"""),"Férfi")</f>
        <v>Férfi</v>
      </c>
      <c r="E1944" s="1"/>
      <c r="F1944" s="1">
        <f ca="1">IFERROR(__xludf.DUMMYFUNCTION("""COMPUTED_VALUE"""),1977)</f>
        <v>1977</v>
      </c>
      <c r="G1944" s="1">
        <f ca="1">IFERROR(__xludf.DUMMYFUNCTION("""COMPUTED_VALUE"""),3554)</f>
        <v>3554</v>
      </c>
      <c r="H1944" s="1" t="str">
        <f ca="1">IFERROR(__xludf.DUMMYFUNCTION("""COMPUTED_VALUE"""),"MTLSZ003554A20")</f>
        <v>MTLSZ003554A20</v>
      </c>
      <c r="I1944" s="2">
        <f ca="1">IFERROR(__xludf.DUMMYFUNCTION("""COMPUTED_VALUE"""),44119)</f>
        <v>44119</v>
      </c>
      <c r="J1944" s="2">
        <f ca="1">IFERROR(__xludf.DUMMYFUNCTION("""COMPUTED_VALUE"""),44483)</f>
        <v>44483</v>
      </c>
    </row>
    <row r="1945" spans="1:10" x14ac:dyDescent="0.25">
      <c r="A1945" s="1" t="str">
        <f ca="1">IFERROR(__xludf.DUMMYFUNCTION("""COMPUTED_VALUE"""),"Verőcei DE")</f>
        <v>Verőcei DE</v>
      </c>
      <c r="B1945" s="1" t="str">
        <f ca="1">IFERROR(__xludf.DUMMYFUNCTION("""COMPUTED_VALUE"""),"Simon Eszter Ráhel")</f>
        <v>Simon Eszter Ráhel</v>
      </c>
      <c r="C1945" s="1"/>
      <c r="D1945" s="1" t="str">
        <f ca="1">IFERROR(__xludf.DUMMYFUNCTION("""COMPUTED_VALUE"""),"Nő")</f>
        <v>Nő</v>
      </c>
      <c r="E1945" s="1"/>
      <c r="F1945" s="1">
        <f ca="1">IFERROR(__xludf.DUMMYFUNCTION("""COMPUTED_VALUE"""),2006)</f>
        <v>2006</v>
      </c>
      <c r="G1945" s="1">
        <f ca="1">IFERROR(__xludf.DUMMYFUNCTION("""COMPUTED_VALUE"""),3326)</f>
        <v>3326</v>
      </c>
      <c r="H1945" s="1" t="str">
        <f ca="1">IFERROR(__xludf.DUMMYFUNCTION("""COMPUTED_VALUE"""),"MTLSZ003326A20")</f>
        <v>MTLSZ003326A20</v>
      </c>
      <c r="I1945" s="2">
        <f ca="1">IFERROR(__xludf.DUMMYFUNCTION("""COMPUTED_VALUE"""),44119)</f>
        <v>44119</v>
      </c>
      <c r="J1945" s="2">
        <f ca="1">IFERROR(__xludf.DUMMYFUNCTION("""COMPUTED_VALUE"""),44483)</f>
        <v>44483</v>
      </c>
    </row>
    <row r="1946" spans="1:10" x14ac:dyDescent="0.25">
      <c r="A1946" s="1" t="str">
        <f ca="1">IFERROR(__xludf.DUMMYFUNCTION("""COMPUTED_VALUE"""),"Verőcei DE")</f>
        <v>Verőcei DE</v>
      </c>
      <c r="B1946" s="1" t="str">
        <f ca="1">IFERROR(__xludf.DUMMYFUNCTION("""COMPUTED_VALUE"""),"Spiesz Anna")</f>
        <v>Spiesz Anna</v>
      </c>
      <c r="C1946" s="1"/>
      <c r="D1946" s="1" t="str">
        <f ca="1">IFERROR(__xludf.DUMMYFUNCTION("""COMPUTED_VALUE"""),"Nő")</f>
        <v>Nő</v>
      </c>
      <c r="E1946" s="1"/>
      <c r="F1946" s="1">
        <f ca="1">IFERROR(__xludf.DUMMYFUNCTION("""COMPUTED_VALUE"""),2007)</f>
        <v>2007</v>
      </c>
      <c r="G1946" s="1">
        <f ca="1">IFERROR(__xludf.DUMMYFUNCTION("""COMPUTED_VALUE"""),3009)</f>
        <v>3009</v>
      </c>
      <c r="H1946" s="1" t="str">
        <f ca="1">IFERROR(__xludf.DUMMYFUNCTION("""COMPUTED_VALUE"""),"MTLSZ003009A20")</f>
        <v>MTLSZ003009A20</v>
      </c>
      <c r="I1946" s="2">
        <f ca="1">IFERROR(__xludf.DUMMYFUNCTION("""COMPUTED_VALUE"""),44119)</f>
        <v>44119</v>
      </c>
      <c r="J1946" s="2">
        <f ca="1">IFERROR(__xludf.DUMMYFUNCTION("""COMPUTED_VALUE"""),44483)</f>
        <v>44483</v>
      </c>
    </row>
    <row r="1947" spans="1:10" x14ac:dyDescent="0.25">
      <c r="A1947" s="1" t="str">
        <f ca="1">IFERROR(__xludf.DUMMYFUNCTION("""COMPUTED_VALUE"""),"CET SE")</f>
        <v>CET SE</v>
      </c>
      <c r="B1947" s="1" t="str">
        <f ca="1">IFERROR(__xludf.DUMMYFUNCTION("""COMPUTED_VALUE"""),"Kovács Réka")</f>
        <v>Kovács Réka</v>
      </c>
      <c r="C1947" s="1"/>
      <c r="D1947" s="1" t="str">
        <f ca="1">IFERROR(__xludf.DUMMYFUNCTION("""COMPUTED_VALUE"""),"Nő")</f>
        <v>Nő</v>
      </c>
      <c r="E1947" s="1"/>
      <c r="F1947" s="1">
        <f ca="1">IFERROR(__xludf.DUMMYFUNCTION("""COMPUTED_VALUE"""),1999)</f>
        <v>1999</v>
      </c>
      <c r="G1947" s="1">
        <f ca="1">IFERROR(__xludf.DUMMYFUNCTION("""COMPUTED_VALUE"""),3552)</f>
        <v>3552</v>
      </c>
      <c r="H1947" s="1" t="str">
        <f ca="1">IFERROR(__xludf.DUMMYFUNCTION("""COMPUTED_VALUE"""),"MTLSZ003552A20")</f>
        <v>MTLSZ003552A20</v>
      </c>
      <c r="I1947" s="2">
        <f ca="1">IFERROR(__xludf.DUMMYFUNCTION("""COMPUTED_VALUE"""),44113)</f>
        <v>44113</v>
      </c>
      <c r="J1947" s="2">
        <f ca="1">IFERROR(__xludf.DUMMYFUNCTION("""COMPUTED_VALUE"""),44477)</f>
        <v>44477</v>
      </c>
    </row>
    <row r="1948" spans="1:10" x14ac:dyDescent="0.25">
      <c r="A1948" s="1" t="str">
        <f ca="1">IFERROR(__xludf.DUMMYFUNCTION("""COMPUTED_VALUE"""),"Életmód SE")</f>
        <v>Életmód SE</v>
      </c>
      <c r="B1948" s="1" t="str">
        <f ca="1">IFERROR(__xludf.DUMMYFUNCTION("""COMPUTED_VALUE"""),"Palotainé Pozsár Marianna")</f>
        <v>Palotainé Pozsár Marianna</v>
      </c>
      <c r="C1948" s="1"/>
      <c r="D1948" s="1" t="str">
        <f ca="1">IFERROR(__xludf.DUMMYFUNCTION("""COMPUTED_VALUE"""),"Nő")</f>
        <v>Nő</v>
      </c>
      <c r="E1948" s="1"/>
      <c r="F1948" s="1">
        <f ca="1">IFERROR(__xludf.DUMMYFUNCTION("""COMPUTED_VALUE"""),1968)</f>
        <v>1968</v>
      </c>
      <c r="G1948" s="1">
        <f ca="1">IFERROR(__xludf.DUMMYFUNCTION("""COMPUTED_VALUE"""),3549)</f>
        <v>3549</v>
      </c>
      <c r="H1948" s="1" t="str">
        <f ca="1">IFERROR(__xludf.DUMMYFUNCTION("""COMPUTED_VALUE"""),"MTLSZ003549A20")</f>
        <v>MTLSZ003549A20</v>
      </c>
      <c r="I1948" s="2">
        <f ca="1">IFERROR(__xludf.DUMMYFUNCTION("""COMPUTED_VALUE"""),44113)</f>
        <v>44113</v>
      </c>
      <c r="J1948" s="2">
        <f ca="1">IFERROR(__xludf.DUMMYFUNCTION("""COMPUTED_VALUE"""),44477)</f>
        <v>44477</v>
      </c>
    </row>
    <row r="1949" spans="1:10" x14ac:dyDescent="0.25">
      <c r="A1949" s="1" t="str">
        <f ca="1">IFERROR(__xludf.DUMMYFUNCTION("""COMPUTED_VALUE"""),"Életmód SE")</f>
        <v>Életmód SE</v>
      </c>
      <c r="B1949" s="1" t="str">
        <f ca="1">IFERROR(__xludf.DUMMYFUNCTION("""COMPUTED_VALUE"""),"Szénási Szabolcs")</f>
        <v>Szénási Szabolcs</v>
      </c>
      <c r="C1949" s="1"/>
      <c r="D1949" s="1" t="str">
        <f ca="1">IFERROR(__xludf.DUMMYFUNCTION("""COMPUTED_VALUE"""),"Férfi")</f>
        <v>Férfi</v>
      </c>
      <c r="E1949" s="1"/>
      <c r="F1949" s="1">
        <f ca="1">IFERROR(__xludf.DUMMYFUNCTION("""COMPUTED_VALUE"""),1976)</f>
        <v>1976</v>
      </c>
      <c r="G1949" s="1">
        <f ca="1">IFERROR(__xludf.DUMMYFUNCTION("""COMPUTED_VALUE"""),1279)</f>
        <v>1279</v>
      </c>
      <c r="H1949" s="1" t="str">
        <f ca="1">IFERROR(__xludf.DUMMYFUNCTION("""COMPUTED_VALUE"""),"MTLSZ001279A20")</f>
        <v>MTLSZ001279A20</v>
      </c>
      <c r="I1949" s="2">
        <f ca="1">IFERROR(__xludf.DUMMYFUNCTION("""COMPUTED_VALUE"""),44113)</f>
        <v>44113</v>
      </c>
      <c r="J1949" s="2">
        <f ca="1">IFERROR(__xludf.DUMMYFUNCTION("""COMPUTED_VALUE"""),44477)</f>
        <v>44477</v>
      </c>
    </row>
    <row r="1950" spans="1:10" x14ac:dyDescent="0.25">
      <c r="A1950" s="1" t="str">
        <f ca="1">IFERROR(__xludf.DUMMYFUNCTION("""COMPUTED_VALUE"""),"Hajdú TSE")</f>
        <v>Hajdú TSE</v>
      </c>
      <c r="B1950" s="1" t="str">
        <f ca="1">IFERROR(__xludf.DUMMYFUNCTION("""COMPUTED_VALUE"""),"Elek Sára")</f>
        <v>Elek Sára</v>
      </c>
      <c r="C1950" s="1"/>
      <c r="D1950" s="1" t="str">
        <f ca="1">IFERROR(__xludf.DUMMYFUNCTION("""COMPUTED_VALUE"""),"Nő")</f>
        <v>Nő</v>
      </c>
      <c r="E1950" s="1"/>
      <c r="F1950" s="1">
        <f ca="1">IFERROR(__xludf.DUMMYFUNCTION("""COMPUTED_VALUE"""),2007)</f>
        <v>2007</v>
      </c>
      <c r="G1950" s="1">
        <f ca="1">IFERROR(__xludf.DUMMYFUNCTION("""COMPUTED_VALUE"""),2826)</f>
        <v>2826</v>
      </c>
      <c r="H1950" s="1" t="str">
        <f ca="1">IFERROR(__xludf.DUMMYFUNCTION("""COMPUTED_VALUE"""),"MTLSZ002826A20")</f>
        <v>MTLSZ002826A20</v>
      </c>
      <c r="I1950" s="2">
        <f ca="1">IFERROR(__xludf.DUMMYFUNCTION("""COMPUTED_VALUE"""),44111)</f>
        <v>44111</v>
      </c>
      <c r="J1950" s="2">
        <f ca="1">IFERROR(__xludf.DUMMYFUNCTION("""COMPUTED_VALUE"""),44475)</f>
        <v>44475</v>
      </c>
    </row>
    <row r="1951" spans="1:10" x14ac:dyDescent="0.25">
      <c r="A1951" s="1" t="str">
        <f ca="1">IFERROR(__xludf.DUMMYFUNCTION("""COMPUTED_VALUE"""),"CET SE")</f>
        <v>CET SE</v>
      </c>
      <c r="B1951" s="1" t="str">
        <f ca="1">IFERROR(__xludf.DUMMYFUNCTION("""COMPUTED_VALUE"""),"Zátonyi György")</f>
        <v>Zátonyi György</v>
      </c>
      <c r="C1951" s="1"/>
      <c r="D1951" s="1" t="str">
        <f ca="1">IFERROR(__xludf.DUMMYFUNCTION("""COMPUTED_VALUE"""),"Férfi")</f>
        <v>Férfi</v>
      </c>
      <c r="E1951" s="1"/>
      <c r="F1951" s="1">
        <f ca="1">IFERROR(__xludf.DUMMYFUNCTION("""COMPUTED_VALUE"""),1973)</f>
        <v>1973</v>
      </c>
      <c r="G1951" s="1">
        <f ca="1">IFERROR(__xludf.DUMMYFUNCTION("""COMPUTED_VALUE"""),3439)</f>
        <v>3439</v>
      </c>
      <c r="H1951" s="1" t="str">
        <f ca="1">IFERROR(__xludf.DUMMYFUNCTION("""COMPUTED_VALUE"""),"MTLSZ003439A20")</f>
        <v>MTLSZ003439A20</v>
      </c>
      <c r="I1951" s="2">
        <f ca="1">IFERROR(__xludf.DUMMYFUNCTION("""COMPUTED_VALUE"""),44110)</f>
        <v>44110</v>
      </c>
      <c r="J1951" s="2">
        <f ca="1">IFERROR(__xludf.DUMMYFUNCTION("""COMPUTED_VALUE"""),44474)</f>
        <v>44474</v>
      </c>
    </row>
    <row r="1952" spans="1:10" x14ac:dyDescent="0.25">
      <c r="A1952" s="1" t="str">
        <f ca="1">IFERROR(__xludf.DUMMYFUNCTION("""COMPUTED_VALUE"""),"Pillangó TK")</f>
        <v>Pillangó TK</v>
      </c>
      <c r="B1952" s="1" t="str">
        <f ca="1">IFERROR(__xludf.DUMMYFUNCTION("""COMPUTED_VALUE"""),"Horváth László")</f>
        <v>Horváth László</v>
      </c>
      <c r="C1952" s="1"/>
      <c r="D1952" s="1" t="str">
        <f ca="1">IFERROR(__xludf.DUMMYFUNCTION("""COMPUTED_VALUE"""),"Férfi")</f>
        <v>Férfi</v>
      </c>
      <c r="E1952" s="1"/>
      <c r="F1952" s="1">
        <f ca="1">IFERROR(__xludf.DUMMYFUNCTION("""COMPUTED_VALUE"""),1978)</f>
        <v>1978</v>
      </c>
      <c r="G1952" s="1">
        <f ca="1">IFERROR(__xludf.DUMMYFUNCTION("""COMPUTED_VALUE"""),3353)</f>
        <v>3353</v>
      </c>
      <c r="H1952" s="1" t="str">
        <f ca="1">IFERROR(__xludf.DUMMYFUNCTION("""COMPUTED_VALUE"""),"MTLSZ003353A20")</f>
        <v>MTLSZ003353A20</v>
      </c>
      <c r="I1952" s="2">
        <f ca="1">IFERROR(__xludf.DUMMYFUNCTION("""COMPUTED_VALUE"""),44110)</f>
        <v>44110</v>
      </c>
      <c r="J1952" s="2">
        <f ca="1">IFERROR(__xludf.DUMMYFUNCTION("""COMPUTED_VALUE"""),44474)</f>
        <v>44474</v>
      </c>
    </row>
    <row r="1953" spans="1:10" x14ac:dyDescent="0.25">
      <c r="A1953" s="1" t="str">
        <f ca="1">IFERROR(__xludf.DUMMYFUNCTION("""COMPUTED_VALUE"""),"Pillangó TK")</f>
        <v>Pillangó TK</v>
      </c>
      <c r="B1953" s="1" t="str">
        <f ca="1">IFERROR(__xludf.DUMMYFUNCTION("""COMPUTED_VALUE"""),"Takács Zoltán")</f>
        <v>Takács Zoltán</v>
      </c>
      <c r="C1953" s="1"/>
      <c r="D1953" s="1" t="str">
        <f ca="1">IFERROR(__xludf.DUMMYFUNCTION("""COMPUTED_VALUE"""),"Férfi")</f>
        <v>Férfi</v>
      </c>
      <c r="E1953" s="1"/>
      <c r="F1953" s="1">
        <f ca="1">IFERROR(__xludf.DUMMYFUNCTION("""COMPUTED_VALUE"""),1970)</f>
        <v>1970</v>
      </c>
      <c r="G1953" s="1">
        <f ca="1">IFERROR(__xludf.DUMMYFUNCTION("""COMPUTED_VALUE"""),2937)</f>
        <v>2937</v>
      </c>
      <c r="H1953" s="1" t="str">
        <f ca="1">IFERROR(__xludf.DUMMYFUNCTION("""COMPUTED_VALUE"""),"MTLSZ002937A20")</f>
        <v>MTLSZ002937A20</v>
      </c>
      <c r="I1953" s="2">
        <f ca="1">IFERROR(__xludf.DUMMYFUNCTION("""COMPUTED_VALUE"""),44110)</f>
        <v>44110</v>
      </c>
      <c r="J1953" s="2">
        <f ca="1">IFERROR(__xludf.DUMMYFUNCTION("""COMPUTED_VALUE"""),44474)</f>
        <v>44474</v>
      </c>
    </row>
    <row r="1954" spans="1:10" x14ac:dyDescent="0.25">
      <c r="A1954" s="1" t="str">
        <f ca="1">IFERROR(__xludf.DUMMYFUNCTION("""COMPUTED_VALUE"""),"Pillangó TK")</f>
        <v>Pillangó TK</v>
      </c>
      <c r="B1954" s="1" t="str">
        <f ca="1">IFERROR(__xludf.DUMMYFUNCTION("""COMPUTED_VALUE"""),"Tóth Csaba")</f>
        <v>Tóth Csaba</v>
      </c>
      <c r="C1954" s="1"/>
      <c r="D1954" s="1" t="str">
        <f ca="1">IFERROR(__xludf.DUMMYFUNCTION("""COMPUTED_VALUE"""),"Férfi")</f>
        <v>Férfi</v>
      </c>
      <c r="E1954" s="1"/>
      <c r="F1954" s="1">
        <f ca="1">IFERROR(__xludf.DUMMYFUNCTION("""COMPUTED_VALUE"""),1985)</f>
        <v>1985</v>
      </c>
      <c r="G1954" s="1">
        <f ca="1">IFERROR(__xludf.DUMMYFUNCTION("""COMPUTED_VALUE"""),3061)</f>
        <v>3061</v>
      </c>
      <c r="H1954" s="1" t="str">
        <f ca="1">IFERROR(__xludf.DUMMYFUNCTION("""COMPUTED_VALUE"""),"MTLSZ003061A20")</f>
        <v>MTLSZ003061A20</v>
      </c>
      <c r="I1954" s="2">
        <f ca="1">IFERROR(__xludf.DUMMYFUNCTION("""COMPUTED_VALUE"""),44110)</f>
        <v>44110</v>
      </c>
      <c r="J1954" s="2">
        <f ca="1">IFERROR(__xludf.DUMMYFUNCTION("""COMPUTED_VALUE"""),44474)</f>
        <v>44474</v>
      </c>
    </row>
    <row r="1955" spans="1:10" x14ac:dyDescent="0.25">
      <c r="A1955" s="1" t="str">
        <f ca="1">IFERROR(__xludf.DUMMYFUNCTION("""COMPUTED_VALUE"""),"Pillangó TK")</f>
        <v>Pillangó TK</v>
      </c>
      <c r="B1955" s="1" t="str">
        <f ca="1">IFERROR(__xludf.DUMMYFUNCTION("""COMPUTED_VALUE"""),"Velencei Balázs")</f>
        <v>Velencei Balázs</v>
      </c>
      <c r="C1955" s="1"/>
      <c r="D1955" s="1" t="str">
        <f ca="1">IFERROR(__xludf.DUMMYFUNCTION("""COMPUTED_VALUE"""),"Férfi")</f>
        <v>Férfi</v>
      </c>
      <c r="E1955" s="1"/>
      <c r="F1955" s="1">
        <f ca="1">IFERROR(__xludf.DUMMYFUNCTION("""COMPUTED_VALUE"""),1994)</f>
        <v>1994</v>
      </c>
      <c r="G1955" s="1">
        <f ca="1">IFERROR(__xludf.DUMMYFUNCTION("""COMPUTED_VALUE"""),3416)</f>
        <v>3416</v>
      </c>
      <c r="H1955" s="1" t="str">
        <f ca="1">IFERROR(__xludf.DUMMYFUNCTION("""COMPUTED_VALUE"""),"MTLSZ003416A20")</f>
        <v>MTLSZ003416A20</v>
      </c>
      <c r="I1955" s="2">
        <f ca="1">IFERROR(__xludf.DUMMYFUNCTION("""COMPUTED_VALUE"""),44110)</f>
        <v>44110</v>
      </c>
      <c r="J1955" s="2">
        <f ca="1">IFERROR(__xludf.DUMMYFUNCTION("""COMPUTED_VALUE"""),44474)</f>
        <v>44474</v>
      </c>
    </row>
    <row r="1956" spans="1:10" x14ac:dyDescent="0.25">
      <c r="A1956" s="1" t="str">
        <f ca="1">IFERROR(__xludf.DUMMYFUNCTION("""COMPUTED_VALUE"""),"Érdi VSE")</f>
        <v>Érdi VSE</v>
      </c>
      <c r="B1956" s="1" t="str">
        <f ca="1">IFERROR(__xludf.DUMMYFUNCTION("""COMPUTED_VALUE"""),"Bugyenszki Adrienn")</f>
        <v>Bugyenszki Adrienn</v>
      </c>
      <c r="C1956" s="1"/>
      <c r="D1956" s="1" t="str">
        <f ca="1">IFERROR(__xludf.DUMMYFUNCTION("""COMPUTED_VALUE"""),"Nő")</f>
        <v>Nő</v>
      </c>
      <c r="E1956" s="1"/>
      <c r="F1956" s="1">
        <f ca="1">IFERROR(__xludf.DUMMYFUNCTION("""COMPUTED_VALUE"""),2003)</f>
        <v>2003</v>
      </c>
      <c r="G1956" s="1">
        <f ca="1">IFERROR(__xludf.DUMMYFUNCTION("""COMPUTED_VALUE"""),2517)</f>
        <v>2517</v>
      </c>
      <c r="H1956" s="1" t="str">
        <f ca="1">IFERROR(__xludf.DUMMYFUNCTION("""COMPUTED_VALUE"""),"MTLSZ002517A20")</f>
        <v>MTLSZ002517A20</v>
      </c>
      <c r="I1956" s="2">
        <f ca="1">IFERROR(__xludf.DUMMYFUNCTION("""COMPUTED_VALUE"""),44109)</f>
        <v>44109</v>
      </c>
      <c r="J1956" s="2">
        <f ca="1">IFERROR(__xludf.DUMMYFUNCTION("""COMPUTED_VALUE"""),44473)</f>
        <v>44473</v>
      </c>
    </row>
    <row r="1957" spans="1:10" x14ac:dyDescent="0.25">
      <c r="A1957" s="1" t="str">
        <f ca="1">IFERROR(__xludf.DUMMYFUNCTION("""COMPUTED_VALUE"""),"Újpest TSE")</f>
        <v>Újpest TSE</v>
      </c>
      <c r="B1957" s="1" t="str">
        <f ca="1">IFERROR(__xludf.DUMMYFUNCTION("""COMPUTED_VALUE"""),"Aranyossy Mátyás")</f>
        <v>Aranyossy Mátyás</v>
      </c>
      <c r="C1957" s="1"/>
      <c r="D1957" s="1" t="str">
        <f ca="1">IFERROR(__xludf.DUMMYFUNCTION("""COMPUTED_VALUE"""),"Férfi")</f>
        <v>Férfi</v>
      </c>
      <c r="E1957" s="1"/>
      <c r="F1957" s="1">
        <f ca="1">IFERROR(__xludf.DUMMYFUNCTION("""COMPUTED_VALUE"""),2004)</f>
        <v>2004</v>
      </c>
      <c r="G1957" s="1">
        <f ca="1">IFERROR(__xludf.DUMMYFUNCTION("""COMPUTED_VALUE"""),3171)</f>
        <v>3171</v>
      </c>
      <c r="H1957" s="1" t="str">
        <f ca="1">IFERROR(__xludf.DUMMYFUNCTION("""COMPUTED_VALUE"""),"MTLSZ003171A20")</f>
        <v>MTLSZ003171A20</v>
      </c>
      <c r="I1957" s="2">
        <f ca="1">IFERROR(__xludf.DUMMYFUNCTION("""COMPUTED_VALUE"""),44104)</f>
        <v>44104</v>
      </c>
      <c r="J1957" s="2">
        <f ca="1">IFERROR(__xludf.DUMMYFUNCTION("""COMPUTED_VALUE"""),44468)</f>
        <v>44468</v>
      </c>
    </row>
    <row r="1958" spans="1:10" x14ac:dyDescent="0.25">
      <c r="A1958" s="1" t="str">
        <f ca="1">IFERROR(__xludf.DUMMYFUNCTION("""COMPUTED_VALUE"""),"Újpest TSE")</f>
        <v>Újpest TSE</v>
      </c>
      <c r="B1958" s="1" t="str">
        <f ca="1">IFERROR(__xludf.DUMMYFUNCTION("""COMPUTED_VALUE"""),"Spiesz Mátyás")</f>
        <v>Spiesz Mátyás</v>
      </c>
      <c r="C1958" s="1"/>
      <c r="D1958" s="1" t="str">
        <f ca="1">IFERROR(__xludf.DUMMYFUNCTION("""COMPUTED_VALUE"""),"Férfi")</f>
        <v>Férfi</v>
      </c>
      <c r="E1958" s="1"/>
      <c r="F1958" s="1">
        <f ca="1">IFERROR(__xludf.DUMMYFUNCTION("""COMPUTED_VALUE"""),2001)</f>
        <v>2001</v>
      </c>
      <c r="G1958" s="1">
        <f ca="1">IFERROR(__xludf.DUMMYFUNCTION("""COMPUTED_VALUE"""),2733)</f>
        <v>2733</v>
      </c>
      <c r="H1958" s="1" t="str">
        <f ca="1">IFERROR(__xludf.DUMMYFUNCTION("""COMPUTED_VALUE"""),"MTLSZ002733A20")</f>
        <v>MTLSZ002733A20</v>
      </c>
      <c r="I1958" s="2">
        <f ca="1">IFERROR(__xludf.DUMMYFUNCTION("""COMPUTED_VALUE"""),44102)</f>
        <v>44102</v>
      </c>
      <c r="J1958" s="2">
        <f ca="1">IFERROR(__xludf.DUMMYFUNCTION("""COMPUTED_VALUE"""),44466)</f>
        <v>44466</v>
      </c>
    </row>
    <row r="1959" spans="1:10" x14ac:dyDescent="0.25">
      <c r="A1959" s="1" t="str">
        <f ca="1">IFERROR(__xludf.DUMMYFUNCTION("""COMPUTED_VALUE"""),"Kék Sólymok SE")</f>
        <v>Kék Sólymok SE</v>
      </c>
      <c r="B1959" s="1" t="str">
        <f ca="1">IFERROR(__xludf.DUMMYFUNCTION("""COMPUTED_VALUE"""),"Somogyi Lara")</f>
        <v>Somogyi Lara</v>
      </c>
      <c r="C1959" s="1"/>
      <c r="D1959" s="1" t="str">
        <f ca="1">IFERROR(__xludf.DUMMYFUNCTION("""COMPUTED_VALUE"""),"Nő")</f>
        <v>Nő</v>
      </c>
      <c r="E1959" s="1"/>
      <c r="F1959" s="1">
        <f ca="1">IFERROR(__xludf.DUMMYFUNCTION("""COMPUTED_VALUE"""),2008)</f>
        <v>2008</v>
      </c>
      <c r="G1959" s="1">
        <f ca="1">IFERROR(__xludf.DUMMYFUNCTION("""COMPUTED_VALUE"""),3335)</f>
        <v>3335</v>
      </c>
      <c r="H1959" s="1" t="str">
        <f ca="1">IFERROR(__xludf.DUMMYFUNCTION("""COMPUTED_VALUE"""),"MTLSZ003335A20")</f>
        <v>MTLSZ003335A20</v>
      </c>
      <c r="I1959" s="2">
        <f ca="1">IFERROR(__xludf.DUMMYFUNCTION("""COMPUTED_VALUE"""),44097)</f>
        <v>44097</v>
      </c>
      <c r="J1959" s="2">
        <f ca="1">IFERROR(__xludf.DUMMYFUNCTION("""COMPUTED_VALUE"""),44461)</f>
        <v>44461</v>
      </c>
    </row>
    <row r="1960" spans="1:10" x14ac:dyDescent="0.25">
      <c r="A1960" s="1" t="str">
        <f ca="1">IFERROR(__xludf.DUMMYFUNCTION("""COMPUTED_VALUE"""),"Kék Sólymok SE")</f>
        <v>Kék Sólymok SE</v>
      </c>
      <c r="B1960" s="1" t="str">
        <f ca="1">IFERROR(__xludf.DUMMYFUNCTION("""COMPUTED_VALUE"""),"Vobeczky Natasa")</f>
        <v>Vobeczky Natasa</v>
      </c>
      <c r="C1960" s="1"/>
      <c r="D1960" s="1" t="str">
        <f ca="1">IFERROR(__xludf.DUMMYFUNCTION("""COMPUTED_VALUE"""),"Nő")</f>
        <v>Nő</v>
      </c>
      <c r="E1960" s="1"/>
      <c r="F1960" s="1">
        <f ca="1">IFERROR(__xludf.DUMMYFUNCTION("""COMPUTED_VALUE"""),2008)</f>
        <v>2008</v>
      </c>
      <c r="G1960" s="1">
        <f ca="1">IFERROR(__xludf.DUMMYFUNCTION("""COMPUTED_VALUE"""),3334)</f>
        <v>3334</v>
      </c>
      <c r="H1960" s="1" t="str">
        <f ca="1">IFERROR(__xludf.DUMMYFUNCTION("""COMPUTED_VALUE"""),"MTLSZ003334A20")</f>
        <v>MTLSZ003334A20</v>
      </c>
      <c r="I1960" s="2">
        <f ca="1">IFERROR(__xludf.DUMMYFUNCTION("""COMPUTED_VALUE"""),44097)</f>
        <v>44097</v>
      </c>
      <c r="J1960" s="2">
        <f ca="1">IFERROR(__xludf.DUMMYFUNCTION("""COMPUTED_VALUE"""),44461)</f>
        <v>44461</v>
      </c>
    </row>
    <row r="1961" spans="1:10" x14ac:dyDescent="0.25">
      <c r="A1961" s="1" t="str">
        <f ca="1">IFERROR(__xludf.DUMMYFUNCTION("""COMPUTED_VALUE"""),"Életmód SE")</f>
        <v>Életmód SE</v>
      </c>
      <c r="B1961" s="1" t="str">
        <f ca="1">IFERROR(__xludf.DUMMYFUNCTION("""COMPUTED_VALUE"""),"Angyal Andrea")</f>
        <v>Angyal Andrea</v>
      </c>
      <c r="C1961" s="1"/>
      <c r="D1961" s="1" t="str">
        <f ca="1">IFERROR(__xludf.DUMMYFUNCTION("""COMPUTED_VALUE"""),"Nő")</f>
        <v>Nő</v>
      </c>
      <c r="E1961" s="1"/>
      <c r="F1961" s="1">
        <f ca="1">IFERROR(__xludf.DUMMYFUNCTION("""COMPUTED_VALUE"""),1976)</f>
        <v>1976</v>
      </c>
      <c r="G1961" s="1">
        <f ca="1">IFERROR(__xludf.DUMMYFUNCTION("""COMPUTED_VALUE"""),2666)</f>
        <v>2666</v>
      </c>
      <c r="H1961" s="1" t="str">
        <f ca="1">IFERROR(__xludf.DUMMYFUNCTION("""COMPUTED_VALUE"""),"MTLSZ002666A20")</f>
        <v>MTLSZ002666A20</v>
      </c>
      <c r="I1961" s="2">
        <f ca="1">IFERROR(__xludf.DUMMYFUNCTION("""COMPUTED_VALUE"""),44096)</f>
        <v>44096</v>
      </c>
      <c r="J1961" s="2">
        <f ca="1">IFERROR(__xludf.DUMMYFUNCTION("""COMPUTED_VALUE"""),44460)</f>
        <v>44460</v>
      </c>
    </row>
    <row r="1962" spans="1:10" x14ac:dyDescent="0.25">
      <c r="A1962" s="1" t="str">
        <f ca="1">IFERROR(__xludf.DUMMYFUNCTION("""COMPUTED_VALUE"""),"Életmód SE")</f>
        <v>Életmód SE</v>
      </c>
      <c r="B1962" s="1" t="str">
        <f ca="1">IFERROR(__xludf.DUMMYFUNCTION("""COMPUTED_VALUE"""),"Gál Bulcsú")</f>
        <v>Gál Bulcsú</v>
      </c>
      <c r="C1962" s="1"/>
      <c r="D1962" s="1" t="str">
        <f ca="1">IFERROR(__xludf.DUMMYFUNCTION("""COMPUTED_VALUE"""),"Férfi")</f>
        <v>Férfi</v>
      </c>
      <c r="E1962" s="1"/>
      <c r="F1962" s="1">
        <f ca="1">IFERROR(__xludf.DUMMYFUNCTION("""COMPUTED_VALUE"""),2010)</f>
        <v>2010</v>
      </c>
      <c r="G1962" s="1">
        <f ca="1">IFERROR(__xludf.DUMMYFUNCTION("""COMPUTED_VALUE"""),3540)</f>
        <v>3540</v>
      </c>
      <c r="H1962" s="1" t="str">
        <f ca="1">IFERROR(__xludf.DUMMYFUNCTION("""COMPUTED_VALUE"""),"MTLSZ003540A20")</f>
        <v>MTLSZ003540A20</v>
      </c>
      <c r="I1962" s="2">
        <f ca="1">IFERROR(__xludf.DUMMYFUNCTION("""COMPUTED_VALUE"""),44096)</f>
        <v>44096</v>
      </c>
      <c r="J1962" s="2">
        <f ca="1">IFERROR(__xludf.DUMMYFUNCTION("""COMPUTED_VALUE"""),44460)</f>
        <v>44460</v>
      </c>
    </row>
    <row r="1963" spans="1:10" x14ac:dyDescent="0.25">
      <c r="A1963" s="1" t="str">
        <f ca="1">IFERROR(__xludf.DUMMYFUNCTION("""COMPUTED_VALUE"""),"Életmód SE")</f>
        <v>Életmód SE</v>
      </c>
      <c r="B1963" s="1" t="str">
        <f ca="1">IFERROR(__xludf.DUMMYFUNCTION("""COMPUTED_VALUE"""),"Gál Hunor")</f>
        <v>Gál Hunor</v>
      </c>
      <c r="C1963" s="1"/>
      <c r="D1963" s="1" t="str">
        <f ca="1">IFERROR(__xludf.DUMMYFUNCTION("""COMPUTED_VALUE"""),"Férfi")</f>
        <v>Férfi</v>
      </c>
      <c r="E1963" s="1"/>
      <c r="F1963" s="1">
        <f ca="1">IFERROR(__xludf.DUMMYFUNCTION("""COMPUTED_VALUE"""),2008)</f>
        <v>2008</v>
      </c>
      <c r="G1963" s="1">
        <f ca="1">IFERROR(__xludf.DUMMYFUNCTION("""COMPUTED_VALUE"""),3541)</f>
        <v>3541</v>
      </c>
      <c r="H1963" s="1" t="str">
        <f ca="1">IFERROR(__xludf.DUMMYFUNCTION("""COMPUTED_VALUE"""),"MTLSZ003541A20")</f>
        <v>MTLSZ003541A20</v>
      </c>
      <c r="I1963" s="2">
        <f ca="1">IFERROR(__xludf.DUMMYFUNCTION("""COMPUTED_VALUE"""),44096)</f>
        <v>44096</v>
      </c>
      <c r="J1963" s="2">
        <f ca="1">IFERROR(__xludf.DUMMYFUNCTION("""COMPUTED_VALUE"""),44460)</f>
        <v>44460</v>
      </c>
    </row>
    <row r="1964" spans="1:10" x14ac:dyDescent="0.25">
      <c r="A1964" s="1" t="str">
        <f ca="1">IFERROR(__xludf.DUMMYFUNCTION("""COMPUTED_VALUE"""),"Életmód SE")</f>
        <v>Életmód SE</v>
      </c>
      <c r="B1964" s="1" t="str">
        <f ca="1">IFERROR(__xludf.DUMMYFUNCTION("""COMPUTED_VALUE"""),"Gógány Éva")</f>
        <v>Gógány Éva</v>
      </c>
      <c r="C1964" s="1"/>
      <c r="D1964" s="1" t="str">
        <f ca="1">IFERROR(__xludf.DUMMYFUNCTION("""COMPUTED_VALUE"""),"Nő")</f>
        <v>Nő</v>
      </c>
      <c r="E1964" s="1"/>
      <c r="F1964" s="1">
        <f ca="1">IFERROR(__xludf.DUMMYFUNCTION("""COMPUTED_VALUE"""),1976)</f>
        <v>1976</v>
      </c>
      <c r="G1964" s="1">
        <f ca="1">IFERROR(__xludf.DUMMYFUNCTION("""COMPUTED_VALUE"""),3537)</f>
        <v>3537</v>
      </c>
      <c r="H1964" s="1" t="str">
        <f ca="1">IFERROR(__xludf.DUMMYFUNCTION("""COMPUTED_VALUE"""),"MTLSZ003537A20")</f>
        <v>MTLSZ003537A20</v>
      </c>
      <c r="I1964" s="2">
        <f ca="1">IFERROR(__xludf.DUMMYFUNCTION("""COMPUTED_VALUE"""),44096)</f>
        <v>44096</v>
      </c>
      <c r="J1964" s="2">
        <f ca="1">IFERROR(__xludf.DUMMYFUNCTION("""COMPUTED_VALUE"""),44460)</f>
        <v>44460</v>
      </c>
    </row>
    <row r="1965" spans="1:10" x14ac:dyDescent="0.25">
      <c r="A1965" s="1" t="str">
        <f ca="1">IFERROR(__xludf.DUMMYFUNCTION("""COMPUTED_VALUE"""),"Életmód SE")</f>
        <v>Életmód SE</v>
      </c>
      <c r="B1965" s="1" t="str">
        <f ca="1">IFERROR(__xludf.DUMMYFUNCTION("""COMPUTED_VALUE"""),"Kövecses Judit")</f>
        <v>Kövecses Judit</v>
      </c>
      <c r="C1965" s="1"/>
      <c r="D1965" s="1" t="str">
        <f ca="1">IFERROR(__xludf.DUMMYFUNCTION("""COMPUTED_VALUE"""),"Nő")</f>
        <v>Nő</v>
      </c>
      <c r="E1965" s="1"/>
      <c r="F1965" s="1">
        <f ca="1">IFERROR(__xludf.DUMMYFUNCTION("""COMPUTED_VALUE"""),2008)</f>
        <v>2008</v>
      </c>
      <c r="G1965" s="1">
        <f ca="1">IFERROR(__xludf.DUMMYFUNCTION("""COMPUTED_VALUE"""),3418)</f>
        <v>3418</v>
      </c>
      <c r="H1965" s="1" t="str">
        <f ca="1">IFERROR(__xludf.DUMMYFUNCTION("""COMPUTED_VALUE"""),"MTLSZ003418A20")</f>
        <v>MTLSZ003418A20</v>
      </c>
      <c r="I1965" s="2">
        <f ca="1">IFERROR(__xludf.DUMMYFUNCTION("""COMPUTED_VALUE"""),44096)</f>
        <v>44096</v>
      </c>
      <c r="J1965" s="2">
        <f ca="1">IFERROR(__xludf.DUMMYFUNCTION("""COMPUTED_VALUE"""),44460)</f>
        <v>44460</v>
      </c>
    </row>
    <row r="1966" spans="1:10" x14ac:dyDescent="0.25">
      <c r="A1966" s="1" t="str">
        <f ca="1">IFERROR(__xludf.DUMMYFUNCTION("""COMPUTED_VALUE"""),"Életmód SE")</f>
        <v>Életmód SE</v>
      </c>
      <c r="B1966" s="1" t="str">
        <f ca="1">IFERROR(__xludf.DUMMYFUNCTION("""COMPUTED_VALUE"""),"Molnár Gergely")</f>
        <v>Molnár Gergely</v>
      </c>
      <c r="C1966" s="1"/>
      <c r="D1966" s="1" t="str">
        <f ca="1">IFERROR(__xludf.DUMMYFUNCTION("""COMPUTED_VALUE"""),"Férfi")</f>
        <v>Férfi</v>
      </c>
      <c r="E1966" s="1"/>
      <c r="F1966" s="1">
        <f ca="1">IFERROR(__xludf.DUMMYFUNCTION("""COMPUTED_VALUE"""),1994)</f>
        <v>1994</v>
      </c>
      <c r="G1966" s="1">
        <f ca="1">IFERROR(__xludf.DUMMYFUNCTION("""COMPUTED_VALUE"""),3539)</f>
        <v>3539</v>
      </c>
      <c r="H1966" s="1" t="str">
        <f ca="1">IFERROR(__xludf.DUMMYFUNCTION("""COMPUTED_VALUE"""),"MTLSZ003539A20")</f>
        <v>MTLSZ003539A20</v>
      </c>
      <c r="I1966" s="2">
        <f ca="1">IFERROR(__xludf.DUMMYFUNCTION("""COMPUTED_VALUE"""),44096)</f>
        <v>44096</v>
      </c>
      <c r="J1966" s="2">
        <f ca="1">IFERROR(__xludf.DUMMYFUNCTION("""COMPUTED_VALUE"""),44460)</f>
        <v>44460</v>
      </c>
    </row>
    <row r="1967" spans="1:10" x14ac:dyDescent="0.25">
      <c r="A1967" s="1" t="str">
        <f ca="1">IFERROR(__xludf.DUMMYFUNCTION("""COMPUTED_VALUE"""),"Életmód SE")</f>
        <v>Életmód SE</v>
      </c>
      <c r="B1967" s="1" t="str">
        <f ca="1">IFERROR(__xludf.DUMMYFUNCTION("""COMPUTED_VALUE"""),"Szatmári Tamás")</f>
        <v>Szatmári Tamás</v>
      </c>
      <c r="C1967" s="1"/>
      <c r="D1967" s="1" t="str">
        <f ca="1">IFERROR(__xludf.DUMMYFUNCTION("""COMPUTED_VALUE"""),"Férfi")</f>
        <v>Férfi</v>
      </c>
      <c r="E1967" s="1"/>
      <c r="F1967" s="1">
        <f ca="1">IFERROR(__xludf.DUMMYFUNCTION("""COMPUTED_VALUE"""),2009)</f>
        <v>2009</v>
      </c>
      <c r="G1967" s="1">
        <f ca="1">IFERROR(__xludf.DUMMYFUNCTION("""COMPUTED_VALUE"""),3313)</f>
        <v>3313</v>
      </c>
      <c r="H1967" s="1" t="str">
        <f ca="1">IFERROR(__xludf.DUMMYFUNCTION("""COMPUTED_VALUE"""),"MTLSZ003313A20")</f>
        <v>MTLSZ003313A20</v>
      </c>
      <c r="I1967" s="2">
        <f ca="1">IFERROR(__xludf.DUMMYFUNCTION("""COMPUTED_VALUE"""),44096)</f>
        <v>44096</v>
      </c>
      <c r="J1967" s="2">
        <f ca="1">IFERROR(__xludf.DUMMYFUNCTION("""COMPUTED_VALUE"""),44460)</f>
        <v>44460</v>
      </c>
    </row>
    <row r="1968" spans="1:10" x14ac:dyDescent="0.25">
      <c r="A1968" s="1" t="str">
        <f ca="1">IFERROR(__xludf.DUMMYFUNCTION("""COMPUTED_VALUE"""),"Életmód SE")</f>
        <v>Életmód SE</v>
      </c>
      <c r="B1968" s="1" t="str">
        <f ca="1">IFERROR(__xludf.DUMMYFUNCTION("""COMPUTED_VALUE"""),"Tóth Gábor")</f>
        <v>Tóth Gábor</v>
      </c>
      <c r="C1968" s="1"/>
      <c r="D1968" s="1" t="str">
        <f ca="1">IFERROR(__xludf.DUMMYFUNCTION("""COMPUTED_VALUE"""),"Férfi")</f>
        <v>Férfi</v>
      </c>
      <c r="E1968" s="1"/>
      <c r="F1968" s="1">
        <f ca="1">IFERROR(__xludf.DUMMYFUNCTION("""COMPUTED_VALUE"""),1965)</f>
        <v>1965</v>
      </c>
      <c r="G1968" s="1">
        <f ca="1">IFERROR(__xludf.DUMMYFUNCTION("""COMPUTED_VALUE"""),3538)</f>
        <v>3538</v>
      </c>
      <c r="H1968" s="1" t="str">
        <f ca="1">IFERROR(__xludf.DUMMYFUNCTION("""COMPUTED_VALUE"""),"MTLSZ003538A20")</f>
        <v>MTLSZ003538A20</v>
      </c>
      <c r="I1968" s="2">
        <f ca="1">IFERROR(__xludf.DUMMYFUNCTION("""COMPUTED_VALUE"""),44096)</f>
        <v>44096</v>
      </c>
      <c r="J1968" s="2">
        <f ca="1">IFERROR(__xludf.DUMMYFUNCTION("""COMPUTED_VALUE"""),44460)</f>
        <v>44460</v>
      </c>
    </row>
    <row r="1969" spans="1:10" x14ac:dyDescent="0.25">
      <c r="A1969" s="1" t="str">
        <f ca="1">IFERROR(__xludf.DUMMYFUNCTION("""COMPUTED_VALUE"""),"Életmód SE")</f>
        <v>Életmód SE</v>
      </c>
      <c r="B1969" s="1"/>
      <c r="C1969" s="1"/>
      <c r="D1969" s="1"/>
      <c r="E1969" s="1"/>
      <c r="F1969" s="1">
        <f ca="1">IFERROR(__xludf.DUMMYFUNCTION("""COMPUTED_VALUE"""),1899)</f>
        <v>1899</v>
      </c>
      <c r="G1969" s="1">
        <f ca="1">IFERROR(__xludf.DUMMYFUNCTION("""COMPUTED_VALUE"""),3536)</f>
        <v>3536</v>
      </c>
      <c r="H1969" s="1"/>
      <c r="I1969" s="2">
        <f ca="1">IFERROR(__xludf.DUMMYFUNCTION("""COMPUTED_VALUE"""),44096)</f>
        <v>44096</v>
      </c>
      <c r="J1969" s="2">
        <f ca="1">IFERROR(__xludf.DUMMYFUNCTION("""COMPUTED_VALUE"""),44460)</f>
        <v>44460</v>
      </c>
    </row>
    <row r="1970" spans="1:10" x14ac:dyDescent="0.25">
      <c r="A1970" s="1" t="str">
        <f ca="1">IFERROR(__xludf.DUMMYFUNCTION("""COMPUTED_VALUE"""),"KörösTSE")</f>
        <v>KörösTSE</v>
      </c>
      <c r="B1970" s="1" t="str">
        <f ca="1">IFERROR(__xludf.DUMMYFUNCTION("""COMPUTED_VALUE"""),"Borbély Emese")</f>
        <v>Borbély Emese</v>
      </c>
      <c r="C1970" s="1"/>
      <c r="D1970" s="1" t="str">
        <f ca="1">IFERROR(__xludf.DUMMYFUNCTION("""COMPUTED_VALUE"""),"Nő")</f>
        <v>Nő</v>
      </c>
      <c r="E1970" s="1"/>
      <c r="F1970" s="1">
        <f ca="1">IFERROR(__xludf.DUMMYFUNCTION("""COMPUTED_VALUE"""),2005)</f>
        <v>2005</v>
      </c>
      <c r="G1970" s="1">
        <f ca="1">IFERROR(__xludf.DUMMYFUNCTION("""COMPUTED_VALUE"""),3454)</f>
        <v>3454</v>
      </c>
      <c r="H1970" s="1" t="str">
        <f ca="1">IFERROR(__xludf.DUMMYFUNCTION("""COMPUTED_VALUE"""),"MTLSZ003454A20")</f>
        <v>MTLSZ003454A20</v>
      </c>
      <c r="I1970" s="2">
        <f ca="1">IFERROR(__xludf.DUMMYFUNCTION("""COMPUTED_VALUE"""),44091)</f>
        <v>44091</v>
      </c>
      <c r="J1970" s="2">
        <f ca="1">IFERROR(__xludf.DUMMYFUNCTION("""COMPUTED_VALUE"""),44455)</f>
        <v>44455</v>
      </c>
    </row>
    <row r="1971" spans="1:10" x14ac:dyDescent="0.25">
      <c r="A1971" s="1" t="str">
        <f ca="1">IFERROR(__xludf.DUMMYFUNCTION("""COMPUTED_VALUE"""),"KörösTSE")</f>
        <v>KörösTSE</v>
      </c>
      <c r="B1971" s="1" t="str">
        <f ca="1">IFERROR(__xludf.DUMMYFUNCTION("""COMPUTED_VALUE"""),"Bartos Csaba")</f>
        <v>Bartos Csaba</v>
      </c>
      <c r="C1971" s="1"/>
      <c r="D1971" s="1" t="str">
        <f ca="1">IFERROR(__xludf.DUMMYFUNCTION("""COMPUTED_VALUE"""),"Férfi")</f>
        <v>Férfi</v>
      </c>
      <c r="E1971" s="1"/>
      <c r="F1971" s="1">
        <f ca="1">IFERROR(__xludf.DUMMYFUNCTION("""COMPUTED_VALUE"""),2004)</f>
        <v>2004</v>
      </c>
      <c r="G1971" s="1">
        <f ca="1">IFERROR(__xludf.DUMMYFUNCTION("""COMPUTED_VALUE"""),3404)</f>
        <v>3404</v>
      </c>
      <c r="H1971" s="1" t="str">
        <f ca="1">IFERROR(__xludf.DUMMYFUNCTION("""COMPUTED_VALUE"""),"MTLSZ003404A20")</f>
        <v>MTLSZ003404A20</v>
      </c>
      <c r="I1971" s="2">
        <f ca="1">IFERROR(__xludf.DUMMYFUNCTION("""COMPUTED_VALUE"""),44089)</f>
        <v>44089</v>
      </c>
      <c r="J1971" s="2">
        <f ca="1">IFERROR(__xludf.DUMMYFUNCTION("""COMPUTED_VALUE"""),44453)</f>
        <v>44453</v>
      </c>
    </row>
    <row r="1972" spans="1:10" x14ac:dyDescent="0.25">
      <c r="A1972" s="1" t="str">
        <f ca="1">IFERROR(__xludf.DUMMYFUNCTION("""COMPUTED_VALUE"""),"KörösTSE")</f>
        <v>KörösTSE</v>
      </c>
      <c r="B1972" s="1" t="str">
        <f ca="1">IFERROR(__xludf.DUMMYFUNCTION("""COMPUTED_VALUE"""),"Hankó Petra")</f>
        <v>Hankó Petra</v>
      </c>
      <c r="C1972" s="1"/>
      <c r="D1972" s="1" t="str">
        <f ca="1">IFERROR(__xludf.DUMMYFUNCTION("""COMPUTED_VALUE"""),"Nő")</f>
        <v>Nő</v>
      </c>
      <c r="E1972" s="1"/>
      <c r="F1972" s="1">
        <f ca="1">IFERROR(__xludf.DUMMYFUNCTION("""COMPUTED_VALUE"""),2005)</f>
        <v>2005</v>
      </c>
      <c r="G1972" s="1">
        <f ca="1">IFERROR(__xludf.DUMMYFUNCTION("""COMPUTED_VALUE"""),3149)</f>
        <v>3149</v>
      </c>
      <c r="H1972" s="1" t="str">
        <f ca="1">IFERROR(__xludf.DUMMYFUNCTION("""COMPUTED_VALUE"""),"MTLSZ003149A20")</f>
        <v>MTLSZ003149A20</v>
      </c>
      <c r="I1972" s="2">
        <f ca="1">IFERROR(__xludf.DUMMYFUNCTION("""COMPUTED_VALUE"""),44089)</f>
        <v>44089</v>
      </c>
      <c r="J1972" s="2">
        <f ca="1">IFERROR(__xludf.DUMMYFUNCTION("""COMPUTED_VALUE"""),44453)</f>
        <v>44453</v>
      </c>
    </row>
    <row r="1973" spans="1:10" x14ac:dyDescent="0.25">
      <c r="A1973" s="1" t="str">
        <f ca="1">IFERROR(__xludf.DUMMYFUNCTION("""COMPUTED_VALUE"""),"KörösTSE")</f>
        <v>KörösTSE</v>
      </c>
      <c r="B1973" s="1" t="str">
        <f ca="1">IFERROR(__xludf.DUMMYFUNCTION("""COMPUTED_VALUE"""),"Tószögi Olivér György")</f>
        <v>Tószögi Olivér György</v>
      </c>
      <c r="C1973" s="1"/>
      <c r="D1973" s="1" t="str">
        <f ca="1">IFERROR(__xludf.DUMMYFUNCTION("""COMPUTED_VALUE"""),"Férfi")</f>
        <v>Férfi</v>
      </c>
      <c r="E1973" s="1"/>
      <c r="F1973" s="1">
        <f ca="1">IFERROR(__xludf.DUMMYFUNCTION("""COMPUTED_VALUE"""),2005)</f>
        <v>2005</v>
      </c>
      <c r="G1973" s="1">
        <f ca="1">IFERROR(__xludf.DUMMYFUNCTION("""COMPUTED_VALUE"""),3235)</f>
        <v>3235</v>
      </c>
      <c r="H1973" s="1" t="str">
        <f ca="1">IFERROR(__xludf.DUMMYFUNCTION("""COMPUTED_VALUE"""),"MTLSZ003235A20")</f>
        <v>MTLSZ003235A20</v>
      </c>
      <c r="I1973" s="2">
        <f ca="1">IFERROR(__xludf.DUMMYFUNCTION("""COMPUTED_VALUE"""),44089)</f>
        <v>44089</v>
      </c>
      <c r="J1973" s="2">
        <f ca="1">IFERROR(__xludf.DUMMYFUNCTION("""COMPUTED_VALUE"""),44453)</f>
        <v>44453</v>
      </c>
    </row>
    <row r="1974" spans="1:10" x14ac:dyDescent="0.25">
      <c r="A1974" s="1" t="str">
        <f ca="1">IFERROR(__xludf.DUMMYFUNCTION("""COMPUTED_VALUE"""),"Ludovika SE")</f>
        <v>Ludovika SE</v>
      </c>
      <c r="B1974" s="1" t="str">
        <f ca="1">IFERROR(__xludf.DUMMYFUNCTION("""COMPUTED_VALUE"""),"Papp Violetta")</f>
        <v>Papp Violetta</v>
      </c>
      <c r="C1974" s="1"/>
      <c r="D1974" s="1" t="str">
        <f ca="1">IFERROR(__xludf.DUMMYFUNCTION("""COMPUTED_VALUE"""),"Nő")</f>
        <v>Nő</v>
      </c>
      <c r="E1974" s="1"/>
      <c r="F1974" s="1">
        <f ca="1">IFERROR(__xludf.DUMMYFUNCTION("""COMPUTED_VALUE"""),1996)</f>
        <v>1996</v>
      </c>
      <c r="G1974" s="1">
        <f ca="1">IFERROR(__xludf.DUMMYFUNCTION("""COMPUTED_VALUE"""),2058)</f>
        <v>2058</v>
      </c>
      <c r="H1974" s="1" t="str">
        <f ca="1">IFERROR(__xludf.DUMMYFUNCTION("""COMPUTED_VALUE"""),"MTLSZ002058A20")</f>
        <v>MTLSZ002058A20</v>
      </c>
      <c r="I1974" s="2">
        <f ca="1">IFERROR(__xludf.DUMMYFUNCTION("""COMPUTED_VALUE"""),44088)</f>
        <v>44088</v>
      </c>
      <c r="J1974" s="2">
        <f ca="1">IFERROR(__xludf.DUMMYFUNCTION("""COMPUTED_VALUE"""),44452)</f>
        <v>44452</v>
      </c>
    </row>
    <row r="1975" spans="1:10" x14ac:dyDescent="0.25">
      <c r="A1975" s="1" t="str">
        <f ca="1">IFERROR(__xludf.DUMMYFUNCTION("""COMPUTED_VALUE"""),"Ludovika SE")</f>
        <v>Ludovika SE</v>
      </c>
      <c r="B1975" s="1" t="str">
        <f ca="1">IFERROR(__xludf.DUMMYFUNCTION("""COMPUTED_VALUE"""),"Vásárhelyi Nagy Anna")</f>
        <v>Vásárhelyi Nagy Anna</v>
      </c>
      <c r="C1975" s="1"/>
      <c r="D1975" s="1" t="str">
        <f ca="1">IFERROR(__xludf.DUMMYFUNCTION("""COMPUTED_VALUE"""),"Nő")</f>
        <v>Nő</v>
      </c>
      <c r="E1975" s="1"/>
      <c r="F1975" s="1">
        <f ca="1">IFERROR(__xludf.DUMMYFUNCTION("""COMPUTED_VALUE"""),2003)</f>
        <v>2003</v>
      </c>
      <c r="G1975" s="1">
        <f ca="1">IFERROR(__xludf.DUMMYFUNCTION("""COMPUTED_VALUE"""),3311)</f>
        <v>3311</v>
      </c>
      <c r="H1975" s="1" t="str">
        <f ca="1">IFERROR(__xludf.DUMMYFUNCTION("""COMPUTED_VALUE"""),"MTLSZ003311A20")</f>
        <v>MTLSZ003311A20</v>
      </c>
      <c r="I1975" s="2">
        <f ca="1">IFERROR(__xludf.DUMMYFUNCTION("""COMPUTED_VALUE"""),44084)</f>
        <v>44084</v>
      </c>
      <c r="J1975" s="2">
        <f ca="1">IFERROR(__xludf.DUMMYFUNCTION("""COMPUTED_VALUE"""),44448)</f>
        <v>44448</v>
      </c>
    </row>
    <row r="1976" spans="1:10" x14ac:dyDescent="0.25">
      <c r="A1976" s="1" t="str">
        <f ca="1">IFERROR(__xludf.DUMMYFUNCTION("""COMPUTED_VALUE"""),"Újpest TSE")</f>
        <v>Újpest TSE</v>
      </c>
      <c r="B1976" s="1" t="str">
        <f ca="1">IFERROR(__xludf.DUMMYFUNCTION("""COMPUTED_VALUE"""),"Ádám Krisztina")</f>
        <v>Ádám Krisztina</v>
      </c>
      <c r="C1976" s="1"/>
      <c r="D1976" s="1" t="str">
        <f ca="1">IFERROR(__xludf.DUMMYFUNCTION("""COMPUTED_VALUE"""),"Nő")</f>
        <v>Nő</v>
      </c>
      <c r="E1976" s="1"/>
      <c r="F1976" s="1">
        <f ca="1">IFERROR(__xludf.DUMMYFUNCTION("""COMPUTED_VALUE"""),1981)</f>
        <v>1981</v>
      </c>
      <c r="G1976" s="1">
        <f ca="1">IFERROR(__xludf.DUMMYFUNCTION("""COMPUTED_VALUE"""),10)</f>
        <v>10</v>
      </c>
      <c r="H1976" s="1" t="str">
        <f ca="1">IFERROR(__xludf.DUMMYFUNCTION("""COMPUTED_VALUE"""),"MTLSZ000010A20")</f>
        <v>MTLSZ000010A20</v>
      </c>
      <c r="I1976" s="2">
        <f ca="1">IFERROR(__xludf.DUMMYFUNCTION("""COMPUTED_VALUE"""),44084)</f>
        <v>44084</v>
      </c>
      <c r="J1976" s="2">
        <f ca="1">IFERROR(__xludf.DUMMYFUNCTION("""COMPUTED_VALUE"""),44448)</f>
        <v>44448</v>
      </c>
    </row>
    <row r="1977" spans="1:10" x14ac:dyDescent="0.25">
      <c r="A1977" s="1" t="str">
        <f ca="1">IFERROR(__xludf.DUMMYFUNCTION("""COMPUTED_VALUE"""),"Újpest TSE")</f>
        <v>Újpest TSE</v>
      </c>
      <c r="B1977" s="1" t="str">
        <f ca="1">IFERROR(__xludf.DUMMYFUNCTION("""COMPUTED_VALUE"""),"Mészáros Vencel")</f>
        <v>Mészáros Vencel</v>
      </c>
      <c r="C1977" s="1"/>
      <c r="D1977" s="1" t="str">
        <f ca="1">IFERROR(__xludf.DUMMYFUNCTION("""COMPUTED_VALUE"""),"Férfi")</f>
        <v>Férfi</v>
      </c>
      <c r="E1977" s="1"/>
      <c r="F1977" s="1">
        <f ca="1">IFERROR(__xludf.DUMMYFUNCTION("""COMPUTED_VALUE"""),2003)</f>
        <v>2003</v>
      </c>
      <c r="G1977" s="1">
        <f ca="1">IFERROR(__xludf.DUMMYFUNCTION("""COMPUTED_VALUE"""),2578)</f>
        <v>2578</v>
      </c>
      <c r="H1977" s="1" t="str">
        <f ca="1">IFERROR(__xludf.DUMMYFUNCTION("""COMPUTED_VALUE"""),"MTLSZ002578A20")</f>
        <v>MTLSZ002578A20</v>
      </c>
      <c r="I1977" s="2">
        <f ca="1">IFERROR(__xludf.DUMMYFUNCTION("""COMPUTED_VALUE"""),44084)</f>
        <v>44084</v>
      </c>
      <c r="J1977" s="2">
        <f ca="1">IFERROR(__xludf.DUMMYFUNCTION("""COMPUTED_VALUE"""),44448)</f>
        <v>44448</v>
      </c>
    </row>
    <row r="1978" spans="1:10" x14ac:dyDescent="0.25">
      <c r="A1978" s="1" t="str">
        <f ca="1">IFERROR(__xludf.DUMMYFUNCTION("""COMPUTED_VALUE"""),"Kilián Iskola DSE")</f>
        <v>Kilián Iskola DSE</v>
      </c>
      <c r="B1978" s="1" t="str">
        <f ca="1">IFERROR(__xludf.DUMMYFUNCTION("""COMPUTED_VALUE"""),"Mester Tamás")</f>
        <v>Mester Tamás</v>
      </c>
      <c r="C1978" s="1"/>
      <c r="D1978" s="1" t="str">
        <f ca="1">IFERROR(__xludf.DUMMYFUNCTION("""COMPUTED_VALUE"""),"Férfi")</f>
        <v>Férfi</v>
      </c>
      <c r="E1978" s="1"/>
      <c r="F1978" s="1">
        <f ca="1">IFERROR(__xludf.DUMMYFUNCTION("""COMPUTED_VALUE"""),1982)</f>
        <v>1982</v>
      </c>
      <c r="G1978" s="1">
        <f ca="1">IFERROR(__xludf.DUMMYFUNCTION("""COMPUTED_VALUE"""),636)</f>
        <v>636</v>
      </c>
      <c r="H1978" s="1" t="str">
        <f ca="1">IFERROR(__xludf.DUMMYFUNCTION("""COMPUTED_VALUE"""),"MTLSZ000636A20")</f>
        <v>MTLSZ000636A20</v>
      </c>
      <c r="I1978" s="2">
        <f ca="1">IFERROR(__xludf.DUMMYFUNCTION("""COMPUTED_VALUE"""),44082)</f>
        <v>44082</v>
      </c>
      <c r="J1978" s="2">
        <f ca="1">IFERROR(__xludf.DUMMYFUNCTION("""COMPUTED_VALUE"""),44446)</f>
        <v>44446</v>
      </c>
    </row>
    <row r="1979" spans="1:10" x14ac:dyDescent="0.25">
      <c r="A1979" s="1" t="str">
        <f ca="1">IFERROR(__xludf.DUMMYFUNCTION("""COMPUTED_VALUE"""),"Kilián Iskola DSE")</f>
        <v>Kilián Iskola DSE</v>
      </c>
      <c r="B1979" s="1" t="str">
        <f ca="1">IFERROR(__xludf.DUMMYFUNCTION("""COMPUTED_VALUE"""),"Végh Anita")</f>
        <v>Végh Anita</v>
      </c>
      <c r="C1979" s="1"/>
      <c r="D1979" s="1" t="str">
        <f ca="1">IFERROR(__xludf.DUMMYFUNCTION("""COMPUTED_VALUE"""),"Nő")</f>
        <v>Nő</v>
      </c>
      <c r="E1979" s="1"/>
      <c r="F1979" s="1">
        <f ca="1">IFERROR(__xludf.DUMMYFUNCTION("""COMPUTED_VALUE"""),1983)</f>
        <v>1983</v>
      </c>
      <c r="G1979" s="1">
        <f ca="1">IFERROR(__xludf.DUMMYFUNCTION("""COMPUTED_VALUE"""),1109)</f>
        <v>1109</v>
      </c>
      <c r="H1979" s="1" t="str">
        <f ca="1">IFERROR(__xludf.DUMMYFUNCTION("""COMPUTED_VALUE"""),"MTLSZ001109A20")</f>
        <v>MTLSZ001109A20</v>
      </c>
      <c r="I1979" s="2">
        <f ca="1">IFERROR(__xludf.DUMMYFUNCTION("""COMPUTED_VALUE"""),44082)</f>
        <v>44082</v>
      </c>
      <c r="J1979" s="2">
        <f ca="1">IFERROR(__xludf.DUMMYFUNCTION("""COMPUTED_VALUE"""),44446)</f>
        <v>44446</v>
      </c>
    </row>
    <row r="1980" spans="1:10" x14ac:dyDescent="0.25">
      <c r="A1980" s="1" t="str">
        <f ca="1">IFERROR(__xludf.DUMMYFUNCTION("""COMPUTED_VALUE"""),"Ludovika SE")</f>
        <v>Ludovika SE</v>
      </c>
      <c r="B1980" s="1" t="str">
        <f ca="1">IFERROR(__xludf.DUMMYFUNCTION("""COMPUTED_VALUE"""),"Kispál Klaudia Kata")</f>
        <v>Kispál Klaudia Kata</v>
      </c>
      <c r="C1980" s="1"/>
      <c r="D1980" s="1" t="str">
        <f ca="1">IFERROR(__xludf.DUMMYFUNCTION("""COMPUTED_VALUE"""),"Nő")</f>
        <v>Nő</v>
      </c>
      <c r="E1980" s="1"/>
      <c r="F1980" s="1">
        <f ca="1">IFERROR(__xludf.DUMMYFUNCTION("""COMPUTED_VALUE"""),1995)</f>
        <v>1995</v>
      </c>
      <c r="G1980" s="1">
        <f ca="1">IFERROR(__xludf.DUMMYFUNCTION("""COMPUTED_VALUE"""),1330)</f>
        <v>1330</v>
      </c>
      <c r="H1980" s="1" t="str">
        <f ca="1">IFERROR(__xludf.DUMMYFUNCTION("""COMPUTED_VALUE"""),"MTLSZ001330A20")</f>
        <v>MTLSZ001330A20</v>
      </c>
      <c r="I1980" s="2">
        <f ca="1">IFERROR(__xludf.DUMMYFUNCTION("""COMPUTED_VALUE"""),44081)</f>
        <v>44081</v>
      </c>
      <c r="J1980" s="2">
        <f ca="1">IFERROR(__xludf.DUMMYFUNCTION("""COMPUTED_VALUE"""),44445)</f>
        <v>44445</v>
      </c>
    </row>
    <row r="1981" spans="1:10" x14ac:dyDescent="0.25">
      <c r="A1981" s="1" t="str">
        <f ca="1">IFERROR(__xludf.DUMMYFUNCTION("""COMPUTED_VALUE"""),"Ludovika SE")</f>
        <v>Ludovika SE</v>
      </c>
      <c r="B1981" s="1" t="str">
        <f ca="1">IFERROR(__xludf.DUMMYFUNCTION("""COMPUTED_VALUE"""),"Szikra Csaba")</f>
        <v>Szikra Csaba</v>
      </c>
      <c r="C1981" s="1"/>
      <c r="D1981" s="1" t="str">
        <f ca="1">IFERROR(__xludf.DUMMYFUNCTION("""COMPUTED_VALUE"""),"Férfi")</f>
        <v>Férfi</v>
      </c>
      <c r="E1981" s="1"/>
      <c r="F1981" s="1">
        <f ca="1">IFERROR(__xludf.DUMMYFUNCTION("""COMPUTED_VALUE"""),1979)</f>
        <v>1979</v>
      </c>
      <c r="G1981" s="1">
        <f ca="1">IFERROR(__xludf.DUMMYFUNCTION("""COMPUTED_VALUE"""),1213)</f>
        <v>1213</v>
      </c>
      <c r="H1981" s="1" t="str">
        <f ca="1">IFERROR(__xludf.DUMMYFUNCTION("""COMPUTED_VALUE"""),"MTLSZ001213A20")</f>
        <v>MTLSZ001213A20</v>
      </c>
      <c r="I1981" s="2">
        <f ca="1">IFERROR(__xludf.DUMMYFUNCTION("""COMPUTED_VALUE"""),44081)</f>
        <v>44081</v>
      </c>
      <c r="J1981" s="2">
        <f ca="1">IFERROR(__xludf.DUMMYFUNCTION("""COMPUTED_VALUE"""),44445)</f>
        <v>44445</v>
      </c>
    </row>
    <row r="1982" spans="1:10" x14ac:dyDescent="0.25">
      <c r="A1982" s="1" t="str">
        <f ca="1">IFERROR(__xludf.DUMMYFUNCTION("""COMPUTED_VALUE"""),"Hajdú TSE")</f>
        <v>Hajdú TSE</v>
      </c>
      <c r="B1982" s="1" t="str">
        <f ca="1">IFERROR(__xludf.DUMMYFUNCTION("""COMPUTED_VALUE"""),"Csiszér Levente")</f>
        <v>Csiszér Levente</v>
      </c>
      <c r="C1982" s="1"/>
      <c r="D1982" s="1" t="str">
        <f ca="1">IFERROR(__xludf.DUMMYFUNCTION("""COMPUTED_VALUE"""),"Férfi")</f>
        <v>Férfi</v>
      </c>
      <c r="E1982" s="1"/>
      <c r="F1982" s="1">
        <f ca="1">IFERROR(__xludf.DUMMYFUNCTION("""COMPUTED_VALUE"""),1981)</f>
        <v>1981</v>
      </c>
      <c r="G1982" s="1">
        <f ca="1">IFERROR(__xludf.DUMMYFUNCTION("""COMPUTED_VALUE"""),150)</f>
        <v>150</v>
      </c>
      <c r="H1982" s="1" t="str">
        <f ca="1">IFERROR(__xludf.DUMMYFUNCTION("""COMPUTED_VALUE"""),"MTLSZ000150A20")</f>
        <v>MTLSZ000150A20</v>
      </c>
      <c r="I1982" s="2">
        <f ca="1">IFERROR(__xludf.DUMMYFUNCTION("""COMPUTED_VALUE"""),44078)</f>
        <v>44078</v>
      </c>
      <c r="J1982" s="2">
        <f ca="1">IFERROR(__xludf.DUMMYFUNCTION("""COMPUTED_VALUE"""),44442)</f>
        <v>44442</v>
      </c>
    </row>
    <row r="1983" spans="1:10" x14ac:dyDescent="0.25">
      <c r="A1983" s="1" t="str">
        <f ca="1">IFERROR(__xludf.DUMMYFUNCTION("""COMPUTED_VALUE"""),"Hajdú TSE")</f>
        <v>Hajdú TSE</v>
      </c>
      <c r="B1983" s="1" t="str">
        <f ca="1">IFERROR(__xludf.DUMMYFUNCTION("""COMPUTED_VALUE"""),"Pádár Pál")</f>
        <v>Pádár Pál</v>
      </c>
      <c r="C1983" s="1"/>
      <c r="D1983" s="1" t="str">
        <f ca="1">IFERROR(__xludf.DUMMYFUNCTION("""COMPUTED_VALUE"""),"Férfi")</f>
        <v>Férfi</v>
      </c>
      <c r="E1983" s="1"/>
      <c r="F1983" s="1">
        <f ca="1">IFERROR(__xludf.DUMMYFUNCTION("""COMPUTED_VALUE"""),1990)</f>
        <v>1990</v>
      </c>
      <c r="G1983" s="1">
        <f ca="1">IFERROR(__xludf.DUMMYFUNCTION("""COMPUTED_VALUE"""),730)</f>
        <v>730</v>
      </c>
      <c r="H1983" s="1" t="str">
        <f ca="1">IFERROR(__xludf.DUMMYFUNCTION("""COMPUTED_VALUE"""),"MTLSZ000730A20")</f>
        <v>MTLSZ000730A20</v>
      </c>
      <c r="I1983" s="2">
        <f ca="1">IFERROR(__xludf.DUMMYFUNCTION("""COMPUTED_VALUE"""),44078)</f>
        <v>44078</v>
      </c>
      <c r="J1983" s="2">
        <f ca="1">IFERROR(__xludf.DUMMYFUNCTION("""COMPUTED_VALUE"""),44442)</f>
        <v>44442</v>
      </c>
    </row>
    <row r="1984" spans="1:10" x14ac:dyDescent="0.25">
      <c r="A1984" s="1" t="str">
        <f ca="1">IFERROR(__xludf.DUMMYFUNCTION("""COMPUTED_VALUE"""),"Érdi VSE")</f>
        <v>Érdi VSE</v>
      </c>
      <c r="B1984" s="1" t="str">
        <f ca="1">IFERROR(__xludf.DUMMYFUNCTION("""COMPUTED_VALUE"""),"Fekete Tímea Triniti")</f>
        <v>Fekete Tímea Triniti</v>
      </c>
      <c r="C1984" s="1"/>
      <c r="D1984" s="1" t="str">
        <f ca="1">IFERROR(__xludf.DUMMYFUNCTION("""COMPUTED_VALUE"""),"Nő")</f>
        <v>Nő</v>
      </c>
      <c r="E1984" s="1"/>
      <c r="F1984" s="1">
        <f ca="1">IFERROR(__xludf.DUMMYFUNCTION("""COMPUTED_VALUE"""),2007)</f>
        <v>2007</v>
      </c>
      <c r="G1984" s="1">
        <f ca="1">IFERROR(__xludf.DUMMYFUNCTION("""COMPUTED_VALUE"""),2892)</f>
        <v>2892</v>
      </c>
      <c r="H1984" s="1" t="str">
        <f ca="1">IFERROR(__xludf.DUMMYFUNCTION("""COMPUTED_VALUE"""),"MTLSZ002892A20")</f>
        <v>MTLSZ002892A20</v>
      </c>
      <c r="I1984" s="2">
        <f ca="1">IFERROR(__xludf.DUMMYFUNCTION("""COMPUTED_VALUE"""),44077)</f>
        <v>44077</v>
      </c>
      <c r="J1984" s="2">
        <f ca="1">IFERROR(__xludf.DUMMYFUNCTION("""COMPUTED_VALUE"""),44441)</f>
        <v>44441</v>
      </c>
    </row>
    <row r="1985" spans="1:10" x14ac:dyDescent="0.25">
      <c r="A1985" s="1" t="str">
        <f ca="1">IFERROR(__xludf.DUMMYFUNCTION("""COMPUTED_VALUE"""),"Kék Sólymok SE")</f>
        <v>Kék Sólymok SE</v>
      </c>
      <c r="B1985" s="1" t="str">
        <f ca="1">IFERROR(__xludf.DUMMYFUNCTION("""COMPUTED_VALUE"""),"Csóka Sándor")</f>
        <v>Csóka Sándor</v>
      </c>
      <c r="C1985" s="1"/>
      <c r="D1985" s="1" t="str">
        <f ca="1">IFERROR(__xludf.DUMMYFUNCTION("""COMPUTED_VALUE"""),"Férfi")</f>
        <v>Férfi</v>
      </c>
      <c r="E1985" s="1"/>
      <c r="F1985" s="1">
        <f ca="1">IFERROR(__xludf.DUMMYFUNCTION("""COMPUTED_VALUE"""),1964)</f>
        <v>1964</v>
      </c>
      <c r="G1985" s="1">
        <f ca="1">IFERROR(__xludf.DUMMYFUNCTION("""COMPUTED_VALUE"""),3309)</f>
        <v>3309</v>
      </c>
      <c r="H1985" s="1" t="str">
        <f ca="1">IFERROR(__xludf.DUMMYFUNCTION("""COMPUTED_VALUE"""),"MTLSZ003309A20")</f>
        <v>MTLSZ003309A20</v>
      </c>
      <c r="I1985" s="2">
        <f ca="1">IFERROR(__xludf.DUMMYFUNCTION("""COMPUTED_VALUE"""),44076)</f>
        <v>44076</v>
      </c>
      <c r="J1985" s="2">
        <f ca="1">IFERROR(__xludf.DUMMYFUNCTION("""COMPUTED_VALUE"""),44440)</f>
        <v>44440</v>
      </c>
    </row>
    <row r="1986" spans="1:10" x14ac:dyDescent="0.25">
      <c r="A1986" s="1" t="str">
        <f ca="1">IFERROR(__xludf.DUMMYFUNCTION("""COMPUTED_VALUE"""),"Danubius KSE")</f>
        <v>Danubius KSE</v>
      </c>
      <c r="B1986" s="1" t="str">
        <f ca="1">IFERROR(__xludf.DUMMYFUNCTION("""COMPUTED_VALUE"""),"Jakab Fanni")</f>
        <v>Jakab Fanni</v>
      </c>
      <c r="C1986" s="1"/>
      <c r="D1986" s="1" t="str">
        <f ca="1">IFERROR(__xludf.DUMMYFUNCTION("""COMPUTED_VALUE"""),"Nő")</f>
        <v>Nő</v>
      </c>
      <c r="E1986" s="1"/>
      <c r="F1986" s="1">
        <f ca="1">IFERROR(__xludf.DUMMYFUNCTION("""COMPUTED_VALUE"""),1993)</f>
        <v>1993</v>
      </c>
      <c r="G1986" s="1">
        <f ca="1">IFERROR(__xludf.DUMMYFUNCTION("""COMPUTED_VALUE"""),3532)</f>
        <v>3532</v>
      </c>
      <c r="H1986" s="1" t="str">
        <f ca="1">IFERROR(__xludf.DUMMYFUNCTION("""COMPUTED_VALUE"""),"MTLSZ003532A20")</f>
        <v>MTLSZ003532A20</v>
      </c>
      <c r="I1986" s="2">
        <f ca="1">IFERROR(__xludf.DUMMYFUNCTION("""COMPUTED_VALUE"""),44074)</f>
        <v>44074</v>
      </c>
      <c r="J1986" s="2">
        <f ca="1">IFERROR(__xludf.DUMMYFUNCTION("""COMPUTED_VALUE"""),44438)</f>
        <v>44438</v>
      </c>
    </row>
    <row r="1987" spans="1:10" x14ac:dyDescent="0.25">
      <c r="A1987" s="1" t="str">
        <f ca="1">IFERROR(__xludf.DUMMYFUNCTION("""COMPUTED_VALUE"""),"Érdi VSE")</f>
        <v>Érdi VSE</v>
      </c>
      <c r="B1987" s="1" t="str">
        <f ca="1">IFERROR(__xludf.DUMMYFUNCTION("""COMPUTED_VALUE"""),"Györgylőrincz Krisztina")</f>
        <v>Györgylőrincz Krisztina</v>
      </c>
      <c r="C1987" s="1"/>
      <c r="D1987" s="1" t="str">
        <f ca="1">IFERROR(__xludf.DUMMYFUNCTION("""COMPUTED_VALUE"""),"Nő")</f>
        <v>Nő</v>
      </c>
      <c r="E1987" s="1"/>
      <c r="F1987" s="1">
        <f ca="1">IFERROR(__xludf.DUMMYFUNCTION("""COMPUTED_VALUE"""),2003)</f>
        <v>2003</v>
      </c>
      <c r="G1987" s="1">
        <f ca="1">IFERROR(__xludf.DUMMYFUNCTION("""COMPUTED_VALUE"""),2519)</f>
        <v>2519</v>
      </c>
      <c r="H1987" s="1" t="str">
        <f ca="1">IFERROR(__xludf.DUMMYFUNCTION("""COMPUTED_VALUE"""),"MTLSZ002519A20")</f>
        <v>MTLSZ002519A20</v>
      </c>
      <c r="I1987" s="2">
        <f ca="1">IFERROR(__xludf.DUMMYFUNCTION("""COMPUTED_VALUE"""),44070)</f>
        <v>44070</v>
      </c>
      <c r="J1987" s="2">
        <f ca="1">IFERROR(__xludf.DUMMYFUNCTION("""COMPUTED_VALUE"""),44434)</f>
        <v>44434</v>
      </c>
    </row>
    <row r="1988" spans="1:10" x14ac:dyDescent="0.25">
      <c r="A1988" s="1" t="str">
        <f ca="1">IFERROR(__xludf.DUMMYFUNCTION("""COMPUTED_VALUE"""),"Multi Alarm SE")</f>
        <v>Multi Alarm SE</v>
      </c>
      <c r="B1988" s="1" t="str">
        <f ca="1">IFERROR(__xludf.DUMMYFUNCTION("""COMPUTED_VALUE"""),"Gréczi Levente")</f>
        <v>Gréczi Levente</v>
      </c>
      <c r="C1988" s="1"/>
      <c r="D1988" s="1" t="str">
        <f ca="1">IFERROR(__xludf.DUMMYFUNCTION("""COMPUTED_VALUE"""),"Férfi")</f>
        <v>Férfi</v>
      </c>
      <c r="E1988" s="1"/>
      <c r="F1988" s="1">
        <f ca="1">IFERROR(__xludf.DUMMYFUNCTION("""COMPUTED_VALUE"""),2004)</f>
        <v>2004</v>
      </c>
      <c r="G1988" s="1">
        <f ca="1">IFERROR(__xludf.DUMMYFUNCTION("""COMPUTED_VALUE"""),3090)</f>
        <v>3090</v>
      </c>
      <c r="H1988" s="1" t="str">
        <f ca="1">IFERROR(__xludf.DUMMYFUNCTION("""COMPUTED_VALUE"""),"MTLSZ003090A20")</f>
        <v>MTLSZ003090A20</v>
      </c>
      <c r="I1988" s="2">
        <f ca="1">IFERROR(__xludf.DUMMYFUNCTION("""COMPUTED_VALUE"""),44069)</f>
        <v>44069</v>
      </c>
      <c r="J1988" s="2">
        <f ca="1">IFERROR(__xludf.DUMMYFUNCTION("""COMPUTED_VALUE"""),44433)</f>
        <v>44433</v>
      </c>
    </row>
    <row r="1989" spans="1:10" x14ac:dyDescent="0.25">
      <c r="A1989" s="1" t="str">
        <f ca="1">IFERROR(__xludf.DUMMYFUNCTION("""COMPUTED_VALUE"""),"Multi Alarm SE")</f>
        <v>Multi Alarm SE</v>
      </c>
      <c r="B1989" s="1" t="str">
        <f ca="1">IFERROR(__xludf.DUMMYFUNCTION("""COMPUTED_VALUE"""),"Hernádi Hanna")</f>
        <v>Hernádi Hanna</v>
      </c>
      <c r="C1989" s="1"/>
      <c r="D1989" s="1" t="str">
        <f ca="1">IFERROR(__xludf.DUMMYFUNCTION("""COMPUTED_VALUE"""),"Nő")</f>
        <v>Nő</v>
      </c>
      <c r="E1989" s="1"/>
      <c r="F1989" s="1">
        <f ca="1">IFERROR(__xludf.DUMMYFUNCTION("""COMPUTED_VALUE"""),2009)</f>
        <v>2009</v>
      </c>
      <c r="G1989" s="1">
        <f ca="1">IFERROR(__xludf.DUMMYFUNCTION("""COMPUTED_VALUE"""),3298)</f>
        <v>3298</v>
      </c>
      <c r="H1989" s="1" t="str">
        <f ca="1">IFERROR(__xludf.DUMMYFUNCTION("""COMPUTED_VALUE"""),"MTLSZ003298A20")</f>
        <v>MTLSZ003298A20</v>
      </c>
      <c r="I1989" s="2">
        <f ca="1">IFERROR(__xludf.DUMMYFUNCTION("""COMPUTED_VALUE"""),44069)</f>
        <v>44069</v>
      </c>
      <c r="J1989" s="2">
        <f ca="1">IFERROR(__xludf.DUMMYFUNCTION("""COMPUTED_VALUE"""),44433)</f>
        <v>44433</v>
      </c>
    </row>
    <row r="1990" spans="1:10" x14ac:dyDescent="0.25">
      <c r="A1990" s="1" t="str">
        <f ca="1">IFERROR(__xludf.DUMMYFUNCTION("""COMPUTED_VALUE"""),"Multi Alarm SE")</f>
        <v>Multi Alarm SE</v>
      </c>
      <c r="B1990" s="1" t="str">
        <f ca="1">IFERROR(__xludf.DUMMYFUNCTION("""COMPUTED_VALUE"""),"Hernádi Sára")</f>
        <v>Hernádi Sára</v>
      </c>
      <c r="C1990" s="1"/>
      <c r="D1990" s="1" t="str">
        <f ca="1">IFERROR(__xludf.DUMMYFUNCTION("""COMPUTED_VALUE"""),"Nő")</f>
        <v>Nő</v>
      </c>
      <c r="E1990" s="1"/>
      <c r="F1990" s="1">
        <f ca="1">IFERROR(__xludf.DUMMYFUNCTION("""COMPUTED_VALUE"""),2009)</f>
        <v>2009</v>
      </c>
      <c r="G1990" s="1">
        <f ca="1">IFERROR(__xludf.DUMMYFUNCTION("""COMPUTED_VALUE"""),3297)</f>
        <v>3297</v>
      </c>
      <c r="H1990" s="1" t="str">
        <f ca="1">IFERROR(__xludf.DUMMYFUNCTION("""COMPUTED_VALUE"""),"MTLSZ003297A20")</f>
        <v>MTLSZ003297A20</v>
      </c>
      <c r="I1990" s="2">
        <f ca="1">IFERROR(__xludf.DUMMYFUNCTION("""COMPUTED_VALUE"""),44069)</f>
        <v>44069</v>
      </c>
      <c r="J1990" s="2">
        <f ca="1">IFERROR(__xludf.DUMMYFUNCTION("""COMPUTED_VALUE"""),44433)</f>
        <v>44433</v>
      </c>
    </row>
    <row r="1991" spans="1:10" x14ac:dyDescent="0.25">
      <c r="A1991" s="1" t="str">
        <f ca="1">IFERROR(__xludf.DUMMYFUNCTION("""COMPUTED_VALUE"""),"Multi Alarm SE")</f>
        <v>Multi Alarm SE</v>
      </c>
      <c r="B1991" s="1" t="str">
        <f ca="1">IFERROR(__xludf.DUMMYFUNCTION("""COMPUTED_VALUE"""),"Madarász Réka")</f>
        <v>Madarász Réka</v>
      </c>
      <c r="C1991" s="1"/>
      <c r="D1991" s="1" t="str">
        <f ca="1">IFERROR(__xludf.DUMMYFUNCTION("""COMPUTED_VALUE"""),"Nő")</f>
        <v>Nő</v>
      </c>
      <c r="E1991" s="1"/>
      <c r="F1991" s="1">
        <f ca="1">IFERROR(__xludf.DUMMYFUNCTION("""COMPUTED_VALUE"""),2000)</f>
        <v>2000</v>
      </c>
      <c r="G1991" s="1">
        <f ca="1">IFERROR(__xludf.DUMMYFUNCTION("""COMPUTED_VALUE"""),1981)</f>
        <v>1981</v>
      </c>
      <c r="H1991" s="1" t="str">
        <f ca="1">IFERROR(__xludf.DUMMYFUNCTION("""COMPUTED_VALUE"""),"MTLSZ001981A20")</f>
        <v>MTLSZ001981A20</v>
      </c>
      <c r="I1991" s="2">
        <f ca="1">IFERROR(__xludf.DUMMYFUNCTION("""COMPUTED_VALUE"""),44069)</f>
        <v>44069</v>
      </c>
      <c r="J1991" s="2">
        <f ca="1">IFERROR(__xludf.DUMMYFUNCTION("""COMPUTED_VALUE"""),44433)</f>
        <v>44433</v>
      </c>
    </row>
    <row r="1992" spans="1:10" x14ac:dyDescent="0.25">
      <c r="A1992" s="1" t="str">
        <f ca="1">IFERROR(__xludf.DUMMYFUNCTION("""COMPUTED_VALUE"""),"Multi Alarm SE")</f>
        <v>Multi Alarm SE</v>
      </c>
      <c r="B1992" s="1" t="str">
        <f ca="1">IFERROR(__xludf.DUMMYFUNCTION("""COMPUTED_VALUE"""),"Pehr Dóra")</f>
        <v>Pehr Dóra</v>
      </c>
      <c r="C1992" s="1"/>
      <c r="D1992" s="1" t="str">
        <f ca="1">IFERROR(__xludf.DUMMYFUNCTION("""COMPUTED_VALUE"""),"Nő")</f>
        <v>Nő</v>
      </c>
      <c r="E1992" s="1"/>
      <c r="F1992" s="1">
        <f ca="1">IFERROR(__xludf.DUMMYFUNCTION("""COMPUTED_VALUE"""),2005)</f>
        <v>2005</v>
      </c>
      <c r="G1992" s="1">
        <f ca="1">IFERROR(__xludf.DUMMYFUNCTION("""COMPUTED_VALUE"""),2610)</f>
        <v>2610</v>
      </c>
      <c r="H1992" s="1" t="str">
        <f ca="1">IFERROR(__xludf.DUMMYFUNCTION("""COMPUTED_VALUE"""),"MTLSZ002610A20")</f>
        <v>MTLSZ002610A20</v>
      </c>
      <c r="I1992" s="2">
        <f ca="1">IFERROR(__xludf.DUMMYFUNCTION("""COMPUTED_VALUE"""),44069)</f>
        <v>44069</v>
      </c>
      <c r="J1992" s="2">
        <f ca="1">IFERROR(__xludf.DUMMYFUNCTION("""COMPUTED_VALUE"""),44433)</f>
        <v>44433</v>
      </c>
    </row>
    <row r="1993" spans="1:10" x14ac:dyDescent="0.25">
      <c r="A1993" s="1" t="str">
        <f ca="1">IFERROR(__xludf.DUMMYFUNCTION("""COMPUTED_VALUE"""),"Multi Alarm SE")</f>
        <v>Multi Alarm SE</v>
      </c>
      <c r="B1993" s="1" t="str">
        <f ca="1">IFERROR(__xludf.DUMMYFUNCTION("""COMPUTED_VALUE"""),"Pytel Panna")</f>
        <v>Pytel Panna</v>
      </c>
      <c r="C1993" s="1"/>
      <c r="D1993" s="1" t="str">
        <f ca="1">IFERROR(__xludf.DUMMYFUNCTION("""COMPUTED_VALUE"""),"Nő")</f>
        <v>Nő</v>
      </c>
      <c r="E1993" s="1"/>
      <c r="F1993" s="1">
        <f ca="1">IFERROR(__xludf.DUMMYFUNCTION("""COMPUTED_VALUE"""),2002)</f>
        <v>2002</v>
      </c>
      <c r="G1993" s="1">
        <f ca="1">IFERROR(__xludf.DUMMYFUNCTION("""COMPUTED_VALUE"""),2204)</f>
        <v>2204</v>
      </c>
      <c r="H1993" s="1" t="str">
        <f ca="1">IFERROR(__xludf.DUMMYFUNCTION("""COMPUTED_VALUE"""),"MTLSZ002204A20")</f>
        <v>MTLSZ002204A20</v>
      </c>
      <c r="I1993" s="2">
        <f ca="1">IFERROR(__xludf.DUMMYFUNCTION("""COMPUTED_VALUE"""),44069)</f>
        <v>44069</v>
      </c>
      <c r="J1993" s="2">
        <f ca="1">IFERROR(__xludf.DUMMYFUNCTION("""COMPUTED_VALUE"""),44433)</f>
        <v>44433</v>
      </c>
    </row>
    <row r="1994" spans="1:10" x14ac:dyDescent="0.25">
      <c r="A1994" s="1" t="str">
        <f ca="1">IFERROR(__xludf.DUMMYFUNCTION("""COMPUTED_VALUE"""),"Multi Alarm SE")</f>
        <v>Multi Alarm SE</v>
      </c>
      <c r="B1994" s="1" t="str">
        <f ca="1">IFERROR(__xludf.DUMMYFUNCTION("""COMPUTED_VALUE"""),"Rankasz Ernő")</f>
        <v>Rankasz Ernő</v>
      </c>
      <c r="C1994" s="1"/>
      <c r="D1994" s="1" t="str">
        <f ca="1">IFERROR(__xludf.DUMMYFUNCTION("""COMPUTED_VALUE"""),"Férfi")</f>
        <v>Férfi</v>
      </c>
      <c r="E1994" s="1"/>
      <c r="F1994" s="1">
        <f ca="1">IFERROR(__xludf.DUMMYFUNCTION("""COMPUTED_VALUE"""),2005)</f>
        <v>2005</v>
      </c>
      <c r="G1994" s="1">
        <f ca="1">IFERROR(__xludf.DUMMYFUNCTION("""COMPUTED_VALUE"""),2751)</f>
        <v>2751</v>
      </c>
      <c r="H1994" s="1" t="str">
        <f ca="1">IFERROR(__xludf.DUMMYFUNCTION("""COMPUTED_VALUE"""),"MTLSZ002751A20")</f>
        <v>MTLSZ002751A20</v>
      </c>
      <c r="I1994" s="2">
        <f ca="1">IFERROR(__xludf.DUMMYFUNCTION("""COMPUTED_VALUE"""),44069)</f>
        <v>44069</v>
      </c>
      <c r="J1994" s="2">
        <f ca="1">IFERROR(__xludf.DUMMYFUNCTION("""COMPUTED_VALUE"""),44433)</f>
        <v>44433</v>
      </c>
    </row>
    <row r="1995" spans="1:10" x14ac:dyDescent="0.25">
      <c r="A1995" s="1" t="str">
        <f ca="1">IFERROR(__xludf.DUMMYFUNCTION("""COMPUTED_VALUE"""),"Multi Alarm SE")</f>
        <v>Multi Alarm SE</v>
      </c>
      <c r="B1995" s="1" t="str">
        <f ca="1">IFERROR(__xludf.DUMMYFUNCTION("""COMPUTED_VALUE"""),"Szemmelróth Szófia")</f>
        <v>Szemmelróth Szófia</v>
      </c>
      <c r="C1995" s="1"/>
      <c r="D1995" s="1" t="str">
        <f ca="1">IFERROR(__xludf.DUMMYFUNCTION("""COMPUTED_VALUE"""),"Nő")</f>
        <v>Nő</v>
      </c>
      <c r="E1995" s="1"/>
      <c r="F1995" s="1">
        <f ca="1">IFERROR(__xludf.DUMMYFUNCTION("""COMPUTED_VALUE"""),2005)</f>
        <v>2005</v>
      </c>
      <c r="G1995" s="1">
        <f ca="1">IFERROR(__xludf.DUMMYFUNCTION("""COMPUTED_VALUE"""),2919)</f>
        <v>2919</v>
      </c>
      <c r="H1995" s="1" t="str">
        <f ca="1">IFERROR(__xludf.DUMMYFUNCTION("""COMPUTED_VALUE"""),"MTLSZ002919A20")</f>
        <v>MTLSZ002919A20</v>
      </c>
      <c r="I1995" s="2">
        <f ca="1">IFERROR(__xludf.DUMMYFUNCTION("""COMPUTED_VALUE"""),44069)</f>
        <v>44069</v>
      </c>
      <c r="J1995" s="2">
        <f ca="1">IFERROR(__xludf.DUMMYFUNCTION("""COMPUTED_VALUE"""),44433)</f>
        <v>44433</v>
      </c>
    </row>
    <row r="1996" spans="1:10" x14ac:dyDescent="0.25">
      <c r="A1996" s="1" t="str">
        <f ca="1">IFERROR(__xludf.DUMMYFUNCTION("""COMPUTED_VALUE"""),"Érdi VSE")</f>
        <v>Érdi VSE</v>
      </c>
      <c r="B1996" s="1" t="str">
        <f ca="1">IFERROR(__xludf.DUMMYFUNCTION("""COMPUTED_VALUE"""),"Dudás Vanessza")</f>
        <v>Dudás Vanessza</v>
      </c>
      <c r="C1996" s="1"/>
      <c r="D1996" s="1" t="str">
        <f ca="1">IFERROR(__xludf.DUMMYFUNCTION("""COMPUTED_VALUE"""),"Nő")</f>
        <v>Nő</v>
      </c>
      <c r="E1996" s="1"/>
      <c r="F1996" s="1">
        <f ca="1">IFERROR(__xludf.DUMMYFUNCTION("""COMPUTED_VALUE"""),2010)</f>
        <v>2010</v>
      </c>
      <c r="G1996" s="1">
        <f ca="1">IFERROR(__xludf.DUMMYFUNCTION("""COMPUTED_VALUE"""),3529)</f>
        <v>3529</v>
      </c>
      <c r="H1996" s="1" t="str">
        <f ca="1">IFERROR(__xludf.DUMMYFUNCTION("""COMPUTED_VALUE"""),"MTLSZ003529A20")</f>
        <v>MTLSZ003529A20</v>
      </c>
      <c r="I1996" s="2">
        <f ca="1">IFERROR(__xludf.DUMMYFUNCTION("""COMPUTED_VALUE"""),44068)</f>
        <v>44068</v>
      </c>
      <c r="J1996" s="2">
        <f ca="1">IFERROR(__xludf.DUMMYFUNCTION("""COMPUTED_VALUE"""),44432)</f>
        <v>44432</v>
      </c>
    </row>
    <row r="1997" spans="1:10" x14ac:dyDescent="0.25">
      <c r="A1997" s="1" t="str">
        <f ca="1">IFERROR(__xludf.DUMMYFUNCTION("""COMPUTED_VALUE"""),"Klébi DSE")</f>
        <v>Klébi DSE</v>
      </c>
      <c r="B1997" s="1" t="str">
        <f ca="1">IFERROR(__xludf.DUMMYFUNCTION("""COMPUTED_VALUE"""),"Horváth Zsombor")</f>
        <v>Horváth Zsombor</v>
      </c>
      <c r="C1997" s="1"/>
      <c r="D1997" s="1" t="str">
        <f ca="1">IFERROR(__xludf.DUMMYFUNCTION("""COMPUTED_VALUE"""),"Férfi")</f>
        <v>Férfi</v>
      </c>
      <c r="E1997" s="1"/>
      <c r="F1997" s="1">
        <f ca="1">IFERROR(__xludf.DUMMYFUNCTION("""COMPUTED_VALUE"""),2006)</f>
        <v>2006</v>
      </c>
      <c r="G1997" s="1">
        <f ca="1">IFERROR(__xludf.DUMMYFUNCTION("""COMPUTED_VALUE"""),2872)</f>
        <v>2872</v>
      </c>
      <c r="H1997" s="1" t="str">
        <f ca="1">IFERROR(__xludf.DUMMYFUNCTION("""COMPUTED_VALUE"""),"MTLSZ002872A20")</f>
        <v>MTLSZ002872A20</v>
      </c>
      <c r="I1997" s="2">
        <f ca="1">IFERROR(__xludf.DUMMYFUNCTION("""COMPUTED_VALUE"""),44068)</f>
        <v>44068</v>
      </c>
      <c r="J1997" s="2">
        <f ca="1">IFERROR(__xludf.DUMMYFUNCTION("""COMPUTED_VALUE"""),44432)</f>
        <v>44432</v>
      </c>
    </row>
    <row r="1998" spans="1:10" x14ac:dyDescent="0.25">
      <c r="A1998" s="1" t="str">
        <f ca="1">IFERROR(__xludf.DUMMYFUNCTION("""COMPUTED_VALUE"""),"Újpest TSE")</f>
        <v>Újpest TSE</v>
      </c>
      <c r="B1998" s="1" t="str">
        <f ca="1">IFERROR(__xludf.DUMMYFUNCTION("""COMPUTED_VALUE"""),"Kupa-Kovács Barnabás")</f>
        <v>Kupa-Kovács Barnabás</v>
      </c>
      <c r="C1998" s="1"/>
      <c r="D1998" s="1" t="str">
        <f ca="1">IFERROR(__xludf.DUMMYFUNCTION("""COMPUTED_VALUE"""),"Férfi")</f>
        <v>Férfi</v>
      </c>
      <c r="E1998" s="1"/>
      <c r="F1998" s="1">
        <f ca="1">IFERROR(__xludf.DUMMYFUNCTION("""COMPUTED_VALUE"""),2007)</f>
        <v>2007</v>
      </c>
      <c r="G1998" s="1">
        <f ca="1">IFERROR(__xludf.DUMMYFUNCTION("""COMPUTED_VALUE"""),3449)</f>
        <v>3449</v>
      </c>
      <c r="H1998" s="1" t="str">
        <f ca="1">IFERROR(__xludf.DUMMYFUNCTION("""COMPUTED_VALUE"""),"MTLSZ003449A20")</f>
        <v>MTLSZ003449A20</v>
      </c>
      <c r="I1998" s="2">
        <f ca="1">IFERROR(__xludf.DUMMYFUNCTION("""COMPUTED_VALUE"""),44067)</f>
        <v>44067</v>
      </c>
      <c r="J1998" s="2">
        <f ca="1">IFERROR(__xludf.DUMMYFUNCTION("""COMPUTED_VALUE"""),44431)</f>
        <v>44431</v>
      </c>
    </row>
    <row r="1999" spans="1:10" x14ac:dyDescent="0.25">
      <c r="A1999" s="1" t="str">
        <f ca="1">IFERROR(__xludf.DUMMYFUNCTION("""COMPUTED_VALUE"""),"FBSE")</f>
        <v>FBSE</v>
      </c>
      <c r="B1999" s="1" t="str">
        <f ca="1">IFERROR(__xludf.DUMMYFUNCTION("""COMPUTED_VALUE"""),"Tóth Ábel Csongor")</f>
        <v>Tóth Ábel Csongor</v>
      </c>
      <c r="C1999" s="1"/>
      <c r="D1999" s="1" t="str">
        <f ca="1">IFERROR(__xludf.DUMMYFUNCTION("""COMPUTED_VALUE"""),"Férfi")</f>
        <v>Férfi</v>
      </c>
      <c r="E1999" s="1"/>
      <c r="F1999" s="1">
        <f ca="1">IFERROR(__xludf.DUMMYFUNCTION("""COMPUTED_VALUE"""),2004)</f>
        <v>2004</v>
      </c>
      <c r="G1999" s="1">
        <f ca="1">IFERROR(__xludf.DUMMYFUNCTION("""COMPUTED_VALUE"""),3324)</f>
        <v>3324</v>
      </c>
      <c r="H1999" s="1" t="str">
        <f ca="1">IFERROR(__xludf.DUMMYFUNCTION("""COMPUTED_VALUE"""),"MTLSZ003324A20")</f>
        <v>MTLSZ003324A20</v>
      </c>
      <c r="I1999" s="2">
        <f ca="1">IFERROR(__xludf.DUMMYFUNCTION("""COMPUTED_VALUE"""),44064)</f>
        <v>44064</v>
      </c>
      <c r="J1999" s="2">
        <f ca="1">IFERROR(__xludf.DUMMYFUNCTION("""COMPUTED_VALUE"""),44428)</f>
        <v>44428</v>
      </c>
    </row>
    <row r="2000" spans="1:10" x14ac:dyDescent="0.25">
      <c r="A2000" s="1" t="str">
        <f ca="1">IFERROR(__xludf.DUMMYFUNCTION("""COMPUTED_VALUE"""),"CET SE")</f>
        <v>CET SE</v>
      </c>
      <c r="B2000" s="1" t="str">
        <f ca="1">IFERROR(__xludf.DUMMYFUNCTION("""COMPUTED_VALUE"""),"László Dávid")</f>
        <v>László Dávid</v>
      </c>
      <c r="C2000" s="1"/>
      <c r="D2000" s="1" t="str">
        <f ca="1">IFERROR(__xludf.DUMMYFUNCTION("""COMPUTED_VALUE"""),"Férfi")</f>
        <v>Férfi</v>
      </c>
      <c r="E2000" s="1"/>
      <c r="F2000" s="1">
        <f ca="1">IFERROR(__xludf.DUMMYFUNCTION("""COMPUTED_VALUE"""),2002)</f>
        <v>2002</v>
      </c>
      <c r="G2000" s="1">
        <f ca="1">IFERROR(__xludf.DUMMYFUNCTION("""COMPUTED_VALUE"""),3377)</f>
        <v>3377</v>
      </c>
      <c r="H2000" s="1" t="str">
        <f ca="1">IFERROR(__xludf.DUMMYFUNCTION("""COMPUTED_VALUE"""),"MTLSZ003377A20")</f>
        <v>MTLSZ003377A20</v>
      </c>
      <c r="I2000" s="2">
        <f ca="1">IFERROR(__xludf.DUMMYFUNCTION("""COMPUTED_VALUE"""),44057)</f>
        <v>44057</v>
      </c>
      <c r="J2000" s="2">
        <f ca="1">IFERROR(__xludf.DUMMYFUNCTION("""COMPUTED_VALUE"""),44421)</f>
        <v>44421</v>
      </c>
    </row>
    <row r="2001" spans="1:10" x14ac:dyDescent="0.25">
      <c r="A2001" s="1" t="str">
        <f ca="1">IFERROR(__xludf.DUMMYFUNCTION("""COMPUTED_VALUE"""),"T(r)ollas SE")</f>
        <v>T(r)ollas SE</v>
      </c>
      <c r="B2001" s="1" t="str">
        <f ca="1">IFERROR(__xludf.DUMMYFUNCTION("""COMPUTED_VALUE"""),"Gazdag Bence")</f>
        <v>Gazdag Bence</v>
      </c>
      <c r="C2001" s="1"/>
      <c r="D2001" s="1" t="str">
        <f ca="1">IFERROR(__xludf.DUMMYFUNCTION("""COMPUTED_VALUE"""),"Férfi")</f>
        <v>Férfi</v>
      </c>
      <c r="E2001" s="1"/>
      <c r="F2001" s="1">
        <f ca="1">IFERROR(__xludf.DUMMYFUNCTION("""COMPUTED_VALUE"""),2004)</f>
        <v>2004</v>
      </c>
      <c r="G2001" s="1">
        <f ca="1">IFERROR(__xludf.DUMMYFUNCTION("""COMPUTED_VALUE"""),3457)</f>
        <v>3457</v>
      </c>
      <c r="H2001" s="1" t="str">
        <f ca="1">IFERROR(__xludf.DUMMYFUNCTION("""COMPUTED_VALUE"""),"MTLSZ003457A20")</f>
        <v>MTLSZ003457A20</v>
      </c>
      <c r="I2001" s="2">
        <f ca="1">IFERROR(__xludf.DUMMYFUNCTION("""COMPUTED_VALUE"""),44057)</f>
        <v>44057</v>
      </c>
      <c r="J2001" s="2">
        <f ca="1">IFERROR(__xludf.DUMMYFUNCTION("""COMPUTED_VALUE"""),44421)</f>
        <v>44421</v>
      </c>
    </row>
    <row r="2002" spans="1:10" x14ac:dyDescent="0.25">
      <c r="A2002" s="1" t="str">
        <f ca="1">IFERROR(__xludf.DUMMYFUNCTION("""COMPUTED_VALUE"""),"T(r)ollas SE")</f>
        <v>T(r)ollas SE</v>
      </c>
      <c r="B2002" s="1" t="str">
        <f ca="1">IFERROR(__xludf.DUMMYFUNCTION("""COMPUTED_VALUE"""),"Shun Sakai")</f>
        <v>Shun Sakai</v>
      </c>
      <c r="C2002" s="1"/>
      <c r="D2002" s="1" t="str">
        <f ca="1">IFERROR(__xludf.DUMMYFUNCTION("""COMPUTED_VALUE"""),"Férfi")</f>
        <v>Férfi</v>
      </c>
      <c r="E2002" s="1"/>
      <c r="F2002" s="1">
        <f ca="1">IFERROR(__xludf.DUMMYFUNCTION("""COMPUTED_VALUE"""),1991)</f>
        <v>1991</v>
      </c>
      <c r="G2002" s="1">
        <f ca="1">IFERROR(__xludf.DUMMYFUNCTION("""COMPUTED_VALUE"""),3158)</f>
        <v>3158</v>
      </c>
      <c r="H2002" s="1" t="str">
        <f ca="1">IFERROR(__xludf.DUMMYFUNCTION("""COMPUTED_VALUE"""),"MTLSZ003158A20")</f>
        <v>MTLSZ003158A20</v>
      </c>
      <c r="I2002" s="2">
        <f ca="1">IFERROR(__xludf.DUMMYFUNCTION("""COMPUTED_VALUE"""),44057)</f>
        <v>44057</v>
      </c>
      <c r="J2002" s="2">
        <f ca="1">IFERROR(__xludf.DUMMYFUNCTION("""COMPUTED_VALUE"""),44421)</f>
        <v>44421</v>
      </c>
    </row>
    <row r="2003" spans="1:10" x14ac:dyDescent="0.25">
      <c r="A2003" s="1" t="str">
        <f ca="1">IFERROR(__xludf.DUMMYFUNCTION("""COMPUTED_VALUE"""),"T(r)ollas SE")</f>
        <v>T(r)ollas SE</v>
      </c>
      <c r="B2003" s="1" t="str">
        <f ca="1">IFERROR(__xludf.DUMMYFUNCTION("""COMPUTED_VALUE"""),"Steven Hu")</f>
        <v>Steven Hu</v>
      </c>
      <c r="C2003" s="1"/>
      <c r="D2003" s="1" t="str">
        <f ca="1">IFERROR(__xludf.DUMMYFUNCTION("""COMPUTED_VALUE"""),"Férfi")</f>
        <v>Férfi</v>
      </c>
      <c r="E2003" s="1"/>
      <c r="F2003" s="1">
        <f ca="1">IFERROR(__xludf.DUMMYFUNCTION("""COMPUTED_VALUE"""),1976)</f>
        <v>1976</v>
      </c>
      <c r="G2003" s="1">
        <f ca="1">IFERROR(__xludf.DUMMYFUNCTION("""COMPUTED_VALUE"""),3525)</f>
        <v>3525</v>
      </c>
      <c r="H2003" s="1" t="str">
        <f ca="1">IFERROR(__xludf.DUMMYFUNCTION("""COMPUTED_VALUE"""),"MTLSZ003525A20")</f>
        <v>MTLSZ003525A20</v>
      </c>
      <c r="I2003" s="2">
        <f ca="1">IFERROR(__xludf.DUMMYFUNCTION("""COMPUTED_VALUE"""),44057)</f>
        <v>44057</v>
      </c>
      <c r="J2003" s="2">
        <f ca="1">IFERROR(__xludf.DUMMYFUNCTION("""COMPUTED_VALUE"""),44421)</f>
        <v>44421</v>
      </c>
    </row>
    <row r="2004" spans="1:10" x14ac:dyDescent="0.25">
      <c r="A2004" s="1" t="str">
        <f ca="1">IFERROR(__xludf.DUMMYFUNCTION("""COMPUTED_VALUE"""),"Hajdú TSE")</f>
        <v>Hajdú TSE</v>
      </c>
      <c r="B2004" s="1" t="str">
        <f ca="1">IFERROR(__xludf.DUMMYFUNCTION("""COMPUTED_VALUE"""),"Csirmaz Réka")</f>
        <v>Csirmaz Réka</v>
      </c>
      <c r="C2004" s="1"/>
      <c r="D2004" s="1" t="str">
        <f ca="1">IFERROR(__xludf.DUMMYFUNCTION("""COMPUTED_VALUE"""),"Nő")</f>
        <v>Nő</v>
      </c>
      <c r="E2004" s="1"/>
      <c r="F2004" s="1">
        <f ca="1">IFERROR(__xludf.DUMMYFUNCTION("""COMPUTED_VALUE"""),2003)</f>
        <v>2003</v>
      </c>
      <c r="G2004" s="1">
        <f ca="1">IFERROR(__xludf.DUMMYFUNCTION("""COMPUTED_VALUE"""),2413)</f>
        <v>2413</v>
      </c>
      <c r="H2004" s="1" t="str">
        <f ca="1">IFERROR(__xludf.DUMMYFUNCTION("""COMPUTED_VALUE"""),"MTLSZ002413A20")</f>
        <v>MTLSZ002413A20</v>
      </c>
      <c r="I2004" s="2">
        <f ca="1">IFERROR(__xludf.DUMMYFUNCTION("""COMPUTED_VALUE"""),44052)</f>
        <v>44052</v>
      </c>
      <c r="J2004" s="2">
        <f ca="1">IFERROR(__xludf.DUMMYFUNCTION("""COMPUTED_VALUE"""),44416)</f>
        <v>44416</v>
      </c>
    </row>
    <row r="2005" spans="1:10" x14ac:dyDescent="0.25">
      <c r="A2005" s="1" t="str">
        <f ca="1">IFERROR(__xludf.DUMMYFUNCTION("""COMPUTED_VALUE"""),"Hajdú TSE")</f>
        <v>Hajdú TSE</v>
      </c>
      <c r="B2005" s="1" t="str">
        <f ca="1">IFERROR(__xludf.DUMMYFUNCTION("""COMPUTED_VALUE"""),"Szalontai Dominik")</f>
        <v>Szalontai Dominik</v>
      </c>
      <c r="C2005" s="1"/>
      <c r="D2005" s="1" t="str">
        <f ca="1">IFERROR(__xludf.DUMMYFUNCTION("""COMPUTED_VALUE"""),"Férfi")</f>
        <v>Férfi</v>
      </c>
      <c r="E2005" s="1"/>
      <c r="F2005" s="1">
        <f ca="1">IFERROR(__xludf.DUMMYFUNCTION("""COMPUTED_VALUE"""),2003)</f>
        <v>2003</v>
      </c>
      <c r="G2005" s="1">
        <f ca="1">IFERROR(__xludf.DUMMYFUNCTION("""COMPUTED_VALUE"""),2404)</f>
        <v>2404</v>
      </c>
      <c r="H2005" s="1" t="str">
        <f ca="1">IFERROR(__xludf.DUMMYFUNCTION("""COMPUTED_VALUE"""),"MTLSZ002404A20")</f>
        <v>MTLSZ002404A20</v>
      </c>
      <c r="I2005" s="2">
        <f ca="1">IFERROR(__xludf.DUMMYFUNCTION("""COMPUTED_VALUE"""),44052)</f>
        <v>44052</v>
      </c>
      <c r="J2005" s="2">
        <f ca="1">IFERROR(__xludf.DUMMYFUNCTION("""COMPUTED_VALUE"""),44416)</f>
        <v>44416</v>
      </c>
    </row>
    <row r="2006" spans="1:10" x14ac:dyDescent="0.25">
      <c r="A2006" s="1" t="str">
        <f ca="1">IFERROR(__xludf.DUMMYFUNCTION("""COMPUTED_VALUE"""),"Hajdú TSE")</f>
        <v>Hajdú TSE</v>
      </c>
      <c r="B2006" s="1" t="str">
        <f ca="1">IFERROR(__xludf.DUMMYFUNCTION("""COMPUTED_VALUE"""),"Szilágyi Kata")</f>
        <v>Szilágyi Kata</v>
      </c>
      <c r="C2006" s="1"/>
      <c r="D2006" s="1" t="str">
        <f ca="1">IFERROR(__xludf.DUMMYFUNCTION("""COMPUTED_VALUE"""),"Nő")</f>
        <v>Nő</v>
      </c>
      <c r="E2006" s="1"/>
      <c r="F2006" s="1">
        <f ca="1">IFERROR(__xludf.DUMMYFUNCTION("""COMPUTED_VALUE"""),1999)</f>
        <v>1999</v>
      </c>
      <c r="G2006" s="1">
        <f ca="1">IFERROR(__xludf.DUMMYFUNCTION("""COMPUTED_VALUE"""),1943)</f>
        <v>1943</v>
      </c>
      <c r="H2006" s="1" t="str">
        <f ca="1">IFERROR(__xludf.DUMMYFUNCTION("""COMPUTED_VALUE"""),"MTLSZ001943A20")</f>
        <v>MTLSZ001943A20</v>
      </c>
      <c r="I2006" s="2">
        <f ca="1">IFERROR(__xludf.DUMMYFUNCTION("""COMPUTED_VALUE"""),44052)</f>
        <v>44052</v>
      </c>
      <c r="J2006" s="2">
        <f ca="1">IFERROR(__xludf.DUMMYFUNCTION("""COMPUTED_VALUE"""),44416)</f>
        <v>44416</v>
      </c>
    </row>
    <row r="2007" spans="1:10" x14ac:dyDescent="0.25">
      <c r="A2007" s="1" t="str">
        <f ca="1">IFERROR(__xludf.DUMMYFUNCTION("""COMPUTED_VALUE"""),"Kilián Iskola DSE")</f>
        <v>Kilián Iskola DSE</v>
      </c>
      <c r="B2007" s="1" t="str">
        <f ca="1">IFERROR(__xludf.DUMMYFUNCTION("""COMPUTED_VALUE"""),"Nagy Zoltán")</f>
        <v>Nagy Zoltán</v>
      </c>
      <c r="C2007" s="1"/>
      <c r="D2007" s="1" t="str">
        <f ca="1">IFERROR(__xludf.DUMMYFUNCTION("""COMPUTED_VALUE"""),"Férfi")</f>
        <v>Férfi</v>
      </c>
      <c r="E2007" s="1"/>
      <c r="F2007" s="1">
        <f ca="1">IFERROR(__xludf.DUMMYFUNCTION("""COMPUTED_VALUE"""),1975)</f>
        <v>1975</v>
      </c>
      <c r="G2007" s="1">
        <f ca="1">IFERROR(__xludf.DUMMYFUNCTION("""COMPUTED_VALUE"""),3422)</f>
        <v>3422</v>
      </c>
      <c r="H2007" s="1" t="str">
        <f ca="1">IFERROR(__xludf.DUMMYFUNCTION("""COMPUTED_VALUE"""),"MTLSZ003422A20")</f>
        <v>MTLSZ003422A20</v>
      </c>
      <c r="I2007" s="2">
        <f ca="1">IFERROR(__xludf.DUMMYFUNCTION("""COMPUTED_VALUE"""),44052)</f>
        <v>44052</v>
      </c>
      <c r="J2007" s="2">
        <f ca="1">IFERROR(__xludf.DUMMYFUNCTION("""COMPUTED_VALUE"""),44416)</f>
        <v>44416</v>
      </c>
    </row>
    <row r="2008" spans="1:10" x14ac:dyDescent="0.25">
      <c r="A2008" s="1" t="str">
        <f ca="1">IFERROR(__xludf.DUMMYFUNCTION("""COMPUTED_VALUE"""),"Kilián Iskola DSE")</f>
        <v>Kilián Iskola DSE</v>
      </c>
      <c r="B2008" s="1" t="str">
        <f ca="1">IFERROR(__xludf.DUMMYFUNCTION("""COMPUTED_VALUE"""),"Szabó Norbert")</f>
        <v>Szabó Norbert</v>
      </c>
      <c r="C2008" s="1"/>
      <c r="D2008" s="1" t="str">
        <f ca="1">IFERROR(__xludf.DUMMYFUNCTION("""COMPUTED_VALUE"""),"Férfi")</f>
        <v>Férfi</v>
      </c>
      <c r="E2008" s="1"/>
      <c r="F2008" s="1">
        <f ca="1">IFERROR(__xludf.DUMMYFUNCTION("""COMPUTED_VALUE"""),1977)</f>
        <v>1977</v>
      </c>
      <c r="G2008" s="1">
        <f ca="1">IFERROR(__xludf.DUMMYFUNCTION("""COMPUTED_VALUE"""),3520)</f>
        <v>3520</v>
      </c>
      <c r="H2008" s="1" t="str">
        <f ca="1">IFERROR(__xludf.DUMMYFUNCTION("""COMPUTED_VALUE"""),"MTLSZ003520A20")</f>
        <v>MTLSZ003520A20</v>
      </c>
      <c r="I2008" s="2">
        <f ca="1">IFERROR(__xludf.DUMMYFUNCTION("""COMPUTED_VALUE"""),44052)</f>
        <v>44052</v>
      </c>
      <c r="J2008" s="2">
        <f ca="1">IFERROR(__xludf.DUMMYFUNCTION("""COMPUTED_VALUE"""),44416)</f>
        <v>44416</v>
      </c>
    </row>
    <row r="2009" spans="1:10" x14ac:dyDescent="0.25">
      <c r="A2009" s="1" t="str">
        <f ca="1">IFERROR(__xludf.DUMMYFUNCTION("""COMPUTED_VALUE"""),"KörösTSE")</f>
        <v>KörösTSE</v>
      </c>
      <c r="B2009" s="1" t="str">
        <f ca="1">IFERROR(__xludf.DUMMYFUNCTION("""COMPUTED_VALUE"""),"Hankó Hanna")</f>
        <v>Hankó Hanna</v>
      </c>
      <c r="C2009" s="1"/>
      <c r="D2009" s="1" t="str">
        <f ca="1">IFERROR(__xludf.DUMMYFUNCTION("""COMPUTED_VALUE"""),"Nő")</f>
        <v>Nő</v>
      </c>
      <c r="E2009" s="1"/>
      <c r="F2009" s="1">
        <f ca="1">IFERROR(__xludf.DUMMYFUNCTION("""COMPUTED_VALUE"""),2010)</f>
        <v>2010</v>
      </c>
      <c r="G2009" s="1">
        <f ca="1">IFERROR(__xludf.DUMMYFUNCTION("""COMPUTED_VALUE"""),3521)</f>
        <v>3521</v>
      </c>
      <c r="H2009" s="1" t="str">
        <f ca="1">IFERROR(__xludf.DUMMYFUNCTION("""COMPUTED_VALUE"""),"MTLSZ003521A20")</f>
        <v>MTLSZ003521A20</v>
      </c>
      <c r="I2009" s="2">
        <f ca="1">IFERROR(__xludf.DUMMYFUNCTION("""COMPUTED_VALUE"""),44052)</f>
        <v>44052</v>
      </c>
      <c r="J2009" s="2">
        <f ca="1">IFERROR(__xludf.DUMMYFUNCTION("""COMPUTED_VALUE"""),44416)</f>
        <v>44416</v>
      </c>
    </row>
    <row r="2010" spans="1:10" x14ac:dyDescent="0.25">
      <c r="A2010" s="1" t="str">
        <f ca="1">IFERROR(__xludf.DUMMYFUNCTION("""COMPUTED_VALUE"""),"Újpest TSE")</f>
        <v>Újpest TSE</v>
      </c>
      <c r="B2010" s="1" t="str">
        <f ca="1">IFERROR(__xludf.DUMMYFUNCTION("""COMPUTED_VALUE"""),"Szilágyi Béla")</f>
        <v>Szilágyi Béla</v>
      </c>
      <c r="C2010" s="1"/>
      <c r="D2010" s="1" t="str">
        <f ca="1">IFERROR(__xludf.DUMMYFUNCTION("""COMPUTED_VALUE"""),"Férfi")</f>
        <v>Férfi</v>
      </c>
      <c r="E2010" s="1"/>
      <c r="F2010" s="1">
        <f ca="1">IFERROR(__xludf.DUMMYFUNCTION("""COMPUTED_VALUE"""),1993)</f>
        <v>1993</v>
      </c>
      <c r="G2010" s="1">
        <f ca="1">IFERROR(__xludf.DUMMYFUNCTION("""COMPUTED_VALUE"""),3518)</f>
        <v>3518</v>
      </c>
      <c r="H2010" s="1" t="str">
        <f ca="1">IFERROR(__xludf.DUMMYFUNCTION("""COMPUTED_VALUE"""),"MTLSZ003518A20")</f>
        <v>MTLSZ003518A20</v>
      </c>
      <c r="I2010" s="2">
        <f ca="1">IFERROR(__xludf.DUMMYFUNCTION("""COMPUTED_VALUE"""),44052)</f>
        <v>44052</v>
      </c>
      <c r="J2010" s="2">
        <f ca="1">IFERROR(__xludf.DUMMYFUNCTION("""COMPUTED_VALUE"""),44416)</f>
        <v>44416</v>
      </c>
    </row>
    <row r="2011" spans="1:10" x14ac:dyDescent="0.25">
      <c r="A2011" s="1" t="str">
        <f ca="1">IFERROR(__xludf.DUMMYFUNCTION("""COMPUTED_VALUE"""),"Diaboló SE")</f>
        <v>Diaboló SE</v>
      </c>
      <c r="B2011" s="1" t="str">
        <f ca="1">IFERROR(__xludf.DUMMYFUNCTION("""COMPUTED_VALUE"""),"Cser Bence")</f>
        <v>Cser Bence</v>
      </c>
      <c r="C2011" s="1"/>
      <c r="D2011" s="1" t="str">
        <f ca="1">IFERROR(__xludf.DUMMYFUNCTION("""COMPUTED_VALUE"""),"Férfi")</f>
        <v>Férfi</v>
      </c>
      <c r="E2011" s="1"/>
      <c r="F2011" s="1">
        <f ca="1">IFERROR(__xludf.DUMMYFUNCTION("""COMPUTED_VALUE"""),1992)</f>
        <v>1992</v>
      </c>
      <c r="G2011" s="1">
        <f ca="1">IFERROR(__xludf.DUMMYFUNCTION("""COMPUTED_VALUE"""),3517)</f>
        <v>3517</v>
      </c>
      <c r="H2011" s="1" t="str">
        <f ca="1">IFERROR(__xludf.DUMMYFUNCTION("""COMPUTED_VALUE"""),"MTLSZ003517A20")</f>
        <v>MTLSZ003517A20</v>
      </c>
      <c r="I2011" s="2">
        <f ca="1">IFERROR(__xludf.DUMMYFUNCTION("""COMPUTED_VALUE"""),44000)</f>
        <v>44000</v>
      </c>
      <c r="J2011" s="2">
        <f ca="1">IFERROR(__xludf.DUMMYFUNCTION("""COMPUTED_VALUE"""),44364)</f>
        <v>44364</v>
      </c>
    </row>
    <row r="2012" spans="1:10" x14ac:dyDescent="0.25">
      <c r="A2012" s="1" t="str">
        <f ca="1">IFERROR(__xludf.DUMMYFUNCTION("""COMPUTED_VALUE"""),"Győri TSE")</f>
        <v>Győri TSE</v>
      </c>
      <c r="B2012" s="1" t="str">
        <f ca="1">IFERROR(__xludf.DUMMYFUNCTION("""COMPUTED_VALUE"""),"Deák Nóra")</f>
        <v>Deák Nóra</v>
      </c>
      <c r="C2012" s="1"/>
      <c r="D2012" s="1" t="str">
        <f ca="1">IFERROR(__xludf.DUMMYFUNCTION("""COMPUTED_VALUE"""),"Nő")</f>
        <v>Nő</v>
      </c>
      <c r="E2012" s="1"/>
      <c r="F2012" s="1">
        <f ca="1">IFERROR(__xludf.DUMMYFUNCTION("""COMPUTED_VALUE"""),1985)</f>
        <v>1985</v>
      </c>
      <c r="G2012" s="1">
        <f ca="1">IFERROR(__xludf.DUMMYFUNCTION("""COMPUTED_VALUE"""),181)</f>
        <v>181</v>
      </c>
      <c r="H2012" s="1" t="str">
        <f ca="1">IFERROR(__xludf.DUMMYFUNCTION("""COMPUTED_VALUE"""),"MTLSZ000181A20")</f>
        <v>MTLSZ000181A20</v>
      </c>
      <c r="I2012" s="2">
        <f ca="1">IFERROR(__xludf.DUMMYFUNCTION("""COMPUTED_VALUE"""),43901)</f>
        <v>43901</v>
      </c>
      <c r="J2012" s="2">
        <f ca="1">IFERROR(__xludf.DUMMYFUNCTION("""COMPUTED_VALUE"""),44265)</f>
        <v>44265</v>
      </c>
    </row>
    <row r="2013" spans="1:10" x14ac:dyDescent="0.25">
      <c r="A2013" s="1" t="str">
        <f ca="1">IFERROR(__xludf.DUMMYFUNCTION("""COMPUTED_VALUE"""),"Talentum TSE")</f>
        <v>Talentum TSE</v>
      </c>
      <c r="B2013" s="1" t="str">
        <f ca="1">IFERROR(__xludf.DUMMYFUNCTION("""COMPUTED_VALUE"""),"Bori Benedek")</f>
        <v>Bori Benedek</v>
      </c>
      <c r="C2013" s="1"/>
      <c r="D2013" s="1" t="str">
        <f ca="1">IFERROR(__xludf.DUMMYFUNCTION("""COMPUTED_VALUE"""),"Férfi")</f>
        <v>Férfi</v>
      </c>
      <c r="E2013" s="1"/>
      <c r="F2013" s="1">
        <f ca="1">IFERROR(__xludf.DUMMYFUNCTION("""COMPUTED_VALUE"""),2006)</f>
        <v>2006</v>
      </c>
      <c r="G2013" s="1">
        <f ca="1">IFERROR(__xludf.DUMMYFUNCTION("""COMPUTED_VALUE"""),3514)</f>
        <v>3514</v>
      </c>
      <c r="H2013" s="1" t="str">
        <f ca="1">IFERROR(__xludf.DUMMYFUNCTION("""COMPUTED_VALUE"""),"MTLSZ003514A20")</f>
        <v>MTLSZ003514A20</v>
      </c>
      <c r="I2013" s="2">
        <f ca="1">IFERROR(__xludf.DUMMYFUNCTION("""COMPUTED_VALUE"""),43901)</f>
        <v>43901</v>
      </c>
      <c r="J2013" s="2">
        <f ca="1">IFERROR(__xludf.DUMMYFUNCTION("""COMPUTED_VALUE"""),44265)</f>
        <v>44265</v>
      </c>
    </row>
    <row r="2014" spans="1:10" x14ac:dyDescent="0.25">
      <c r="A2014" s="1" t="str">
        <f ca="1">IFERROR(__xludf.DUMMYFUNCTION("""COMPUTED_VALUE"""),"Talentum TSE")</f>
        <v>Talentum TSE</v>
      </c>
      <c r="B2014" s="1" t="str">
        <f ca="1">IFERROR(__xludf.DUMMYFUNCTION("""COMPUTED_VALUE"""),"Bori Bianka")</f>
        <v>Bori Bianka</v>
      </c>
      <c r="C2014" s="1"/>
      <c r="D2014" s="1" t="str">
        <f ca="1">IFERROR(__xludf.DUMMYFUNCTION("""COMPUTED_VALUE"""),"Nő")</f>
        <v>Nő</v>
      </c>
      <c r="E2014" s="1"/>
      <c r="F2014" s="1">
        <f ca="1">IFERROR(__xludf.DUMMYFUNCTION("""COMPUTED_VALUE"""),2004)</f>
        <v>2004</v>
      </c>
      <c r="G2014" s="1">
        <f ca="1">IFERROR(__xludf.DUMMYFUNCTION("""COMPUTED_VALUE"""),3513)</f>
        <v>3513</v>
      </c>
      <c r="H2014" s="1" t="str">
        <f ca="1">IFERROR(__xludf.DUMMYFUNCTION("""COMPUTED_VALUE"""),"MTLSZ003513A20")</f>
        <v>MTLSZ003513A20</v>
      </c>
      <c r="I2014" s="2">
        <f ca="1">IFERROR(__xludf.DUMMYFUNCTION("""COMPUTED_VALUE"""),43901)</f>
        <v>43901</v>
      </c>
      <c r="J2014" s="2">
        <f ca="1">IFERROR(__xludf.DUMMYFUNCTION("""COMPUTED_VALUE"""),44265)</f>
        <v>44265</v>
      </c>
    </row>
    <row r="2015" spans="1:10" x14ac:dyDescent="0.25">
      <c r="A2015" s="1" t="str">
        <f ca="1">IFERROR(__xludf.DUMMYFUNCTION("""COMPUTED_VALUE"""),"Talentum TSE")</f>
        <v>Talentum TSE</v>
      </c>
      <c r="B2015" s="1" t="str">
        <f ca="1">IFERROR(__xludf.DUMMYFUNCTION("""COMPUTED_VALUE"""),"Németh Medárd")</f>
        <v>Németh Medárd</v>
      </c>
      <c r="C2015" s="1"/>
      <c r="D2015" s="1" t="str">
        <f ca="1">IFERROR(__xludf.DUMMYFUNCTION("""COMPUTED_VALUE"""),"Férfi")</f>
        <v>Férfi</v>
      </c>
      <c r="E2015" s="1"/>
      <c r="F2015" s="1">
        <f ca="1">IFERROR(__xludf.DUMMYFUNCTION("""COMPUTED_VALUE"""),2010)</f>
        <v>2010</v>
      </c>
      <c r="G2015" s="1">
        <f ca="1">IFERROR(__xludf.DUMMYFUNCTION("""COMPUTED_VALUE"""),3515)</f>
        <v>3515</v>
      </c>
      <c r="H2015" s="1" t="str">
        <f ca="1">IFERROR(__xludf.DUMMYFUNCTION("""COMPUTED_VALUE"""),"MTLSZ003515A20")</f>
        <v>MTLSZ003515A20</v>
      </c>
      <c r="I2015" s="2">
        <f ca="1">IFERROR(__xludf.DUMMYFUNCTION("""COMPUTED_VALUE"""),43901)</f>
        <v>43901</v>
      </c>
      <c r="J2015" s="2">
        <f ca="1">IFERROR(__xludf.DUMMYFUNCTION("""COMPUTED_VALUE"""),44265)</f>
        <v>44265</v>
      </c>
    </row>
    <row r="2016" spans="1:10" x14ac:dyDescent="0.25">
      <c r="A2016" s="1" t="str">
        <f ca="1">IFERROR(__xludf.DUMMYFUNCTION("""COMPUTED_VALUE"""),"Talentum TSE")</f>
        <v>Talentum TSE</v>
      </c>
      <c r="B2016" s="1" t="str">
        <f ca="1">IFERROR(__xludf.DUMMYFUNCTION("""COMPUTED_VALUE"""),"Németh Vince")</f>
        <v>Németh Vince</v>
      </c>
      <c r="C2016" s="1"/>
      <c r="D2016" s="1" t="str">
        <f ca="1">IFERROR(__xludf.DUMMYFUNCTION("""COMPUTED_VALUE"""),"Férfi")</f>
        <v>Férfi</v>
      </c>
      <c r="E2016" s="1"/>
      <c r="F2016" s="1">
        <f ca="1">IFERROR(__xludf.DUMMYFUNCTION("""COMPUTED_VALUE"""),2008)</f>
        <v>2008</v>
      </c>
      <c r="G2016" s="1">
        <f ca="1">IFERROR(__xludf.DUMMYFUNCTION("""COMPUTED_VALUE"""),3516)</f>
        <v>3516</v>
      </c>
      <c r="H2016" s="1" t="str">
        <f ca="1">IFERROR(__xludf.DUMMYFUNCTION("""COMPUTED_VALUE"""),"MTLSZ003516A20")</f>
        <v>MTLSZ003516A20</v>
      </c>
      <c r="I2016" s="2">
        <f ca="1">IFERROR(__xludf.DUMMYFUNCTION("""COMPUTED_VALUE"""),43901)</f>
        <v>43901</v>
      </c>
      <c r="J2016" s="2">
        <f ca="1">IFERROR(__xludf.DUMMYFUNCTION("""COMPUTED_VALUE"""),44265)</f>
        <v>44265</v>
      </c>
    </row>
    <row r="2017" spans="1:10" x14ac:dyDescent="0.25">
      <c r="A2017" s="1" t="str">
        <f ca="1">IFERROR(__xludf.DUMMYFUNCTION("""COMPUTED_VALUE"""),"T(r)ollas SE")</f>
        <v>T(r)ollas SE</v>
      </c>
      <c r="B2017" s="1" t="str">
        <f ca="1">IFERROR(__xludf.DUMMYFUNCTION("""COMPUTED_VALUE"""),"Hasznics Milán")</f>
        <v>Hasznics Milán</v>
      </c>
      <c r="C2017" s="1"/>
      <c r="D2017" s="1" t="str">
        <f ca="1">IFERROR(__xludf.DUMMYFUNCTION("""COMPUTED_VALUE"""),"Férfi")</f>
        <v>Férfi</v>
      </c>
      <c r="E2017" s="1"/>
      <c r="F2017" s="1">
        <f ca="1">IFERROR(__xludf.DUMMYFUNCTION("""COMPUTED_VALUE"""),2010)</f>
        <v>2010</v>
      </c>
      <c r="G2017" s="1">
        <f ca="1">IFERROR(__xludf.DUMMYFUNCTION("""COMPUTED_VALUE"""),3409)</f>
        <v>3409</v>
      </c>
      <c r="H2017" s="1" t="str">
        <f ca="1">IFERROR(__xludf.DUMMYFUNCTION("""COMPUTED_VALUE"""),"MTLSZ003409A20")</f>
        <v>MTLSZ003409A20</v>
      </c>
      <c r="I2017" s="2">
        <f ca="1">IFERROR(__xludf.DUMMYFUNCTION("""COMPUTED_VALUE"""),43901)</f>
        <v>43901</v>
      </c>
      <c r="J2017" s="2">
        <f ca="1">IFERROR(__xludf.DUMMYFUNCTION("""COMPUTED_VALUE"""),44265)</f>
        <v>44265</v>
      </c>
    </row>
    <row r="2018" spans="1:10" x14ac:dyDescent="0.25">
      <c r="A2018" s="1" t="str">
        <f ca="1">IFERROR(__xludf.DUMMYFUNCTION("""COMPUTED_VALUE"""),"T(r)ollas SE")</f>
        <v>T(r)ollas SE</v>
      </c>
      <c r="B2018" s="1" t="str">
        <f ca="1">IFERROR(__xludf.DUMMYFUNCTION("""COMPUTED_VALUE"""),"Plachi Gábor")</f>
        <v>Plachi Gábor</v>
      </c>
      <c r="C2018" s="1"/>
      <c r="D2018" s="1" t="str">
        <f ca="1">IFERROR(__xludf.DUMMYFUNCTION("""COMPUTED_VALUE"""),"Férfi")</f>
        <v>Férfi</v>
      </c>
      <c r="E2018" s="1"/>
      <c r="F2018" s="1">
        <f ca="1">IFERROR(__xludf.DUMMYFUNCTION("""COMPUTED_VALUE"""),1982)</f>
        <v>1982</v>
      </c>
      <c r="G2018" s="1">
        <f ca="1">IFERROR(__xludf.DUMMYFUNCTION("""COMPUTED_VALUE"""),3213)</f>
        <v>3213</v>
      </c>
      <c r="H2018" s="1" t="str">
        <f ca="1">IFERROR(__xludf.DUMMYFUNCTION("""COMPUTED_VALUE"""),"MTLSZ003213A20")</f>
        <v>MTLSZ003213A20</v>
      </c>
      <c r="I2018" s="2">
        <f ca="1">IFERROR(__xludf.DUMMYFUNCTION("""COMPUTED_VALUE"""),43896)</f>
        <v>43896</v>
      </c>
      <c r="J2018" s="2">
        <f ca="1">IFERROR(__xludf.DUMMYFUNCTION("""COMPUTED_VALUE"""),44260)</f>
        <v>44260</v>
      </c>
    </row>
    <row r="2019" spans="1:10" x14ac:dyDescent="0.25">
      <c r="A2019" s="1" t="str">
        <f ca="1">IFERROR(__xludf.DUMMYFUNCTION("""COMPUTED_VALUE"""),"Kék Sólymok SE")</f>
        <v>Kék Sólymok SE</v>
      </c>
      <c r="B2019" s="1" t="str">
        <f ca="1">IFERROR(__xludf.DUMMYFUNCTION("""COMPUTED_VALUE"""),"Kovács Ciprián")</f>
        <v>Kovács Ciprián</v>
      </c>
      <c r="C2019" s="1"/>
      <c r="D2019" s="1" t="str">
        <f ca="1">IFERROR(__xludf.DUMMYFUNCTION("""COMPUTED_VALUE"""),"Férfi")</f>
        <v>Férfi</v>
      </c>
      <c r="E2019" s="1"/>
      <c r="F2019" s="1">
        <f ca="1">IFERROR(__xludf.DUMMYFUNCTION("""COMPUTED_VALUE"""),1977)</f>
        <v>1977</v>
      </c>
      <c r="G2019" s="1">
        <f ca="1">IFERROR(__xludf.DUMMYFUNCTION("""COMPUTED_VALUE"""),3512)</f>
        <v>3512</v>
      </c>
      <c r="H2019" s="1" t="str">
        <f ca="1">IFERROR(__xludf.DUMMYFUNCTION("""COMPUTED_VALUE"""),"MTLSZ003512A20")</f>
        <v>MTLSZ003512A20</v>
      </c>
      <c r="I2019" s="2">
        <f ca="1">IFERROR(__xludf.DUMMYFUNCTION("""COMPUTED_VALUE"""),43895)</f>
        <v>43895</v>
      </c>
      <c r="J2019" s="2">
        <f ca="1">IFERROR(__xludf.DUMMYFUNCTION("""COMPUTED_VALUE"""),44259)</f>
        <v>44259</v>
      </c>
    </row>
    <row r="2020" spans="1:10" x14ac:dyDescent="0.25">
      <c r="A2020" s="1" t="str">
        <f ca="1">IFERROR(__xludf.DUMMYFUNCTION("""COMPUTED_VALUE"""),"Életmód SE")</f>
        <v>Életmód SE</v>
      </c>
      <c r="B2020" s="1" t="str">
        <f ca="1">IFERROR(__xludf.DUMMYFUNCTION("""COMPUTED_VALUE"""),"Fajka Marcell")</f>
        <v>Fajka Marcell</v>
      </c>
      <c r="C2020" s="1"/>
      <c r="D2020" s="1" t="str">
        <f ca="1">IFERROR(__xludf.DUMMYFUNCTION("""COMPUTED_VALUE"""),"Férfi")</f>
        <v>Férfi</v>
      </c>
      <c r="E2020" s="1"/>
      <c r="F2020" s="1">
        <f ca="1">IFERROR(__xludf.DUMMYFUNCTION("""COMPUTED_VALUE"""),1998)</f>
        <v>1998</v>
      </c>
      <c r="G2020" s="1">
        <f ca="1">IFERROR(__xludf.DUMMYFUNCTION("""COMPUTED_VALUE"""),3507)</f>
        <v>3507</v>
      </c>
      <c r="H2020" s="1" t="str">
        <f ca="1">IFERROR(__xludf.DUMMYFUNCTION("""COMPUTED_VALUE"""),"MTLSZ003507A20")</f>
        <v>MTLSZ003507A20</v>
      </c>
      <c r="I2020" s="2">
        <f ca="1">IFERROR(__xludf.DUMMYFUNCTION("""COMPUTED_VALUE"""),43894)</f>
        <v>43894</v>
      </c>
      <c r="J2020" s="2">
        <f ca="1">IFERROR(__xludf.DUMMYFUNCTION("""COMPUTED_VALUE"""),44258)</f>
        <v>44258</v>
      </c>
    </row>
    <row r="2021" spans="1:10" x14ac:dyDescent="0.25">
      <c r="A2021" s="1" t="str">
        <f ca="1">IFERROR(__xludf.DUMMYFUNCTION("""COMPUTED_VALUE"""),"OSC")</f>
        <v>OSC</v>
      </c>
      <c r="B2021" s="1" t="str">
        <f ca="1">IFERROR(__xludf.DUMMYFUNCTION("""COMPUTED_VALUE"""),"Csörgő Péter")</f>
        <v>Csörgő Péter</v>
      </c>
      <c r="C2021" s="1"/>
      <c r="D2021" s="1" t="str">
        <f ca="1">IFERROR(__xludf.DUMMYFUNCTION("""COMPUTED_VALUE"""),"Férfi")</f>
        <v>Férfi</v>
      </c>
      <c r="E2021" s="1"/>
      <c r="F2021" s="1">
        <f ca="1">IFERROR(__xludf.DUMMYFUNCTION("""COMPUTED_VALUE"""),2007)</f>
        <v>2007</v>
      </c>
      <c r="G2021" s="1">
        <f ca="1">IFERROR(__xludf.DUMMYFUNCTION("""COMPUTED_VALUE"""),3511)</f>
        <v>3511</v>
      </c>
      <c r="H2021" s="1" t="str">
        <f ca="1">IFERROR(__xludf.DUMMYFUNCTION("""COMPUTED_VALUE"""),"MTLSZ003511A20")</f>
        <v>MTLSZ003511A20</v>
      </c>
      <c r="I2021" s="2">
        <f ca="1">IFERROR(__xludf.DUMMYFUNCTION("""COMPUTED_VALUE"""),43894)</f>
        <v>43894</v>
      </c>
      <c r="J2021" s="2">
        <f ca="1">IFERROR(__xludf.DUMMYFUNCTION("""COMPUTED_VALUE"""),44258)</f>
        <v>44258</v>
      </c>
    </row>
    <row r="2022" spans="1:10" x14ac:dyDescent="0.25">
      <c r="A2022" s="1" t="str">
        <f ca="1">IFERROR(__xludf.DUMMYFUNCTION("""COMPUTED_VALUE"""),"OSC")</f>
        <v>OSC</v>
      </c>
      <c r="B2022" s="1" t="str">
        <f ca="1">IFERROR(__xludf.DUMMYFUNCTION("""COMPUTED_VALUE"""),"Gál Enikő")</f>
        <v>Gál Enikő</v>
      </c>
      <c r="C2022" s="1"/>
      <c r="D2022" s="1" t="str">
        <f ca="1">IFERROR(__xludf.DUMMYFUNCTION("""COMPUTED_VALUE"""),"Nő")</f>
        <v>Nő</v>
      </c>
      <c r="E2022" s="1"/>
      <c r="F2022" s="1">
        <f ca="1">IFERROR(__xludf.DUMMYFUNCTION("""COMPUTED_VALUE"""),2007)</f>
        <v>2007</v>
      </c>
      <c r="G2022" s="1">
        <f ca="1">IFERROR(__xludf.DUMMYFUNCTION("""COMPUTED_VALUE"""),3510)</f>
        <v>3510</v>
      </c>
      <c r="H2022" s="1" t="str">
        <f ca="1">IFERROR(__xludf.DUMMYFUNCTION("""COMPUTED_VALUE"""),"MTLSZ003510A20")</f>
        <v>MTLSZ003510A20</v>
      </c>
      <c r="I2022" s="2">
        <f ca="1">IFERROR(__xludf.DUMMYFUNCTION("""COMPUTED_VALUE"""),43894)</f>
        <v>43894</v>
      </c>
      <c r="J2022" s="2">
        <f ca="1">IFERROR(__xludf.DUMMYFUNCTION("""COMPUTED_VALUE"""),44258)</f>
        <v>44258</v>
      </c>
    </row>
    <row r="2023" spans="1:10" x14ac:dyDescent="0.25">
      <c r="A2023" s="1" t="str">
        <f ca="1">IFERROR(__xludf.DUMMYFUNCTION("""COMPUTED_VALUE"""),"OSC")</f>
        <v>OSC</v>
      </c>
      <c r="B2023" s="1" t="str">
        <f ca="1">IFERROR(__xludf.DUMMYFUNCTION("""COMPUTED_VALUE"""),"Kincses Norbert")</f>
        <v>Kincses Norbert</v>
      </c>
      <c r="C2023" s="1"/>
      <c r="D2023" s="1" t="str">
        <f ca="1">IFERROR(__xludf.DUMMYFUNCTION("""COMPUTED_VALUE"""),"Férfi")</f>
        <v>Férfi</v>
      </c>
      <c r="E2023" s="1"/>
      <c r="F2023" s="1">
        <f ca="1">IFERROR(__xludf.DUMMYFUNCTION("""COMPUTED_VALUE"""),2010)</f>
        <v>2010</v>
      </c>
      <c r="G2023" s="1">
        <f ca="1">IFERROR(__xludf.DUMMYFUNCTION("""COMPUTED_VALUE"""),3508)</f>
        <v>3508</v>
      </c>
      <c r="H2023" s="1" t="str">
        <f ca="1">IFERROR(__xludf.DUMMYFUNCTION("""COMPUTED_VALUE"""),"MTLSZ003508A20")</f>
        <v>MTLSZ003508A20</v>
      </c>
      <c r="I2023" s="2">
        <f ca="1">IFERROR(__xludf.DUMMYFUNCTION("""COMPUTED_VALUE"""),43894)</f>
        <v>43894</v>
      </c>
      <c r="J2023" s="2">
        <f ca="1">IFERROR(__xludf.DUMMYFUNCTION("""COMPUTED_VALUE"""),44258)</f>
        <v>44258</v>
      </c>
    </row>
    <row r="2024" spans="1:10" x14ac:dyDescent="0.25">
      <c r="A2024" s="1" t="str">
        <f ca="1">IFERROR(__xludf.DUMMYFUNCTION("""COMPUTED_VALUE"""),"OSC")</f>
        <v>OSC</v>
      </c>
      <c r="B2024" s="1" t="str">
        <f ca="1">IFERROR(__xludf.DUMMYFUNCTION("""COMPUTED_VALUE"""),"Mai Viet Hung")</f>
        <v>Mai Viet Hung</v>
      </c>
      <c r="C2024" s="1"/>
      <c r="D2024" s="1" t="str">
        <f ca="1">IFERROR(__xludf.DUMMYFUNCTION("""COMPUTED_VALUE"""),"Férfi")</f>
        <v>Férfi</v>
      </c>
      <c r="E2024" s="1"/>
      <c r="F2024" s="1">
        <f ca="1">IFERROR(__xludf.DUMMYFUNCTION("""COMPUTED_VALUE"""),2010)</f>
        <v>2010</v>
      </c>
      <c r="G2024" s="1">
        <f ca="1">IFERROR(__xludf.DUMMYFUNCTION("""COMPUTED_VALUE"""),3509)</f>
        <v>3509</v>
      </c>
      <c r="H2024" s="1" t="str">
        <f ca="1">IFERROR(__xludf.DUMMYFUNCTION("""COMPUTED_VALUE"""),"MTLSZ003509A20")</f>
        <v>MTLSZ003509A20</v>
      </c>
      <c r="I2024" s="2">
        <f ca="1">IFERROR(__xludf.DUMMYFUNCTION("""COMPUTED_VALUE"""),43894)</f>
        <v>43894</v>
      </c>
      <c r="J2024" s="2">
        <f ca="1">IFERROR(__xludf.DUMMYFUNCTION("""COMPUTED_VALUE"""),44258)</f>
        <v>44258</v>
      </c>
    </row>
    <row r="2025" spans="1:10" x14ac:dyDescent="0.25">
      <c r="A2025" s="1" t="str">
        <f ca="1">IFERROR(__xludf.DUMMYFUNCTION("""COMPUTED_VALUE"""),"Talentum TSE")</f>
        <v>Talentum TSE</v>
      </c>
      <c r="B2025" s="1" t="str">
        <f ca="1">IFERROR(__xludf.DUMMYFUNCTION("""COMPUTED_VALUE"""),"Mészáros Dávid")</f>
        <v>Mészáros Dávid</v>
      </c>
      <c r="C2025" s="1"/>
      <c r="D2025" s="1" t="str">
        <f ca="1">IFERROR(__xludf.DUMMYFUNCTION("""COMPUTED_VALUE"""),"Férfi")</f>
        <v>Férfi</v>
      </c>
      <c r="E2025" s="1"/>
      <c r="F2025" s="1">
        <f ca="1">IFERROR(__xludf.DUMMYFUNCTION("""COMPUTED_VALUE"""),2003)</f>
        <v>2003</v>
      </c>
      <c r="G2025" s="1">
        <f ca="1">IFERROR(__xludf.DUMMYFUNCTION("""COMPUTED_VALUE"""),3505)</f>
        <v>3505</v>
      </c>
      <c r="H2025" s="1" t="str">
        <f ca="1">IFERROR(__xludf.DUMMYFUNCTION("""COMPUTED_VALUE"""),"MTLSZ003505A20")</f>
        <v>MTLSZ003505A20</v>
      </c>
      <c r="I2025" s="2">
        <f ca="1">IFERROR(__xludf.DUMMYFUNCTION("""COMPUTED_VALUE"""),43892)</f>
        <v>43892</v>
      </c>
      <c r="J2025" s="2">
        <f ca="1">IFERROR(__xludf.DUMMYFUNCTION("""COMPUTED_VALUE"""),44256)</f>
        <v>44256</v>
      </c>
    </row>
    <row r="2026" spans="1:10" x14ac:dyDescent="0.25">
      <c r="A2026" s="1" t="str">
        <f ca="1">IFERROR(__xludf.DUMMYFUNCTION("""COMPUTED_VALUE"""),"Danubius KSE")</f>
        <v>Danubius KSE</v>
      </c>
      <c r="B2026" s="1" t="str">
        <f ca="1">IFERROR(__xludf.DUMMYFUNCTION("""COMPUTED_VALUE"""),"Gálházi Gyula")</f>
        <v>Gálházi Gyula</v>
      </c>
      <c r="C2026" s="1"/>
      <c r="D2026" s="1" t="str">
        <f ca="1">IFERROR(__xludf.DUMMYFUNCTION("""COMPUTED_VALUE"""),"Férfi")</f>
        <v>Férfi</v>
      </c>
      <c r="E2026" s="1"/>
      <c r="F2026" s="1">
        <f ca="1">IFERROR(__xludf.DUMMYFUNCTION("""COMPUTED_VALUE"""),1976)</f>
        <v>1976</v>
      </c>
      <c r="G2026" s="1">
        <f ca="1">IFERROR(__xludf.DUMMYFUNCTION("""COMPUTED_VALUE"""),2257)</f>
        <v>2257</v>
      </c>
      <c r="H2026" s="1" t="str">
        <f ca="1">IFERROR(__xludf.DUMMYFUNCTION("""COMPUTED_VALUE"""),"MTLSZ002257A20")</f>
        <v>MTLSZ002257A20</v>
      </c>
      <c r="I2026" s="2">
        <f ca="1">IFERROR(__xludf.DUMMYFUNCTION("""COMPUTED_VALUE"""),43881)</f>
        <v>43881</v>
      </c>
      <c r="J2026" s="2">
        <f ca="1">IFERROR(__xludf.DUMMYFUNCTION("""COMPUTED_VALUE"""),44246)</f>
        <v>44246</v>
      </c>
    </row>
    <row r="2027" spans="1:10" x14ac:dyDescent="0.25">
      <c r="A2027" s="1" t="str">
        <f ca="1">IFERROR(__xludf.DUMMYFUNCTION("""COMPUTED_VALUE"""),"Kék Sólymok SE")</f>
        <v>Kék Sólymok SE</v>
      </c>
      <c r="B2027" s="1" t="str">
        <f ca="1">IFERROR(__xludf.DUMMYFUNCTION("""COMPUTED_VALUE"""),"Goda Benedek")</f>
        <v>Goda Benedek</v>
      </c>
      <c r="C2027" s="1"/>
      <c r="D2027" s="1" t="str">
        <f ca="1">IFERROR(__xludf.DUMMYFUNCTION("""COMPUTED_VALUE"""),"Férfi")</f>
        <v>Férfi</v>
      </c>
      <c r="E2027" s="1"/>
      <c r="F2027" s="1">
        <f ca="1">IFERROR(__xludf.DUMMYFUNCTION("""COMPUTED_VALUE"""),2010)</f>
        <v>2010</v>
      </c>
      <c r="G2027" s="1">
        <f ca="1">IFERROR(__xludf.DUMMYFUNCTION("""COMPUTED_VALUE"""),3495)</f>
        <v>3495</v>
      </c>
      <c r="H2027" s="1" t="str">
        <f ca="1">IFERROR(__xludf.DUMMYFUNCTION("""COMPUTED_VALUE"""),"MTLSZ003495A20")</f>
        <v>MTLSZ003495A20</v>
      </c>
      <c r="I2027" s="2">
        <f ca="1">IFERROR(__xludf.DUMMYFUNCTION("""COMPUTED_VALUE"""),43874)</f>
        <v>43874</v>
      </c>
      <c r="J2027" s="2">
        <f ca="1">IFERROR(__xludf.DUMMYFUNCTION("""COMPUTED_VALUE"""),44239)</f>
        <v>44239</v>
      </c>
    </row>
    <row r="2028" spans="1:10" x14ac:dyDescent="0.25">
      <c r="A2028" s="1" t="str">
        <f ca="1">IFERROR(__xludf.DUMMYFUNCTION("""COMPUTED_VALUE"""),"Kék Sólymok SE")</f>
        <v>Kék Sólymok SE</v>
      </c>
      <c r="B2028" s="1" t="str">
        <f ca="1">IFERROR(__xludf.DUMMYFUNCTION("""COMPUTED_VALUE"""),"Paczulák Mira")</f>
        <v>Paczulák Mira</v>
      </c>
      <c r="C2028" s="1"/>
      <c r="D2028" s="1" t="str">
        <f ca="1">IFERROR(__xludf.DUMMYFUNCTION("""COMPUTED_VALUE"""),"Nő")</f>
        <v>Nő</v>
      </c>
      <c r="E2028" s="1"/>
      <c r="F2028" s="1">
        <f ca="1">IFERROR(__xludf.DUMMYFUNCTION("""COMPUTED_VALUE"""),2007)</f>
        <v>2007</v>
      </c>
      <c r="G2028" s="1">
        <f ca="1">IFERROR(__xludf.DUMMYFUNCTION("""COMPUTED_VALUE"""),3494)</f>
        <v>3494</v>
      </c>
      <c r="H2028" s="1" t="str">
        <f ca="1">IFERROR(__xludf.DUMMYFUNCTION("""COMPUTED_VALUE"""),"MTLSZ003494A20")</f>
        <v>MTLSZ003494A20</v>
      </c>
      <c r="I2028" s="2">
        <f ca="1">IFERROR(__xludf.DUMMYFUNCTION("""COMPUTED_VALUE"""),43874)</f>
        <v>43874</v>
      </c>
      <c r="J2028" s="2">
        <f ca="1">IFERROR(__xludf.DUMMYFUNCTION("""COMPUTED_VALUE"""),44239)</f>
        <v>44239</v>
      </c>
    </row>
    <row r="2029" spans="1:10" x14ac:dyDescent="0.25">
      <c r="A2029" s="1" t="str">
        <f ca="1">IFERROR(__xludf.DUMMYFUNCTION("""COMPUTED_VALUE"""),"T(r)ollas SE")</f>
        <v>T(r)ollas SE</v>
      </c>
      <c r="B2029" s="1" t="str">
        <f ca="1">IFERROR(__xludf.DUMMYFUNCTION("""COMPUTED_VALUE"""),"Sofia Silingova")</f>
        <v>Sofia Silingova</v>
      </c>
      <c r="C2029" s="1"/>
      <c r="D2029" s="1" t="str">
        <f ca="1">IFERROR(__xludf.DUMMYFUNCTION("""COMPUTED_VALUE"""),"Nő")</f>
        <v>Nő</v>
      </c>
      <c r="E2029" s="1"/>
      <c r="F2029" s="1">
        <f ca="1">IFERROR(__xludf.DUMMYFUNCTION("""COMPUTED_VALUE"""),2006)</f>
        <v>2006</v>
      </c>
      <c r="G2029" s="1">
        <f ca="1">IFERROR(__xludf.DUMMYFUNCTION("""COMPUTED_VALUE"""),3499)</f>
        <v>3499</v>
      </c>
      <c r="H2029" s="1" t="str">
        <f ca="1">IFERROR(__xludf.DUMMYFUNCTION("""COMPUTED_VALUE"""),"MTLSZ003499A20")</f>
        <v>MTLSZ003499A20</v>
      </c>
      <c r="I2029" s="2">
        <f ca="1">IFERROR(__xludf.DUMMYFUNCTION("""COMPUTED_VALUE"""),43874)</f>
        <v>43874</v>
      </c>
      <c r="J2029" s="2">
        <f ca="1">IFERROR(__xludf.DUMMYFUNCTION("""COMPUTED_VALUE"""),44239)</f>
        <v>44239</v>
      </c>
    </row>
    <row r="2030" spans="1:10" x14ac:dyDescent="0.25">
      <c r="A2030" s="1" t="str">
        <f ca="1">IFERROR(__xludf.DUMMYFUNCTION("""COMPUTED_VALUE"""),"Kék Sólymok SE")</f>
        <v>Kék Sólymok SE</v>
      </c>
      <c r="B2030" s="1" t="str">
        <f ca="1">IFERROR(__xludf.DUMMYFUNCTION("""COMPUTED_VALUE"""),"Kovács Zsigmond")</f>
        <v>Kovács Zsigmond</v>
      </c>
      <c r="C2030" s="1"/>
      <c r="D2030" s="1" t="str">
        <f ca="1">IFERROR(__xludf.DUMMYFUNCTION("""COMPUTED_VALUE"""),"Férfi")</f>
        <v>Férfi</v>
      </c>
      <c r="E2030" s="1"/>
      <c r="F2030" s="1">
        <f ca="1">IFERROR(__xludf.DUMMYFUNCTION("""COMPUTED_VALUE"""),2007)</f>
        <v>2007</v>
      </c>
      <c r="G2030" s="1">
        <f ca="1">IFERROR(__xludf.DUMMYFUNCTION("""COMPUTED_VALUE"""),3492)</f>
        <v>3492</v>
      </c>
      <c r="H2030" s="1" t="str">
        <f ca="1">IFERROR(__xludf.DUMMYFUNCTION("""COMPUTED_VALUE"""),"MTLSZ003492A20")</f>
        <v>MTLSZ003492A20</v>
      </c>
      <c r="I2030" s="2">
        <f ca="1">IFERROR(__xludf.DUMMYFUNCTION("""COMPUTED_VALUE"""),43864)</f>
        <v>43864</v>
      </c>
      <c r="J2030" s="2">
        <f ca="1">IFERROR(__xludf.DUMMYFUNCTION("""COMPUTED_VALUE"""),44229)</f>
        <v>44229</v>
      </c>
    </row>
    <row r="2031" spans="1:10" x14ac:dyDescent="0.25">
      <c r="A2031" s="1" t="str">
        <f ca="1">IFERROR(__xludf.DUMMYFUNCTION("""COMPUTED_VALUE"""),"Kék Sólymok SE")</f>
        <v>Kék Sólymok SE</v>
      </c>
      <c r="B2031" s="1" t="str">
        <f ca="1">IFERROR(__xludf.DUMMYFUNCTION("""COMPUTED_VALUE"""),"Kőfaragó Gergely")</f>
        <v>Kőfaragó Gergely</v>
      </c>
      <c r="C2031" s="1"/>
      <c r="D2031" s="1" t="str">
        <f ca="1">IFERROR(__xludf.DUMMYFUNCTION("""COMPUTED_VALUE"""),"Férfi")</f>
        <v>Férfi</v>
      </c>
      <c r="E2031" s="1"/>
      <c r="F2031" s="1">
        <f ca="1">IFERROR(__xludf.DUMMYFUNCTION("""COMPUTED_VALUE"""),2010)</f>
        <v>2010</v>
      </c>
      <c r="G2031" s="1">
        <f ca="1">IFERROR(__xludf.DUMMYFUNCTION("""COMPUTED_VALUE"""),3493)</f>
        <v>3493</v>
      </c>
      <c r="H2031" s="1" t="str">
        <f ca="1">IFERROR(__xludf.DUMMYFUNCTION("""COMPUTED_VALUE"""),"MTLSZ003493A20")</f>
        <v>MTLSZ003493A20</v>
      </c>
      <c r="I2031" s="2">
        <f ca="1">IFERROR(__xludf.DUMMYFUNCTION("""COMPUTED_VALUE"""),43864)</f>
        <v>43864</v>
      </c>
      <c r="J2031" s="2">
        <f ca="1">IFERROR(__xludf.DUMMYFUNCTION("""COMPUTED_VALUE"""),44229)</f>
        <v>44229</v>
      </c>
    </row>
    <row r="2032" spans="1:10" x14ac:dyDescent="0.25">
      <c r="A2032" s="1" t="str">
        <f ca="1">IFERROR(__xludf.DUMMYFUNCTION("""COMPUTED_VALUE"""),"Életmód SE")</f>
        <v>Életmód SE</v>
      </c>
      <c r="B2032" s="1" t="str">
        <f ca="1">IFERROR(__xludf.DUMMYFUNCTION("""COMPUTED_VALUE"""),"Dóka Dániel")</f>
        <v>Dóka Dániel</v>
      </c>
      <c r="C2032" s="1"/>
      <c r="D2032" s="1" t="str">
        <f ca="1">IFERROR(__xludf.DUMMYFUNCTION("""COMPUTED_VALUE"""),"Férfi")</f>
        <v>Férfi</v>
      </c>
      <c r="E2032" s="1"/>
      <c r="F2032" s="1">
        <f ca="1">IFERROR(__xludf.DUMMYFUNCTION("""COMPUTED_VALUE"""),2007)</f>
        <v>2007</v>
      </c>
      <c r="G2032" s="1">
        <f ca="1">IFERROR(__xludf.DUMMYFUNCTION("""COMPUTED_VALUE"""),3491)</f>
        <v>3491</v>
      </c>
      <c r="H2032" s="1" t="str">
        <f ca="1">IFERROR(__xludf.DUMMYFUNCTION("""COMPUTED_VALUE"""),"MTLSZ003491A20")</f>
        <v>MTLSZ003491A20</v>
      </c>
      <c r="I2032" s="2">
        <f ca="1">IFERROR(__xludf.DUMMYFUNCTION("""COMPUTED_VALUE"""),43853)</f>
        <v>43853</v>
      </c>
      <c r="J2032" s="2">
        <f ca="1">IFERROR(__xludf.DUMMYFUNCTION("""COMPUTED_VALUE"""),44218)</f>
        <v>44218</v>
      </c>
    </row>
    <row r="2033" spans="1:10" x14ac:dyDescent="0.25">
      <c r="A2033" s="1" t="str">
        <f ca="1">IFERROR(__xludf.DUMMYFUNCTION("""COMPUTED_VALUE"""),"Talentum TSE")</f>
        <v>Talentum TSE</v>
      </c>
      <c r="B2033" s="1" t="str">
        <f ca="1">IFERROR(__xludf.DUMMYFUNCTION("""COMPUTED_VALUE"""),"Szovics Márton")</f>
        <v>Szovics Márton</v>
      </c>
      <c r="C2033" s="1"/>
      <c r="D2033" s="1" t="str">
        <f ca="1">IFERROR(__xludf.DUMMYFUNCTION("""COMPUTED_VALUE"""),"Férfi")</f>
        <v>Férfi</v>
      </c>
      <c r="E2033" s="1"/>
      <c r="F2033" s="1">
        <f ca="1">IFERROR(__xludf.DUMMYFUNCTION("""COMPUTED_VALUE"""),2003)</f>
        <v>2003</v>
      </c>
      <c r="G2033" s="1">
        <f ca="1">IFERROR(__xludf.DUMMYFUNCTION("""COMPUTED_VALUE"""),3064)</f>
        <v>3064</v>
      </c>
      <c r="H2033" s="1" t="str">
        <f ca="1">IFERROR(__xludf.DUMMYFUNCTION("""COMPUTED_VALUE"""),"MTLSZ003064A20")</f>
        <v>MTLSZ003064A20</v>
      </c>
      <c r="I2033" s="2">
        <f ca="1">IFERROR(__xludf.DUMMYFUNCTION("""COMPUTED_VALUE"""),43847)</f>
        <v>43847</v>
      </c>
      <c r="J2033" s="2">
        <f ca="1">IFERROR(__xludf.DUMMYFUNCTION("""COMPUTED_VALUE"""),44212)</f>
        <v>44212</v>
      </c>
    </row>
    <row r="2034" spans="1:10" x14ac:dyDescent="0.25">
      <c r="A2034" s="1" t="str">
        <f ca="1">IFERROR(__xludf.DUMMYFUNCTION("""COMPUTED_VALUE"""),"OSC")</f>
        <v>OSC</v>
      </c>
      <c r="B2034" s="1" t="str">
        <f ca="1">IFERROR(__xludf.DUMMYFUNCTION("""COMPUTED_VALUE"""),"Bánkúti László")</f>
        <v>Bánkúti László</v>
      </c>
      <c r="C2034" s="1"/>
      <c r="D2034" s="1" t="str">
        <f ca="1">IFERROR(__xludf.DUMMYFUNCTION("""COMPUTED_VALUE"""),"Férfi")</f>
        <v>Férfi</v>
      </c>
      <c r="E2034" s="1"/>
      <c r="F2034" s="1">
        <f ca="1">IFERROR(__xludf.DUMMYFUNCTION("""COMPUTED_VALUE"""),2005)</f>
        <v>2005</v>
      </c>
      <c r="G2034" s="1">
        <f ca="1">IFERROR(__xludf.DUMMYFUNCTION("""COMPUTED_VALUE"""),3415)</f>
        <v>3415</v>
      </c>
      <c r="H2034" s="1" t="str">
        <f ca="1">IFERROR(__xludf.DUMMYFUNCTION("""COMPUTED_VALUE"""),"MTLSZ003415A20")</f>
        <v>MTLSZ003415A20</v>
      </c>
      <c r="I2034" s="2">
        <f ca="1">IFERROR(__xludf.DUMMYFUNCTION("""COMPUTED_VALUE"""),43846)</f>
        <v>43846</v>
      </c>
      <c r="J2034" s="2">
        <f ca="1">IFERROR(__xludf.DUMMYFUNCTION("""COMPUTED_VALUE"""),44211)</f>
        <v>44211</v>
      </c>
    </row>
    <row r="2035" spans="1:10" x14ac:dyDescent="0.25">
      <c r="A2035" s="1" t="str">
        <f ca="1">IFERROR(__xludf.DUMMYFUNCTION("""COMPUTED_VALUE"""),"T(r)ollas SE")</f>
        <v>T(r)ollas SE</v>
      </c>
      <c r="B2035" s="1" t="str">
        <f ca="1">IFERROR(__xludf.DUMMYFUNCTION("""COMPUTED_VALUE"""),"Handl Dávid")</f>
        <v>Handl Dávid</v>
      </c>
      <c r="C2035" s="1"/>
      <c r="D2035" s="1" t="str">
        <f ca="1">IFERROR(__xludf.DUMMYFUNCTION("""COMPUTED_VALUE"""),"Férfi")</f>
        <v>Férfi</v>
      </c>
      <c r="E2035" s="1"/>
      <c r="F2035" s="1">
        <f ca="1">IFERROR(__xludf.DUMMYFUNCTION("""COMPUTED_VALUE"""),2005)</f>
        <v>2005</v>
      </c>
      <c r="G2035" s="1">
        <f ca="1">IFERROR(__xludf.DUMMYFUNCTION("""COMPUTED_VALUE"""),3068)</f>
        <v>3068</v>
      </c>
      <c r="H2035" s="1" t="str">
        <f ca="1">IFERROR(__xludf.DUMMYFUNCTION("""COMPUTED_VALUE"""),"MTLSZ003068A20")</f>
        <v>MTLSZ003068A20</v>
      </c>
      <c r="I2035" s="2">
        <f ca="1">IFERROR(__xludf.DUMMYFUNCTION("""COMPUTED_VALUE"""),43845)</f>
        <v>43845</v>
      </c>
      <c r="J2035" s="2">
        <f ca="1">IFERROR(__xludf.DUMMYFUNCTION("""COMPUTED_VALUE"""),44210)</f>
        <v>44210</v>
      </c>
    </row>
    <row r="2036" spans="1:10" x14ac:dyDescent="0.25">
      <c r="A2036" s="1" t="str">
        <f ca="1">IFERROR(__xludf.DUMMYFUNCTION("""COMPUTED_VALUE"""),"T(r)ollas SE")</f>
        <v>T(r)ollas SE</v>
      </c>
      <c r="B2036" s="1" t="str">
        <f ca="1">IFERROR(__xludf.DUMMYFUNCTION("""COMPUTED_VALUE"""),"Hegedűs Péter")</f>
        <v>Hegedűs Péter</v>
      </c>
      <c r="C2036" s="1"/>
      <c r="D2036" s="1" t="str">
        <f ca="1">IFERROR(__xludf.DUMMYFUNCTION("""COMPUTED_VALUE"""),"Férfi")</f>
        <v>Férfi</v>
      </c>
      <c r="E2036" s="1"/>
      <c r="F2036" s="1">
        <f ca="1">IFERROR(__xludf.DUMMYFUNCTION("""COMPUTED_VALUE"""),2009)</f>
        <v>2009</v>
      </c>
      <c r="G2036" s="1">
        <f ca="1">IFERROR(__xludf.DUMMYFUNCTION("""COMPUTED_VALUE"""),3274)</f>
        <v>3274</v>
      </c>
      <c r="H2036" s="1" t="str">
        <f ca="1">IFERROR(__xludf.DUMMYFUNCTION("""COMPUTED_VALUE"""),"MTLSZ003274A20")</f>
        <v>MTLSZ003274A20</v>
      </c>
      <c r="I2036" s="2">
        <f ca="1">IFERROR(__xludf.DUMMYFUNCTION("""COMPUTED_VALUE"""),43845)</f>
        <v>43845</v>
      </c>
      <c r="J2036" s="2">
        <f ca="1">IFERROR(__xludf.DUMMYFUNCTION("""COMPUTED_VALUE"""),44210)</f>
        <v>44210</v>
      </c>
    </row>
    <row r="2037" spans="1:10" x14ac:dyDescent="0.25">
      <c r="A2037" s="1" t="str">
        <f ca="1">IFERROR(__xludf.DUMMYFUNCTION("""COMPUTED_VALUE"""),"Újpest TSE")</f>
        <v>Újpest TSE</v>
      </c>
      <c r="B2037" s="1" t="str">
        <f ca="1">IFERROR(__xludf.DUMMYFUNCTION("""COMPUTED_VALUE"""),"Király Ákos")</f>
        <v>Király Ákos</v>
      </c>
      <c r="C2037" s="1"/>
      <c r="D2037" s="1" t="str">
        <f ca="1">IFERROR(__xludf.DUMMYFUNCTION("""COMPUTED_VALUE"""),"Férfi")</f>
        <v>Férfi</v>
      </c>
      <c r="E2037" s="1"/>
      <c r="F2037" s="1">
        <f ca="1">IFERROR(__xludf.DUMMYFUNCTION("""COMPUTED_VALUE"""),1989)</f>
        <v>1989</v>
      </c>
      <c r="G2037" s="1">
        <f ca="1">IFERROR(__xludf.DUMMYFUNCTION("""COMPUTED_VALUE"""),468)</f>
        <v>468</v>
      </c>
      <c r="H2037" s="1" t="str">
        <f ca="1">IFERROR(__xludf.DUMMYFUNCTION("""COMPUTED_VALUE"""),"MTLSZ000468A20")</f>
        <v>MTLSZ000468A20</v>
      </c>
      <c r="I2037" s="2">
        <f ca="1">IFERROR(__xludf.DUMMYFUNCTION("""COMPUTED_VALUE"""),43844)</f>
        <v>43844</v>
      </c>
      <c r="J2037" s="2">
        <f ca="1">IFERROR(__xludf.DUMMYFUNCTION("""COMPUTED_VALUE"""),44209)</f>
        <v>44209</v>
      </c>
    </row>
    <row r="2038" spans="1:10" x14ac:dyDescent="0.25">
      <c r="A2038" s="1" t="str">
        <f ca="1">IFERROR(__xludf.DUMMYFUNCTION("""COMPUTED_VALUE"""),"Keszthelyi TE")</f>
        <v>Keszthelyi TE</v>
      </c>
      <c r="B2038" s="1" t="str">
        <f ca="1">IFERROR(__xludf.DUMMYFUNCTION("""COMPUTED_VALUE"""),"Dancsa Barbara")</f>
        <v>Dancsa Barbara</v>
      </c>
      <c r="C2038" s="1"/>
      <c r="D2038" s="1" t="str">
        <f ca="1">IFERROR(__xludf.DUMMYFUNCTION("""COMPUTED_VALUE"""),"Nő")</f>
        <v>Nő</v>
      </c>
      <c r="E2038" s="1"/>
      <c r="F2038" s="1">
        <f ca="1">IFERROR(__xludf.DUMMYFUNCTION("""COMPUTED_VALUE"""),1996)</f>
        <v>1996</v>
      </c>
      <c r="G2038" s="1">
        <f ca="1">IFERROR(__xludf.DUMMYFUNCTION("""COMPUTED_VALUE"""),2726)</f>
        <v>2726</v>
      </c>
      <c r="H2038" s="1" t="str">
        <f ca="1">IFERROR(__xludf.DUMMYFUNCTION("""COMPUTED_VALUE"""),"MTLSZ002726A19")</f>
        <v>MTLSZ002726A19</v>
      </c>
      <c r="I2038" s="2">
        <f ca="1">IFERROR(__xludf.DUMMYFUNCTION("""COMPUTED_VALUE"""),43827)</f>
        <v>43827</v>
      </c>
      <c r="J2038" s="2">
        <f ca="1">IFERROR(__xludf.DUMMYFUNCTION("""COMPUTED_VALUE"""),44192)</f>
        <v>44192</v>
      </c>
    </row>
    <row r="2039" spans="1:10" x14ac:dyDescent="0.25">
      <c r="A2039" s="1" t="str">
        <f ca="1">IFERROR(__xludf.DUMMYFUNCTION("""COMPUTED_VALUE"""),"Talentum TSE")</f>
        <v>Talentum TSE</v>
      </c>
      <c r="B2039" s="1" t="str">
        <f ca="1">IFERROR(__xludf.DUMMYFUNCTION("""COMPUTED_VALUE"""),"Szeip Judit")</f>
        <v>Szeip Judit</v>
      </c>
      <c r="C2039" s="1"/>
      <c r="D2039" s="1" t="str">
        <f ca="1">IFERROR(__xludf.DUMMYFUNCTION("""COMPUTED_VALUE"""),"Nő")</f>
        <v>Nő</v>
      </c>
      <c r="E2039" s="1"/>
      <c r="F2039" s="1">
        <f ca="1">IFERROR(__xludf.DUMMYFUNCTION("""COMPUTED_VALUE"""),2001)</f>
        <v>2001</v>
      </c>
      <c r="G2039" s="1">
        <f ca="1">IFERROR(__xludf.DUMMYFUNCTION("""COMPUTED_VALUE"""),2941)</f>
        <v>2941</v>
      </c>
      <c r="H2039" s="1" t="str">
        <f ca="1">IFERROR(__xludf.DUMMYFUNCTION("""COMPUTED_VALUE"""),"MTLSZ002941A19")</f>
        <v>MTLSZ002941A19</v>
      </c>
      <c r="I2039" s="2">
        <f ca="1">IFERROR(__xludf.DUMMYFUNCTION("""COMPUTED_VALUE"""),43821)</f>
        <v>43821</v>
      </c>
      <c r="J2039" s="2">
        <f ca="1">IFERROR(__xludf.DUMMYFUNCTION("""COMPUTED_VALUE"""),44186)</f>
        <v>44186</v>
      </c>
    </row>
    <row r="2040" spans="1:10" x14ac:dyDescent="0.25">
      <c r="A2040" s="1" t="str">
        <f ca="1">IFERROR(__xludf.DUMMYFUNCTION("""COMPUTED_VALUE"""),"Talentum TSE")</f>
        <v>Talentum TSE</v>
      </c>
      <c r="B2040" s="1" t="str">
        <f ca="1">IFERROR(__xludf.DUMMYFUNCTION("""COMPUTED_VALUE"""),"Szeip Tamara")</f>
        <v>Szeip Tamara</v>
      </c>
      <c r="C2040" s="1"/>
      <c r="D2040" s="1" t="str">
        <f ca="1">IFERROR(__xludf.DUMMYFUNCTION("""COMPUTED_VALUE"""),"Nő")</f>
        <v>Nő</v>
      </c>
      <c r="E2040" s="1"/>
      <c r="F2040" s="1">
        <f ca="1">IFERROR(__xludf.DUMMYFUNCTION("""COMPUTED_VALUE"""),2001)</f>
        <v>2001</v>
      </c>
      <c r="G2040" s="1">
        <f ca="1">IFERROR(__xludf.DUMMYFUNCTION("""COMPUTED_VALUE"""),2940)</f>
        <v>2940</v>
      </c>
      <c r="H2040" s="1" t="str">
        <f ca="1">IFERROR(__xludf.DUMMYFUNCTION("""COMPUTED_VALUE"""),"MTLSZ002940A19")</f>
        <v>MTLSZ002940A19</v>
      </c>
      <c r="I2040" s="2">
        <f ca="1">IFERROR(__xludf.DUMMYFUNCTION("""COMPUTED_VALUE"""),43821)</f>
        <v>43821</v>
      </c>
      <c r="J2040" s="2">
        <f ca="1">IFERROR(__xludf.DUMMYFUNCTION("""COMPUTED_VALUE"""),44186)</f>
        <v>44186</v>
      </c>
    </row>
    <row r="2041" spans="1:10" x14ac:dyDescent="0.25">
      <c r="A2041" s="1" t="str">
        <f ca="1">IFERROR(__xludf.DUMMYFUNCTION("""COMPUTED_VALUE"""),"Talentum TSE")</f>
        <v>Talentum TSE</v>
      </c>
      <c r="B2041" s="1" t="str">
        <f ca="1">IFERROR(__xludf.DUMMYFUNCTION("""COMPUTED_VALUE"""),"Hajnal Botond")</f>
        <v>Hajnal Botond</v>
      </c>
      <c r="C2041" s="1"/>
      <c r="D2041" s="1" t="str">
        <f ca="1">IFERROR(__xludf.DUMMYFUNCTION("""COMPUTED_VALUE"""),"Férfi")</f>
        <v>Férfi</v>
      </c>
      <c r="E2041" s="1"/>
      <c r="F2041" s="1">
        <f ca="1">IFERROR(__xludf.DUMMYFUNCTION("""COMPUTED_VALUE"""),2007)</f>
        <v>2007</v>
      </c>
      <c r="G2041" s="1">
        <f ca="1">IFERROR(__xludf.DUMMYFUNCTION("""COMPUTED_VALUE"""),3487)</f>
        <v>3487</v>
      </c>
      <c r="H2041" s="1" t="str">
        <f ca="1">IFERROR(__xludf.DUMMYFUNCTION("""COMPUTED_VALUE"""),"MTLSZ003487A19")</f>
        <v>MTLSZ003487A19</v>
      </c>
      <c r="I2041" s="2">
        <f ca="1">IFERROR(__xludf.DUMMYFUNCTION("""COMPUTED_VALUE"""),43815)</f>
        <v>43815</v>
      </c>
      <c r="J2041" s="2">
        <f ca="1">IFERROR(__xludf.DUMMYFUNCTION("""COMPUTED_VALUE"""),44180)</f>
        <v>44180</v>
      </c>
    </row>
    <row r="2042" spans="1:10" x14ac:dyDescent="0.25">
      <c r="A2042" s="1" t="str">
        <f ca="1">IFERROR(__xludf.DUMMYFUNCTION("""COMPUTED_VALUE"""),"Talentum TSE")</f>
        <v>Talentum TSE</v>
      </c>
      <c r="B2042" s="1" t="str">
        <f ca="1">IFERROR(__xludf.DUMMYFUNCTION("""COMPUTED_VALUE"""),"Róka Heléna")</f>
        <v>Róka Heléna</v>
      </c>
      <c r="C2042" s="1"/>
      <c r="D2042" s="1" t="str">
        <f ca="1">IFERROR(__xludf.DUMMYFUNCTION("""COMPUTED_VALUE"""),"Nő")</f>
        <v>Nő</v>
      </c>
      <c r="E2042" s="1"/>
      <c r="F2042" s="1">
        <f ca="1">IFERROR(__xludf.DUMMYFUNCTION("""COMPUTED_VALUE"""),2009)</f>
        <v>2009</v>
      </c>
      <c r="G2042" s="1">
        <f ca="1">IFERROR(__xludf.DUMMYFUNCTION("""COMPUTED_VALUE"""),3485)</f>
        <v>3485</v>
      </c>
      <c r="H2042" s="1" t="str">
        <f ca="1">IFERROR(__xludf.DUMMYFUNCTION("""COMPUTED_VALUE"""),"MTLSZ003485A19")</f>
        <v>MTLSZ003485A19</v>
      </c>
      <c r="I2042" s="2">
        <f ca="1">IFERROR(__xludf.DUMMYFUNCTION("""COMPUTED_VALUE"""),43815)</f>
        <v>43815</v>
      </c>
      <c r="J2042" s="2">
        <f ca="1">IFERROR(__xludf.DUMMYFUNCTION("""COMPUTED_VALUE"""),44180)</f>
        <v>44180</v>
      </c>
    </row>
    <row r="2043" spans="1:10" x14ac:dyDescent="0.25">
      <c r="A2043" s="1" t="str">
        <f ca="1">IFERROR(__xludf.DUMMYFUNCTION("""COMPUTED_VALUE"""),"Talentum TSE")</f>
        <v>Talentum TSE</v>
      </c>
      <c r="B2043" s="1" t="str">
        <f ca="1">IFERROR(__xludf.DUMMYFUNCTION("""COMPUTED_VALUE"""),"Németh Kitti")</f>
        <v>Németh Kitti</v>
      </c>
      <c r="C2043" s="1"/>
      <c r="D2043" s="1" t="str">
        <f ca="1">IFERROR(__xludf.DUMMYFUNCTION("""COMPUTED_VALUE"""),"Nő")</f>
        <v>Nő</v>
      </c>
      <c r="E2043" s="1"/>
      <c r="F2043" s="1">
        <f ca="1">IFERROR(__xludf.DUMMYFUNCTION("""COMPUTED_VALUE"""),2003)</f>
        <v>2003</v>
      </c>
      <c r="G2043" s="1">
        <f ca="1">IFERROR(__xludf.DUMMYFUNCTION("""COMPUTED_VALUE"""),3063)</f>
        <v>3063</v>
      </c>
      <c r="H2043" s="1" t="str">
        <f ca="1">IFERROR(__xludf.DUMMYFUNCTION("""COMPUTED_VALUE"""),"MTLSZ003063A19")</f>
        <v>MTLSZ003063A19</v>
      </c>
      <c r="I2043" s="2">
        <f ca="1">IFERROR(__xludf.DUMMYFUNCTION("""COMPUTED_VALUE"""),43804)</f>
        <v>43804</v>
      </c>
      <c r="J2043" s="2">
        <f ca="1">IFERROR(__xludf.DUMMYFUNCTION("""COMPUTED_VALUE"""),44169)</f>
        <v>44169</v>
      </c>
    </row>
    <row r="2044" spans="1:10" x14ac:dyDescent="0.25">
      <c r="A2044" s="1" t="str">
        <f ca="1">IFERROR(__xludf.DUMMYFUNCTION("""COMPUTED_VALUE"""),"Talentum TSE")</f>
        <v>Talentum TSE</v>
      </c>
      <c r="B2044" s="1" t="str">
        <f ca="1">IFERROR(__xludf.DUMMYFUNCTION("""COMPUTED_VALUE"""),"Papp Dorottya")</f>
        <v>Papp Dorottya</v>
      </c>
      <c r="C2044" s="1"/>
      <c r="D2044" s="1" t="str">
        <f ca="1">IFERROR(__xludf.DUMMYFUNCTION("""COMPUTED_VALUE"""),"Nő")</f>
        <v>Nő</v>
      </c>
      <c r="E2044" s="1"/>
      <c r="F2044" s="1">
        <f ca="1">IFERROR(__xludf.DUMMYFUNCTION("""COMPUTED_VALUE"""),2006)</f>
        <v>2006</v>
      </c>
      <c r="G2044" s="1">
        <f ca="1">IFERROR(__xludf.DUMMYFUNCTION("""COMPUTED_VALUE"""),3483)</f>
        <v>3483</v>
      </c>
      <c r="H2044" s="1" t="str">
        <f ca="1">IFERROR(__xludf.DUMMYFUNCTION("""COMPUTED_VALUE"""),"MTLSZ003483A19")</f>
        <v>MTLSZ003483A19</v>
      </c>
      <c r="I2044" s="2">
        <f ca="1">IFERROR(__xludf.DUMMYFUNCTION("""COMPUTED_VALUE"""),43804)</f>
        <v>43804</v>
      </c>
      <c r="J2044" s="2">
        <f ca="1">IFERROR(__xludf.DUMMYFUNCTION("""COMPUTED_VALUE"""),44169)</f>
        <v>44169</v>
      </c>
    </row>
    <row r="2045" spans="1:10" x14ac:dyDescent="0.25">
      <c r="A2045" s="1" t="str">
        <f ca="1">IFERROR(__xludf.DUMMYFUNCTION("""COMPUTED_VALUE"""),"Danubius KSE")</f>
        <v>Danubius KSE</v>
      </c>
      <c r="B2045" s="1" t="str">
        <f ca="1">IFERROR(__xludf.DUMMYFUNCTION("""COMPUTED_VALUE"""),"Nagy Bence")</f>
        <v>Nagy Bence</v>
      </c>
      <c r="C2045" s="1"/>
      <c r="D2045" s="1" t="str">
        <f ca="1">IFERROR(__xludf.DUMMYFUNCTION("""COMPUTED_VALUE"""),"Férfi")</f>
        <v>Férfi</v>
      </c>
      <c r="E2045" s="1"/>
      <c r="F2045" s="1">
        <f ca="1">IFERROR(__xludf.DUMMYFUNCTION("""COMPUTED_VALUE"""),2005)</f>
        <v>2005</v>
      </c>
      <c r="G2045" s="1">
        <f ca="1">IFERROR(__xludf.DUMMYFUNCTION("""COMPUTED_VALUE"""),2530)</f>
        <v>2530</v>
      </c>
      <c r="H2045" s="1" t="str">
        <f ca="1">IFERROR(__xludf.DUMMYFUNCTION("""COMPUTED_VALUE"""),"MTLSZ002530A19")</f>
        <v>MTLSZ002530A19</v>
      </c>
      <c r="I2045" s="2">
        <f ca="1">IFERROR(__xludf.DUMMYFUNCTION("""COMPUTED_VALUE"""),43802)</f>
        <v>43802</v>
      </c>
      <c r="J2045" s="2">
        <f ca="1">IFERROR(__xludf.DUMMYFUNCTION("""COMPUTED_VALUE"""),44167)</f>
        <v>44167</v>
      </c>
    </row>
    <row r="2046" spans="1:10" x14ac:dyDescent="0.25">
      <c r="A2046" s="1" t="str">
        <f ca="1">IFERROR(__xludf.DUMMYFUNCTION("""COMPUTED_VALUE"""),"Vízművek SK")</f>
        <v>Vízművek SK</v>
      </c>
      <c r="B2046" s="1" t="str">
        <f ca="1">IFERROR(__xludf.DUMMYFUNCTION("""COMPUTED_VALUE"""),"Szuchovszky Evelyn")</f>
        <v>Szuchovszky Evelyn</v>
      </c>
      <c r="C2046" s="1"/>
      <c r="D2046" s="1" t="str">
        <f ca="1">IFERROR(__xludf.DUMMYFUNCTION("""COMPUTED_VALUE"""),"Nő")</f>
        <v>Nő</v>
      </c>
      <c r="E2046" s="1"/>
      <c r="F2046" s="1">
        <f ca="1">IFERROR(__xludf.DUMMYFUNCTION("""COMPUTED_VALUE"""),1996)</f>
        <v>1996</v>
      </c>
      <c r="G2046" s="1">
        <f ca="1">IFERROR(__xludf.DUMMYFUNCTION("""COMPUTED_VALUE"""),2130)</f>
        <v>2130</v>
      </c>
      <c r="H2046" s="1" t="str">
        <f ca="1">IFERROR(__xludf.DUMMYFUNCTION("""COMPUTED_VALUE"""),"MTLSZ002130A19")</f>
        <v>MTLSZ002130A19</v>
      </c>
      <c r="I2046" s="2">
        <f ca="1">IFERROR(__xludf.DUMMYFUNCTION("""COMPUTED_VALUE"""),43802)</f>
        <v>43802</v>
      </c>
      <c r="J2046" s="2">
        <f ca="1">IFERROR(__xludf.DUMMYFUNCTION("""COMPUTED_VALUE"""),44167)</f>
        <v>44167</v>
      </c>
    </row>
    <row r="2047" spans="1:10" x14ac:dyDescent="0.25">
      <c r="A2047" s="1" t="str">
        <f ca="1">IFERROR(__xludf.DUMMYFUNCTION("""COMPUTED_VALUE"""),"Újpest TSE")</f>
        <v>Újpest TSE</v>
      </c>
      <c r="B2047" s="1" t="str">
        <f ca="1">IFERROR(__xludf.DUMMYFUNCTION("""COMPUTED_VALUE"""),"Szentgyörgyi Fanni")</f>
        <v>Szentgyörgyi Fanni</v>
      </c>
      <c r="C2047" s="1"/>
      <c r="D2047" s="1" t="str">
        <f ca="1">IFERROR(__xludf.DUMMYFUNCTION("""COMPUTED_VALUE"""),"Nő")</f>
        <v>Nő</v>
      </c>
      <c r="E2047" s="1"/>
      <c r="F2047" s="1">
        <f ca="1">IFERROR(__xludf.DUMMYFUNCTION("""COMPUTED_VALUE"""),2010)</f>
        <v>2010</v>
      </c>
      <c r="G2047" s="1">
        <f ca="1">IFERROR(__xludf.DUMMYFUNCTION("""COMPUTED_VALUE"""),3478)</f>
        <v>3478</v>
      </c>
      <c r="H2047" s="1" t="str">
        <f ca="1">IFERROR(__xludf.DUMMYFUNCTION("""COMPUTED_VALUE"""),"MTLSZ003478A19")</f>
        <v>MTLSZ003478A19</v>
      </c>
      <c r="I2047" s="2">
        <f ca="1">IFERROR(__xludf.DUMMYFUNCTION("""COMPUTED_VALUE"""),43795)</f>
        <v>43795</v>
      </c>
      <c r="J2047" s="2">
        <f ca="1">IFERROR(__xludf.DUMMYFUNCTION("""COMPUTED_VALUE"""),44160)</f>
        <v>44160</v>
      </c>
    </row>
    <row r="2048" spans="1:10" x14ac:dyDescent="0.25">
      <c r="A2048" s="1" t="str">
        <f ca="1">IFERROR(__xludf.DUMMYFUNCTION("""COMPUTED_VALUE"""),"Talentum TSE")</f>
        <v>Talentum TSE</v>
      </c>
      <c r="B2048" s="1" t="str">
        <f ca="1">IFERROR(__xludf.DUMMYFUNCTION("""COMPUTED_VALUE"""),"Papp György Vince")</f>
        <v>Papp György Vince</v>
      </c>
      <c r="C2048" s="1"/>
      <c r="D2048" s="1" t="str">
        <f ca="1">IFERROR(__xludf.DUMMYFUNCTION("""COMPUTED_VALUE"""),"Férfi")</f>
        <v>Férfi</v>
      </c>
      <c r="E2048" s="1"/>
      <c r="F2048" s="1">
        <f ca="1">IFERROR(__xludf.DUMMYFUNCTION("""COMPUTED_VALUE"""),2008)</f>
        <v>2008</v>
      </c>
      <c r="G2048" s="1">
        <f ca="1">IFERROR(__xludf.DUMMYFUNCTION("""COMPUTED_VALUE"""),3221)</f>
        <v>3221</v>
      </c>
      <c r="H2048" s="1" t="str">
        <f ca="1">IFERROR(__xludf.DUMMYFUNCTION("""COMPUTED_VALUE"""),"MTLSZ003221A19")</f>
        <v>MTLSZ003221A19</v>
      </c>
      <c r="I2048" s="2">
        <f ca="1">IFERROR(__xludf.DUMMYFUNCTION("""COMPUTED_VALUE"""),43794)</f>
        <v>43794</v>
      </c>
      <c r="J2048" s="2">
        <f ca="1">IFERROR(__xludf.DUMMYFUNCTION("""COMPUTED_VALUE"""),44159)</f>
        <v>44159</v>
      </c>
    </row>
    <row r="2049" spans="1:10" x14ac:dyDescent="0.25">
      <c r="A2049" s="1" t="str">
        <f ca="1">IFERROR(__xludf.DUMMYFUNCTION("""COMPUTED_VALUE"""),"Seregélyesi PDSE")</f>
        <v>Seregélyesi PDSE</v>
      </c>
      <c r="B2049" s="1" t="str">
        <f ca="1">IFERROR(__xludf.DUMMYFUNCTION("""COMPUTED_VALUE"""),"Fekete Zsombor")</f>
        <v>Fekete Zsombor</v>
      </c>
      <c r="C2049" s="1"/>
      <c r="D2049" s="1" t="str">
        <f ca="1">IFERROR(__xludf.DUMMYFUNCTION("""COMPUTED_VALUE"""),"Férfi")</f>
        <v>Férfi</v>
      </c>
      <c r="E2049" s="1"/>
      <c r="F2049" s="1">
        <f ca="1">IFERROR(__xludf.DUMMYFUNCTION("""COMPUTED_VALUE"""),1978)</f>
        <v>1978</v>
      </c>
      <c r="G2049" s="1">
        <f ca="1">IFERROR(__xludf.DUMMYFUNCTION("""COMPUTED_VALUE"""),3477)</f>
        <v>3477</v>
      </c>
      <c r="H2049" s="1" t="str">
        <f ca="1">IFERROR(__xludf.DUMMYFUNCTION("""COMPUTED_VALUE"""),"MTLSZ003477A19")</f>
        <v>MTLSZ003477A19</v>
      </c>
      <c r="I2049" s="2">
        <f ca="1">IFERROR(__xludf.DUMMYFUNCTION("""COMPUTED_VALUE"""),43790)</f>
        <v>43790</v>
      </c>
      <c r="J2049" s="2">
        <f ca="1">IFERROR(__xludf.DUMMYFUNCTION("""COMPUTED_VALUE"""),44155)</f>
        <v>44155</v>
      </c>
    </row>
    <row r="2050" spans="1:10" x14ac:dyDescent="0.25">
      <c r="A2050" s="1" t="str">
        <f ca="1">IFERROR(__xludf.DUMMYFUNCTION("""COMPUTED_VALUE"""),"MEAFC")</f>
        <v>MEAFC</v>
      </c>
      <c r="B2050" s="1" t="str">
        <f ca="1">IFERROR(__xludf.DUMMYFUNCTION("""COMPUTED_VALUE"""),"Vojtkó Hédi")</f>
        <v>Vojtkó Hédi</v>
      </c>
      <c r="C2050" s="1"/>
      <c r="D2050" s="1" t="str">
        <f ca="1">IFERROR(__xludf.DUMMYFUNCTION("""COMPUTED_VALUE"""),"Nő")</f>
        <v>Nő</v>
      </c>
      <c r="E2050" s="1"/>
      <c r="F2050" s="1">
        <f ca="1">IFERROR(__xludf.DUMMYFUNCTION("""COMPUTED_VALUE"""),2008)</f>
        <v>2008</v>
      </c>
      <c r="G2050" s="1">
        <f ca="1">IFERROR(__xludf.DUMMYFUNCTION("""COMPUTED_VALUE"""),3125)</f>
        <v>3125</v>
      </c>
      <c r="H2050" s="1" t="str">
        <f ca="1">IFERROR(__xludf.DUMMYFUNCTION("""COMPUTED_VALUE"""),"MTLSZ003125A19")</f>
        <v>MTLSZ003125A19</v>
      </c>
      <c r="I2050" s="2">
        <f ca="1">IFERROR(__xludf.DUMMYFUNCTION("""COMPUTED_VALUE"""),43789)</f>
        <v>43789</v>
      </c>
      <c r="J2050" s="2">
        <f ca="1">IFERROR(__xludf.DUMMYFUNCTION("""COMPUTED_VALUE"""),44154)</f>
        <v>44154</v>
      </c>
    </row>
    <row r="2051" spans="1:10" x14ac:dyDescent="0.25">
      <c r="A2051" s="1" t="str">
        <f ca="1">IFERROR(__xludf.DUMMYFUNCTION("""COMPUTED_VALUE"""),"Multi Alarm SE")</f>
        <v>Multi Alarm SE</v>
      </c>
      <c r="B2051" s="1" t="str">
        <f ca="1">IFERROR(__xludf.DUMMYFUNCTION("""COMPUTED_VALUE"""),"Dirner Liza Sára")</f>
        <v>Dirner Liza Sára</v>
      </c>
      <c r="C2051" s="1"/>
      <c r="D2051" s="1" t="str">
        <f ca="1">IFERROR(__xludf.DUMMYFUNCTION("""COMPUTED_VALUE"""),"Nő")</f>
        <v>Nő</v>
      </c>
      <c r="E2051" s="1"/>
      <c r="F2051" s="1">
        <f ca="1">IFERROR(__xludf.DUMMYFUNCTION("""COMPUTED_VALUE"""),2009)</f>
        <v>2009</v>
      </c>
      <c r="G2051" s="1">
        <f ca="1">IFERROR(__xludf.DUMMYFUNCTION("""COMPUTED_VALUE"""),3245)</f>
        <v>3245</v>
      </c>
      <c r="H2051" s="1" t="str">
        <f ca="1">IFERROR(__xludf.DUMMYFUNCTION("""COMPUTED_VALUE"""),"MTLSZ003245A19")</f>
        <v>MTLSZ003245A19</v>
      </c>
      <c r="I2051" s="2">
        <f ca="1">IFERROR(__xludf.DUMMYFUNCTION("""COMPUTED_VALUE"""),43789)</f>
        <v>43789</v>
      </c>
      <c r="J2051" s="2">
        <f ca="1">IFERROR(__xludf.DUMMYFUNCTION("""COMPUTED_VALUE"""),44154)</f>
        <v>44154</v>
      </c>
    </row>
    <row r="2052" spans="1:10" x14ac:dyDescent="0.25">
      <c r="A2052" s="1" t="str">
        <f ca="1">IFERROR(__xludf.DUMMYFUNCTION("""COMPUTED_VALUE"""),"NYVSC")</f>
        <v>NYVSC</v>
      </c>
      <c r="B2052" s="1" t="str">
        <f ca="1">IFERROR(__xludf.DUMMYFUNCTION("""COMPUTED_VALUE"""),"Simon Levente")</f>
        <v>Simon Levente</v>
      </c>
      <c r="C2052" s="1"/>
      <c r="D2052" s="1" t="str">
        <f ca="1">IFERROR(__xludf.DUMMYFUNCTION("""COMPUTED_VALUE"""),"Férfi")</f>
        <v>Férfi</v>
      </c>
      <c r="E2052" s="1"/>
      <c r="F2052" s="1">
        <f ca="1">IFERROR(__xludf.DUMMYFUNCTION("""COMPUTED_VALUE"""),2007)</f>
        <v>2007</v>
      </c>
      <c r="G2052" s="1">
        <f ca="1">IFERROR(__xludf.DUMMYFUNCTION("""COMPUTED_VALUE"""),2852)</f>
        <v>2852</v>
      </c>
      <c r="H2052" s="1" t="str">
        <f ca="1">IFERROR(__xludf.DUMMYFUNCTION("""COMPUTED_VALUE"""),"MTLSZ002852A19")</f>
        <v>MTLSZ002852A19</v>
      </c>
      <c r="I2052" s="2">
        <f ca="1">IFERROR(__xludf.DUMMYFUNCTION("""COMPUTED_VALUE"""),43787)</f>
        <v>43787</v>
      </c>
      <c r="J2052" s="2">
        <f ca="1">IFERROR(__xludf.DUMMYFUNCTION("""COMPUTED_VALUE"""),44152)</f>
        <v>44152</v>
      </c>
    </row>
    <row r="2053" spans="1:10" x14ac:dyDescent="0.25">
      <c r="A2053" s="1" t="str">
        <f ca="1">IFERROR(__xludf.DUMMYFUNCTION("""COMPUTED_VALUE"""),"NYVSC")</f>
        <v>NYVSC</v>
      </c>
      <c r="B2053" s="1" t="str">
        <f ca="1">IFERROR(__xludf.DUMMYFUNCTION("""COMPUTED_VALUE"""),"Szlávik Ádám")</f>
        <v>Szlávik Ádám</v>
      </c>
      <c r="C2053" s="1"/>
      <c r="D2053" s="1" t="str">
        <f ca="1">IFERROR(__xludf.DUMMYFUNCTION("""COMPUTED_VALUE"""),"Férfi")</f>
        <v>Férfi</v>
      </c>
      <c r="E2053" s="1"/>
      <c r="F2053" s="1">
        <f ca="1">IFERROR(__xludf.DUMMYFUNCTION("""COMPUTED_VALUE"""),2007)</f>
        <v>2007</v>
      </c>
      <c r="G2053" s="1">
        <f ca="1">IFERROR(__xludf.DUMMYFUNCTION("""COMPUTED_VALUE"""),2854)</f>
        <v>2854</v>
      </c>
      <c r="H2053" s="1" t="str">
        <f ca="1">IFERROR(__xludf.DUMMYFUNCTION("""COMPUTED_VALUE"""),"MTLSZ002854A19")</f>
        <v>MTLSZ002854A19</v>
      </c>
      <c r="I2053" s="2">
        <f ca="1">IFERROR(__xludf.DUMMYFUNCTION("""COMPUTED_VALUE"""),43787)</f>
        <v>43787</v>
      </c>
      <c r="J2053" s="2">
        <f ca="1">IFERROR(__xludf.DUMMYFUNCTION("""COMPUTED_VALUE"""),44152)</f>
        <v>44152</v>
      </c>
    </row>
    <row r="2054" spans="1:10" x14ac:dyDescent="0.25">
      <c r="A2054" s="1" t="str">
        <f ca="1">IFERROR(__xludf.DUMMYFUNCTION("""COMPUTED_VALUE"""),"KörösTSE")</f>
        <v>KörösTSE</v>
      </c>
      <c r="B2054" s="1" t="str">
        <f ca="1">IFERROR(__xludf.DUMMYFUNCTION("""COMPUTED_VALUE"""),"Varga Márk Dániel")</f>
        <v>Varga Márk Dániel</v>
      </c>
      <c r="C2054" s="1"/>
      <c r="D2054" s="1" t="str">
        <f ca="1">IFERROR(__xludf.DUMMYFUNCTION("""COMPUTED_VALUE"""),"Férfi")</f>
        <v>Férfi</v>
      </c>
      <c r="E2054" s="1"/>
      <c r="F2054" s="1">
        <f ca="1">IFERROR(__xludf.DUMMYFUNCTION("""COMPUTED_VALUE"""),2002)</f>
        <v>2002</v>
      </c>
      <c r="G2054" s="1">
        <f ca="1">IFERROR(__xludf.DUMMYFUNCTION("""COMPUTED_VALUE"""),3455)</f>
        <v>3455</v>
      </c>
      <c r="H2054" s="1" t="str">
        <f ca="1">IFERROR(__xludf.DUMMYFUNCTION("""COMPUTED_VALUE"""),"MTLSZ003455A19")</f>
        <v>MTLSZ003455A19</v>
      </c>
      <c r="I2054" s="2">
        <f ca="1">IFERROR(__xludf.DUMMYFUNCTION("""COMPUTED_VALUE"""),43782)</f>
        <v>43782</v>
      </c>
      <c r="J2054" s="2">
        <f ca="1">IFERROR(__xludf.DUMMYFUNCTION("""COMPUTED_VALUE"""),44147)</f>
        <v>44147</v>
      </c>
    </row>
    <row r="2055" spans="1:10" x14ac:dyDescent="0.25">
      <c r="A2055" s="1" t="str">
        <f ca="1">IFERROR(__xludf.DUMMYFUNCTION("""COMPUTED_VALUE"""),"Talentum TSE")</f>
        <v>Talentum TSE</v>
      </c>
      <c r="B2055" s="1" t="str">
        <f ca="1">IFERROR(__xludf.DUMMYFUNCTION("""COMPUTED_VALUE"""),"Pintér Panna")</f>
        <v>Pintér Panna</v>
      </c>
      <c r="C2055" s="1"/>
      <c r="D2055" s="1" t="str">
        <f ca="1">IFERROR(__xludf.DUMMYFUNCTION("""COMPUTED_VALUE"""),"Nő")</f>
        <v>Nő</v>
      </c>
      <c r="E2055" s="1"/>
      <c r="F2055" s="1">
        <f ca="1">IFERROR(__xludf.DUMMYFUNCTION("""COMPUTED_VALUE"""),2005)</f>
        <v>2005</v>
      </c>
      <c r="G2055" s="1">
        <f ca="1">IFERROR(__xludf.DUMMYFUNCTION("""COMPUTED_VALUE"""),3451)</f>
        <v>3451</v>
      </c>
      <c r="H2055" s="1" t="str">
        <f ca="1">IFERROR(__xludf.DUMMYFUNCTION("""COMPUTED_VALUE"""),"MTLSZ003451A19")</f>
        <v>MTLSZ003451A19</v>
      </c>
      <c r="I2055" s="2">
        <f ca="1">IFERROR(__xludf.DUMMYFUNCTION("""COMPUTED_VALUE"""),43780)</f>
        <v>43780</v>
      </c>
      <c r="J2055" s="2">
        <f ca="1">IFERROR(__xludf.DUMMYFUNCTION("""COMPUTED_VALUE"""),44145)</f>
        <v>44145</v>
      </c>
    </row>
    <row r="2056" spans="1:10" x14ac:dyDescent="0.25">
      <c r="A2056" s="1" t="str">
        <f ca="1">IFERROR(__xludf.DUMMYFUNCTION("""COMPUTED_VALUE"""),"VSD")</f>
        <v>VSD</v>
      </c>
      <c r="B2056" s="1" t="str">
        <f ca="1">IFERROR(__xludf.DUMMYFUNCTION("""COMPUTED_VALUE"""),"Koczák Kristóf")</f>
        <v>Koczák Kristóf</v>
      </c>
      <c r="C2056" s="1"/>
      <c r="D2056" s="1" t="str">
        <f ca="1">IFERROR(__xludf.DUMMYFUNCTION("""COMPUTED_VALUE"""),"Férfi")</f>
        <v>Férfi</v>
      </c>
      <c r="E2056" s="1"/>
      <c r="F2056" s="1">
        <f ca="1">IFERROR(__xludf.DUMMYFUNCTION("""COMPUTED_VALUE"""),2010)</f>
        <v>2010</v>
      </c>
      <c r="G2056" s="1">
        <f ca="1">IFERROR(__xludf.DUMMYFUNCTION("""COMPUTED_VALUE"""),3472)</f>
        <v>3472</v>
      </c>
      <c r="H2056" s="1" t="str">
        <f ca="1">IFERROR(__xludf.DUMMYFUNCTION("""COMPUTED_VALUE"""),"MTLSZ003472A19")</f>
        <v>MTLSZ003472A19</v>
      </c>
      <c r="I2056" s="2">
        <f ca="1">IFERROR(__xludf.DUMMYFUNCTION("""COMPUTED_VALUE"""),43780)</f>
        <v>43780</v>
      </c>
      <c r="J2056" s="2">
        <f ca="1">IFERROR(__xludf.DUMMYFUNCTION("""COMPUTED_VALUE"""),44145)</f>
        <v>44145</v>
      </c>
    </row>
    <row r="2057" spans="1:10" x14ac:dyDescent="0.25">
      <c r="A2057" s="1" t="str">
        <f ca="1">IFERROR(__xludf.DUMMYFUNCTION("""COMPUTED_VALUE"""),"Győri TSE")</f>
        <v>Győri TSE</v>
      </c>
      <c r="B2057" s="1" t="str">
        <f ca="1">IFERROR(__xludf.DUMMYFUNCTION("""COMPUTED_VALUE"""),"Mesterházy Sándor")</f>
        <v>Mesterházy Sándor</v>
      </c>
      <c r="C2057" s="1"/>
      <c r="D2057" s="1" t="str">
        <f ca="1">IFERROR(__xludf.DUMMYFUNCTION("""COMPUTED_VALUE"""),"Férfi")</f>
        <v>Férfi</v>
      </c>
      <c r="E2057" s="1"/>
      <c r="F2057" s="1">
        <f ca="1">IFERROR(__xludf.DUMMYFUNCTION("""COMPUTED_VALUE"""),1978)</f>
        <v>1978</v>
      </c>
      <c r="G2057" s="1">
        <f ca="1">IFERROR(__xludf.DUMMYFUNCTION("""COMPUTED_VALUE"""),2670)</f>
        <v>2670</v>
      </c>
      <c r="H2057" s="1" t="str">
        <f ca="1">IFERROR(__xludf.DUMMYFUNCTION("""COMPUTED_VALUE"""),"MTLSZ002670A19")</f>
        <v>MTLSZ002670A19</v>
      </c>
      <c r="I2057" s="2">
        <f ca="1">IFERROR(__xludf.DUMMYFUNCTION("""COMPUTED_VALUE"""),43775)</f>
        <v>43775</v>
      </c>
      <c r="J2057" s="2">
        <f ca="1">IFERROR(__xludf.DUMMYFUNCTION("""COMPUTED_VALUE"""),44140)</f>
        <v>44140</v>
      </c>
    </row>
    <row r="2058" spans="1:10" x14ac:dyDescent="0.25">
      <c r="A2058" s="1" t="str">
        <f ca="1">IFERROR(__xludf.DUMMYFUNCTION("""COMPUTED_VALUE"""),"Alba-Toll SE")</f>
        <v>Alba-Toll SE</v>
      </c>
      <c r="B2058" s="1" t="str">
        <f ca="1">IFERROR(__xludf.DUMMYFUNCTION("""COMPUTED_VALUE"""),"Lókodi Gréta")</f>
        <v>Lókodi Gréta</v>
      </c>
      <c r="C2058" s="1"/>
      <c r="D2058" s="1" t="str">
        <f ca="1">IFERROR(__xludf.DUMMYFUNCTION("""COMPUTED_VALUE"""),"Nő")</f>
        <v>Nő</v>
      </c>
      <c r="E2058" s="1"/>
      <c r="F2058" s="1">
        <f ca="1">IFERROR(__xludf.DUMMYFUNCTION("""COMPUTED_VALUE"""),2001)</f>
        <v>2001</v>
      </c>
      <c r="G2058" s="1">
        <f ca="1">IFERROR(__xludf.DUMMYFUNCTION("""COMPUTED_VALUE"""),2930)</f>
        <v>2930</v>
      </c>
      <c r="H2058" s="1" t="str">
        <f ca="1">IFERROR(__xludf.DUMMYFUNCTION("""COMPUTED_VALUE"""),"MTLSZ002930A19")</f>
        <v>MTLSZ002930A19</v>
      </c>
      <c r="I2058" s="2">
        <f ca="1">IFERROR(__xludf.DUMMYFUNCTION("""COMPUTED_VALUE"""),43774)</f>
        <v>43774</v>
      </c>
      <c r="J2058" s="2">
        <f ca="1">IFERROR(__xludf.DUMMYFUNCTION("""COMPUTED_VALUE"""),44139)</f>
        <v>44139</v>
      </c>
    </row>
    <row r="2059" spans="1:10" x14ac:dyDescent="0.25">
      <c r="A2059" s="1" t="str">
        <f ca="1">IFERROR(__xludf.DUMMYFUNCTION("""COMPUTED_VALUE"""),"BTBK")</f>
        <v>BTBK</v>
      </c>
      <c r="B2059" s="1" t="str">
        <f ca="1">IFERROR(__xludf.DUMMYFUNCTION("""COMPUTED_VALUE"""),"László Zsolt")</f>
        <v>László Zsolt</v>
      </c>
      <c r="C2059" s="1"/>
      <c r="D2059" s="1" t="str">
        <f ca="1">IFERROR(__xludf.DUMMYFUNCTION("""COMPUTED_VALUE"""),"Férfi")</f>
        <v>Férfi</v>
      </c>
      <c r="E2059" s="1"/>
      <c r="F2059" s="1">
        <f ca="1">IFERROR(__xludf.DUMMYFUNCTION("""COMPUTED_VALUE"""),1979)</f>
        <v>1979</v>
      </c>
      <c r="G2059" s="1">
        <f ca="1">IFERROR(__xludf.DUMMYFUNCTION("""COMPUTED_VALUE"""),1841)</f>
        <v>1841</v>
      </c>
      <c r="H2059" s="1" t="str">
        <f ca="1">IFERROR(__xludf.DUMMYFUNCTION("""COMPUTED_VALUE"""),"MTLSZ001841A19")</f>
        <v>MTLSZ001841A19</v>
      </c>
      <c r="I2059" s="2">
        <f ca="1">IFERROR(__xludf.DUMMYFUNCTION("""COMPUTED_VALUE"""),43774)</f>
        <v>43774</v>
      </c>
      <c r="J2059" s="2">
        <f ca="1">IFERROR(__xludf.DUMMYFUNCTION("""COMPUTED_VALUE"""),44139)</f>
        <v>44139</v>
      </c>
    </row>
    <row r="2060" spans="1:10" x14ac:dyDescent="0.25">
      <c r="A2060" s="1" t="str">
        <f ca="1">IFERROR(__xludf.DUMMYFUNCTION("""COMPUTED_VALUE"""),"Életmód SE")</f>
        <v>Életmód SE</v>
      </c>
      <c r="B2060" s="1" t="str">
        <f ca="1">IFERROR(__xludf.DUMMYFUNCTION("""COMPUTED_VALUE"""),"Juhász Petra Vanda")</f>
        <v>Juhász Petra Vanda</v>
      </c>
      <c r="C2060" s="1"/>
      <c r="D2060" s="1" t="str">
        <f ca="1">IFERROR(__xludf.DUMMYFUNCTION("""COMPUTED_VALUE"""),"Nő")</f>
        <v>Nő</v>
      </c>
      <c r="E2060" s="1"/>
      <c r="F2060" s="1">
        <f ca="1">IFERROR(__xludf.DUMMYFUNCTION("""COMPUTED_VALUE"""),2002)</f>
        <v>2002</v>
      </c>
      <c r="G2060" s="1">
        <f ca="1">IFERROR(__xludf.DUMMYFUNCTION("""COMPUTED_VALUE"""),3465)</f>
        <v>3465</v>
      </c>
      <c r="H2060" s="1" t="str">
        <f ca="1">IFERROR(__xludf.DUMMYFUNCTION("""COMPUTED_VALUE"""),"MTLSZ003465A19")</f>
        <v>MTLSZ003465A19</v>
      </c>
      <c r="I2060" s="2">
        <f ca="1">IFERROR(__xludf.DUMMYFUNCTION("""COMPUTED_VALUE"""),43774)</f>
        <v>43774</v>
      </c>
      <c r="J2060" s="2">
        <f ca="1">IFERROR(__xludf.DUMMYFUNCTION("""COMPUTED_VALUE"""),44139)</f>
        <v>44139</v>
      </c>
    </row>
    <row r="2061" spans="1:10" x14ac:dyDescent="0.25">
      <c r="A2061" s="1" t="str">
        <f ca="1">IFERROR(__xludf.DUMMYFUNCTION("""COMPUTED_VALUE"""),"Életmód SE")</f>
        <v>Életmód SE</v>
      </c>
      <c r="B2061" s="1" t="str">
        <f ca="1">IFERROR(__xludf.DUMMYFUNCTION("""COMPUTED_VALUE"""),"Kovács Emma")</f>
        <v>Kovács Emma</v>
      </c>
      <c r="C2061" s="1"/>
      <c r="D2061" s="1" t="str">
        <f ca="1">IFERROR(__xludf.DUMMYFUNCTION("""COMPUTED_VALUE"""),"Nő")</f>
        <v>Nő</v>
      </c>
      <c r="E2061" s="1"/>
      <c r="F2061" s="1">
        <f ca="1">IFERROR(__xludf.DUMMYFUNCTION("""COMPUTED_VALUE"""),2008)</f>
        <v>2008</v>
      </c>
      <c r="G2061" s="1">
        <f ca="1">IFERROR(__xludf.DUMMYFUNCTION("""COMPUTED_VALUE"""),3466)</f>
        <v>3466</v>
      </c>
      <c r="H2061" s="1" t="str">
        <f ca="1">IFERROR(__xludf.DUMMYFUNCTION("""COMPUTED_VALUE"""),"MTLSZ003466A19")</f>
        <v>MTLSZ003466A19</v>
      </c>
      <c r="I2061" s="2">
        <f ca="1">IFERROR(__xludf.DUMMYFUNCTION("""COMPUTED_VALUE"""),43774)</f>
        <v>43774</v>
      </c>
      <c r="J2061" s="2">
        <f ca="1">IFERROR(__xludf.DUMMYFUNCTION("""COMPUTED_VALUE"""),44139)</f>
        <v>44139</v>
      </c>
    </row>
    <row r="2062" spans="1:10" x14ac:dyDescent="0.25">
      <c r="A2062" s="1" t="str">
        <f ca="1">IFERROR(__xludf.DUMMYFUNCTION("""COMPUTED_VALUE"""),"Életmód SE")</f>
        <v>Életmód SE</v>
      </c>
      <c r="B2062" s="1" t="str">
        <f ca="1">IFERROR(__xludf.DUMMYFUNCTION("""COMPUTED_VALUE"""),"Kovács Gergő")</f>
        <v>Kovács Gergő</v>
      </c>
      <c r="C2062" s="1"/>
      <c r="D2062" s="1" t="str">
        <f ca="1">IFERROR(__xludf.DUMMYFUNCTION("""COMPUTED_VALUE"""),"Férfi")</f>
        <v>Férfi</v>
      </c>
      <c r="E2062" s="1"/>
      <c r="F2062" s="1">
        <f ca="1">IFERROR(__xludf.DUMMYFUNCTION("""COMPUTED_VALUE"""),2001)</f>
        <v>2001</v>
      </c>
      <c r="G2062" s="1">
        <f ca="1">IFERROR(__xludf.DUMMYFUNCTION("""COMPUTED_VALUE"""),3469)</f>
        <v>3469</v>
      </c>
      <c r="H2062" s="1" t="str">
        <f ca="1">IFERROR(__xludf.DUMMYFUNCTION("""COMPUTED_VALUE"""),"MTLSZ003469A19")</f>
        <v>MTLSZ003469A19</v>
      </c>
      <c r="I2062" s="2">
        <f ca="1">IFERROR(__xludf.DUMMYFUNCTION("""COMPUTED_VALUE"""),43774)</f>
        <v>43774</v>
      </c>
      <c r="J2062" s="2">
        <f ca="1">IFERROR(__xludf.DUMMYFUNCTION("""COMPUTED_VALUE"""),44139)</f>
        <v>44139</v>
      </c>
    </row>
    <row r="2063" spans="1:10" x14ac:dyDescent="0.25">
      <c r="A2063" s="1" t="str">
        <f ca="1">IFERROR(__xludf.DUMMYFUNCTION("""COMPUTED_VALUE"""),"Életmód SE")</f>
        <v>Életmód SE</v>
      </c>
      <c r="B2063" s="1" t="str">
        <f ca="1">IFERROR(__xludf.DUMMYFUNCTION("""COMPUTED_VALUE"""),"Zátonyi Hédi")</f>
        <v>Zátonyi Hédi</v>
      </c>
      <c r="C2063" s="1"/>
      <c r="D2063" s="1" t="str">
        <f ca="1">IFERROR(__xludf.DUMMYFUNCTION("""COMPUTED_VALUE"""),"Nő")</f>
        <v>Nő</v>
      </c>
      <c r="E2063" s="1"/>
      <c r="F2063" s="1">
        <f ca="1">IFERROR(__xludf.DUMMYFUNCTION("""COMPUTED_VALUE"""),2006)</f>
        <v>2006</v>
      </c>
      <c r="G2063" s="1">
        <f ca="1">IFERROR(__xludf.DUMMYFUNCTION("""COMPUTED_VALUE"""),3468)</f>
        <v>3468</v>
      </c>
      <c r="H2063" s="1" t="str">
        <f ca="1">IFERROR(__xludf.DUMMYFUNCTION("""COMPUTED_VALUE"""),"MTLSZ003468A19")</f>
        <v>MTLSZ003468A19</v>
      </c>
      <c r="I2063" s="2">
        <f ca="1">IFERROR(__xludf.DUMMYFUNCTION("""COMPUTED_VALUE"""),43774)</f>
        <v>43774</v>
      </c>
      <c r="J2063" s="2">
        <f ca="1">IFERROR(__xludf.DUMMYFUNCTION("""COMPUTED_VALUE"""),44139)</f>
        <v>44139</v>
      </c>
    </row>
    <row r="2064" spans="1:10" x14ac:dyDescent="0.25">
      <c r="A2064" s="1" t="str">
        <f ca="1">IFERROR(__xludf.DUMMYFUNCTION("""COMPUTED_VALUE"""),"FBSE")</f>
        <v>FBSE</v>
      </c>
      <c r="B2064" s="1" t="str">
        <f ca="1">IFERROR(__xludf.DUMMYFUNCTION("""COMPUTED_VALUE"""),"Staudt Balázs")</f>
        <v>Staudt Balázs</v>
      </c>
      <c r="C2064" s="1"/>
      <c r="D2064" s="1" t="str">
        <f ca="1">IFERROR(__xludf.DUMMYFUNCTION("""COMPUTED_VALUE"""),"Férfi")</f>
        <v>Férfi</v>
      </c>
      <c r="E2064" s="1"/>
      <c r="F2064" s="1">
        <f ca="1">IFERROR(__xludf.DUMMYFUNCTION("""COMPUTED_VALUE"""),1993)</f>
        <v>1993</v>
      </c>
      <c r="G2064" s="1">
        <f ca="1">IFERROR(__xludf.DUMMYFUNCTION("""COMPUTED_VALUE"""),1416)</f>
        <v>1416</v>
      </c>
      <c r="H2064" s="1" t="str">
        <f ca="1">IFERROR(__xludf.DUMMYFUNCTION("""COMPUTED_VALUE"""),"MTLSZ001416A19")</f>
        <v>MTLSZ001416A19</v>
      </c>
      <c r="I2064" s="2">
        <f ca="1">IFERROR(__xludf.DUMMYFUNCTION("""COMPUTED_VALUE"""),43774)</f>
        <v>43774</v>
      </c>
      <c r="J2064" s="2">
        <f ca="1">IFERROR(__xludf.DUMMYFUNCTION("""COMPUTED_VALUE"""),44139)</f>
        <v>44139</v>
      </c>
    </row>
    <row r="2065" spans="1:10" x14ac:dyDescent="0.25">
      <c r="A2065" s="1" t="str">
        <f ca="1">IFERROR(__xludf.DUMMYFUNCTION("""COMPUTED_VALUE"""),"FBSE")</f>
        <v>FBSE</v>
      </c>
      <c r="B2065" s="1" t="str">
        <f ca="1">IFERROR(__xludf.DUMMYFUNCTION("""COMPUTED_VALUE"""),"Szabó Domonkos")</f>
        <v>Szabó Domonkos</v>
      </c>
      <c r="C2065" s="1"/>
      <c r="D2065" s="1" t="str">
        <f ca="1">IFERROR(__xludf.DUMMYFUNCTION("""COMPUTED_VALUE"""),"Férfi")</f>
        <v>Férfi</v>
      </c>
      <c r="E2065" s="1"/>
      <c r="F2065" s="1">
        <f ca="1">IFERROR(__xludf.DUMMYFUNCTION("""COMPUTED_VALUE"""),2008)</f>
        <v>2008</v>
      </c>
      <c r="G2065" s="1">
        <f ca="1">IFERROR(__xludf.DUMMYFUNCTION("""COMPUTED_VALUE"""),2894)</f>
        <v>2894</v>
      </c>
      <c r="H2065" s="1" t="str">
        <f ca="1">IFERROR(__xludf.DUMMYFUNCTION("""COMPUTED_VALUE"""),"MTLSZ002894A19")</f>
        <v>MTLSZ002894A19</v>
      </c>
      <c r="I2065" s="2">
        <f ca="1">IFERROR(__xludf.DUMMYFUNCTION("""COMPUTED_VALUE"""),43774)</f>
        <v>43774</v>
      </c>
      <c r="J2065" s="2">
        <f ca="1">IFERROR(__xludf.DUMMYFUNCTION("""COMPUTED_VALUE"""),44139)</f>
        <v>44139</v>
      </c>
    </row>
    <row r="2066" spans="1:10" x14ac:dyDescent="0.25">
      <c r="A2066" s="1" t="str">
        <f ca="1">IFERROR(__xludf.DUMMYFUNCTION("""COMPUTED_VALUE"""),"Kilián Iskola DSE")</f>
        <v>Kilián Iskola DSE</v>
      </c>
      <c r="B2066" s="1" t="str">
        <f ca="1">IFERROR(__xludf.DUMMYFUNCTION("""COMPUTED_VALUE"""),"Kovács Attila")</f>
        <v>Kovács Attila</v>
      </c>
      <c r="C2066" s="1"/>
      <c r="D2066" s="1" t="str">
        <f ca="1">IFERROR(__xludf.DUMMYFUNCTION("""COMPUTED_VALUE"""),"Férfi")</f>
        <v>Férfi</v>
      </c>
      <c r="E2066" s="1"/>
      <c r="F2066" s="1">
        <f ca="1">IFERROR(__xludf.DUMMYFUNCTION("""COMPUTED_VALUE"""),1963)</f>
        <v>1963</v>
      </c>
      <c r="G2066" s="1">
        <f ca="1">IFERROR(__xludf.DUMMYFUNCTION("""COMPUTED_VALUE"""),2768)</f>
        <v>2768</v>
      </c>
      <c r="H2066" s="1" t="str">
        <f ca="1">IFERROR(__xludf.DUMMYFUNCTION("""COMPUTED_VALUE"""),"MTLSZ002768A19")</f>
        <v>MTLSZ002768A19</v>
      </c>
      <c r="I2066" s="2">
        <f ca="1">IFERROR(__xludf.DUMMYFUNCTION("""COMPUTED_VALUE"""),43774)</f>
        <v>43774</v>
      </c>
      <c r="J2066" s="2">
        <f ca="1">IFERROR(__xludf.DUMMYFUNCTION("""COMPUTED_VALUE"""),44139)</f>
        <v>44139</v>
      </c>
    </row>
    <row r="2067" spans="1:10" x14ac:dyDescent="0.25">
      <c r="A2067" s="1" t="str">
        <f ca="1">IFERROR(__xludf.DUMMYFUNCTION("""COMPUTED_VALUE"""),"Kilián Iskola DSE")</f>
        <v>Kilián Iskola DSE</v>
      </c>
      <c r="B2067" s="1"/>
      <c r="C2067" s="1"/>
      <c r="D2067" s="1"/>
      <c r="E2067" s="1"/>
      <c r="F2067" s="1">
        <f ca="1">IFERROR(__xludf.DUMMYFUNCTION("""COMPUTED_VALUE"""),1899)</f>
        <v>1899</v>
      </c>
      <c r="G2067" s="1">
        <f ca="1">IFERROR(__xludf.DUMMYFUNCTION("""COMPUTED_VALUE"""),3459)</f>
        <v>3459</v>
      </c>
      <c r="H2067" s="1"/>
      <c r="I2067" s="2">
        <f ca="1">IFERROR(__xludf.DUMMYFUNCTION("""COMPUTED_VALUE"""),43774)</f>
        <v>43774</v>
      </c>
      <c r="J2067" s="2">
        <f ca="1">IFERROR(__xludf.DUMMYFUNCTION("""COMPUTED_VALUE"""),44139)</f>
        <v>44139</v>
      </c>
    </row>
    <row r="2068" spans="1:10" x14ac:dyDescent="0.25">
      <c r="A2068" s="1" t="str">
        <f ca="1">IFERROR(__xludf.DUMMYFUNCTION("""COMPUTED_VALUE"""),"NYVSC")</f>
        <v>NYVSC</v>
      </c>
      <c r="B2068" s="1" t="str">
        <f ca="1">IFERROR(__xludf.DUMMYFUNCTION("""COMPUTED_VALUE"""),"Gönczi Andrea")</f>
        <v>Gönczi Andrea</v>
      </c>
      <c r="C2068" s="1"/>
      <c r="D2068" s="1" t="str">
        <f ca="1">IFERROR(__xludf.DUMMYFUNCTION("""COMPUTED_VALUE"""),"Nő")</f>
        <v>Nő</v>
      </c>
      <c r="E2068" s="1"/>
      <c r="F2068" s="1">
        <f ca="1">IFERROR(__xludf.DUMMYFUNCTION("""COMPUTED_VALUE"""),1966)</f>
        <v>1966</v>
      </c>
      <c r="G2068" s="1">
        <f ca="1">IFERROR(__xludf.DUMMYFUNCTION("""COMPUTED_VALUE"""),328)</f>
        <v>328</v>
      </c>
      <c r="H2068" s="1" t="str">
        <f ca="1">IFERROR(__xludf.DUMMYFUNCTION("""COMPUTED_VALUE"""),"MTLSZ000328A19")</f>
        <v>MTLSZ000328A19</v>
      </c>
      <c r="I2068" s="2">
        <f ca="1">IFERROR(__xludf.DUMMYFUNCTION("""COMPUTED_VALUE"""),43774)</f>
        <v>43774</v>
      </c>
      <c r="J2068" s="2">
        <f ca="1">IFERROR(__xludf.DUMMYFUNCTION("""COMPUTED_VALUE"""),44139)</f>
        <v>44139</v>
      </c>
    </row>
    <row r="2069" spans="1:10" x14ac:dyDescent="0.25">
      <c r="A2069" s="1" t="str">
        <f ca="1">IFERROR(__xludf.DUMMYFUNCTION("""COMPUTED_VALUE"""),"Pedagógus Fáklya SE")</f>
        <v>Pedagógus Fáklya SE</v>
      </c>
      <c r="B2069" s="1" t="str">
        <f ca="1">IFERROR(__xludf.DUMMYFUNCTION("""COMPUTED_VALUE"""),"Szőke Gyula")</f>
        <v>Szőke Gyula</v>
      </c>
      <c r="C2069" s="1"/>
      <c r="D2069" s="1" t="str">
        <f ca="1">IFERROR(__xludf.DUMMYFUNCTION("""COMPUTED_VALUE"""),"Férfi")</f>
        <v>Férfi</v>
      </c>
      <c r="E2069" s="1"/>
      <c r="F2069" s="1">
        <f ca="1">IFERROR(__xludf.DUMMYFUNCTION("""COMPUTED_VALUE"""),1977)</f>
        <v>1977</v>
      </c>
      <c r="G2069" s="1">
        <f ca="1">IFERROR(__xludf.DUMMYFUNCTION("""COMPUTED_VALUE"""),961)</f>
        <v>961</v>
      </c>
      <c r="H2069" s="1" t="str">
        <f ca="1">IFERROR(__xludf.DUMMYFUNCTION("""COMPUTED_VALUE"""),"MTLSZ000961A19")</f>
        <v>MTLSZ000961A19</v>
      </c>
      <c r="I2069" s="2">
        <f ca="1">IFERROR(__xludf.DUMMYFUNCTION("""COMPUTED_VALUE"""),43774)</f>
        <v>43774</v>
      </c>
      <c r="J2069" s="2">
        <f ca="1">IFERROR(__xludf.DUMMYFUNCTION("""COMPUTED_VALUE"""),44139)</f>
        <v>44139</v>
      </c>
    </row>
    <row r="2070" spans="1:10" x14ac:dyDescent="0.25">
      <c r="A2070" s="1" t="str">
        <f ca="1">IFERROR(__xludf.DUMMYFUNCTION("""COMPUTED_VALUE"""),"T(r)ollas SE")</f>
        <v>T(r)ollas SE</v>
      </c>
      <c r="B2070" s="1" t="str">
        <f ca="1">IFERROR(__xludf.DUMMYFUNCTION("""COMPUTED_VALUE"""),"Lantos Ferenc")</f>
        <v>Lantos Ferenc</v>
      </c>
      <c r="C2070" s="1"/>
      <c r="D2070" s="1" t="str">
        <f ca="1">IFERROR(__xludf.DUMMYFUNCTION("""COMPUTED_VALUE"""),"Férfi")</f>
        <v>Férfi</v>
      </c>
      <c r="E2070" s="1"/>
      <c r="F2070" s="1">
        <f ca="1">IFERROR(__xludf.DUMMYFUNCTION("""COMPUTED_VALUE"""),1975)</f>
        <v>1975</v>
      </c>
      <c r="G2070" s="1">
        <f ca="1">IFERROR(__xludf.DUMMYFUNCTION("""COMPUTED_VALUE"""),1822)</f>
        <v>1822</v>
      </c>
      <c r="H2070" s="1" t="str">
        <f ca="1">IFERROR(__xludf.DUMMYFUNCTION("""COMPUTED_VALUE"""),"MTLSZ001822A19")</f>
        <v>MTLSZ001822A19</v>
      </c>
      <c r="I2070" s="2">
        <f ca="1">IFERROR(__xludf.DUMMYFUNCTION("""COMPUTED_VALUE"""),43774)</f>
        <v>43774</v>
      </c>
      <c r="J2070" s="2">
        <f ca="1">IFERROR(__xludf.DUMMYFUNCTION("""COMPUTED_VALUE"""),44139)</f>
        <v>44139</v>
      </c>
    </row>
    <row r="2071" spans="1:10" x14ac:dyDescent="0.25">
      <c r="A2071" s="1" t="str">
        <f ca="1">IFERROR(__xludf.DUMMYFUNCTION("""COMPUTED_VALUE"""),"Újpest TSE")</f>
        <v>Újpest TSE</v>
      </c>
      <c r="B2071" s="1" t="str">
        <f ca="1">IFERROR(__xludf.DUMMYFUNCTION("""COMPUTED_VALUE"""),"Virágh András")</f>
        <v>Virágh András</v>
      </c>
      <c r="C2071" s="1"/>
      <c r="D2071" s="1" t="str">
        <f ca="1">IFERROR(__xludf.DUMMYFUNCTION("""COMPUTED_VALUE"""),"Férfi")</f>
        <v>Férfi</v>
      </c>
      <c r="E2071" s="1"/>
      <c r="F2071" s="1">
        <f ca="1">IFERROR(__xludf.DUMMYFUNCTION("""COMPUTED_VALUE"""),1975)</f>
        <v>1975</v>
      </c>
      <c r="G2071" s="1">
        <f ca="1">IFERROR(__xludf.DUMMYFUNCTION("""COMPUTED_VALUE"""),3470)</f>
        <v>3470</v>
      </c>
      <c r="H2071" s="1" t="str">
        <f ca="1">IFERROR(__xludf.DUMMYFUNCTION("""COMPUTED_VALUE"""),"MTLSZ003470A19")</f>
        <v>MTLSZ003470A19</v>
      </c>
      <c r="I2071" s="2">
        <f ca="1">IFERROR(__xludf.DUMMYFUNCTION("""COMPUTED_VALUE"""),43774)</f>
        <v>43774</v>
      </c>
      <c r="J2071" s="2">
        <f ca="1">IFERROR(__xludf.DUMMYFUNCTION("""COMPUTED_VALUE"""),44139)</f>
        <v>44139</v>
      </c>
    </row>
    <row r="2072" spans="1:10" x14ac:dyDescent="0.25">
      <c r="A2072" s="1" t="str">
        <f ca="1">IFERROR(__xludf.DUMMYFUNCTION("""COMPUTED_VALUE"""),"Ludovika SE")</f>
        <v>Ludovika SE</v>
      </c>
      <c r="B2072" s="1" t="str">
        <f ca="1">IFERROR(__xludf.DUMMYFUNCTION("""COMPUTED_VALUE"""),"Gowda Rohith Halase")</f>
        <v>Gowda Rohith Halase</v>
      </c>
      <c r="C2072" s="1"/>
      <c r="D2072" s="1" t="str">
        <f ca="1">IFERROR(__xludf.DUMMYFUNCTION("""COMPUTED_VALUE"""),"Férfi")</f>
        <v>Férfi</v>
      </c>
      <c r="E2072" s="1"/>
      <c r="F2072" s="1">
        <f ca="1">IFERROR(__xludf.DUMMYFUNCTION("""COMPUTED_VALUE"""),1987)</f>
        <v>1987</v>
      </c>
      <c r="G2072" s="1">
        <f ca="1">IFERROR(__xludf.DUMMYFUNCTION("""COMPUTED_VALUE"""),3362)</f>
        <v>3362</v>
      </c>
      <c r="H2072" s="1" t="str">
        <f ca="1">IFERROR(__xludf.DUMMYFUNCTION("""COMPUTED_VALUE"""),"MTLSZ003362A19")</f>
        <v>MTLSZ003362A19</v>
      </c>
      <c r="I2072" s="2">
        <f ca="1">IFERROR(__xludf.DUMMYFUNCTION("""COMPUTED_VALUE"""),43766)</f>
        <v>43766</v>
      </c>
      <c r="J2072" s="2">
        <f ca="1">IFERROR(__xludf.DUMMYFUNCTION("""COMPUTED_VALUE"""),44131)</f>
        <v>44131</v>
      </c>
    </row>
    <row r="2073" spans="1:10" x14ac:dyDescent="0.25">
      <c r="A2073" s="1" t="str">
        <f ca="1">IFERROR(__xludf.DUMMYFUNCTION("""COMPUTED_VALUE"""),"DSC-SI")</f>
        <v>DSC-SI</v>
      </c>
      <c r="B2073" s="1" t="str">
        <f ca="1">IFERROR(__xludf.DUMMYFUNCTION("""COMPUTED_VALUE"""),"Aglia Gratia Natasha Lantang")</f>
        <v>Aglia Gratia Natasha Lantang</v>
      </c>
      <c r="C2073" s="1"/>
      <c r="D2073" s="1" t="str">
        <f ca="1">IFERROR(__xludf.DUMMYFUNCTION("""COMPUTED_VALUE"""),"Nő")</f>
        <v>Nő</v>
      </c>
      <c r="E2073" s="1"/>
      <c r="F2073" s="1">
        <f ca="1">IFERROR(__xludf.DUMMYFUNCTION("""COMPUTED_VALUE"""),2006)</f>
        <v>2006</v>
      </c>
      <c r="G2073" s="1">
        <f ca="1">IFERROR(__xludf.DUMMYFUNCTION("""COMPUTED_VALUE"""),3035)</f>
        <v>3035</v>
      </c>
      <c r="H2073" s="1" t="str">
        <f ca="1">IFERROR(__xludf.DUMMYFUNCTION("""COMPUTED_VALUE"""),"MTLSZ003035A19")</f>
        <v>MTLSZ003035A19</v>
      </c>
      <c r="I2073" s="2">
        <f ca="1">IFERROR(__xludf.DUMMYFUNCTION("""COMPUTED_VALUE"""),43762)</f>
        <v>43762</v>
      </c>
      <c r="J2073" s="2">
        <f ca="1">IFERROR(__xludf.DUMMYFUNCTION("""COMPUTED_VALUE"""),44127)</f>
        <v>44127</v>
      </c>
    </row>
    <row r="2074" spans="1:10" x14ac:dyDescent="0.25">
      <c r="A2074" s="1" t="str">
        <f ca="1">IFERROR(__xludf.DUMMYFUNCTION("""COMPUTED_VALUE"""),"DSC-SI")</f>
        <v>DSC-SI</v>
      </c>
      <c r="B2074" s="1" t="str">
        <f ca="1">IFERROR(__xludf.DUMMYFUNCTION("""COMPUTED_VALUE"""),"Szentpáli Marcell")</f>
        <v>Szentpáli Marcell</v>
      </c>
      <c r="C2074" s="1"/>
      <c r="D2074" s="1" t="str">
        <f ca="1">IFERROR(__xludf.DUMMYFUNCTION("""COMPUTED_VALUE"""),"Férfi")</f>
        <v>Férfi</v>
      </c>
      <c r="E2074" s="1"/>
      <c r="F2074" s="1">
        <f ca="1">IFERROR(__xludf.DUMMYFUNCTION("""COMPUTED_VALUE"""),2006)</f>
        <v>2006</v>
      </c>
      <c r="G2074" s="1">
        <f ca="1">IFERROR(__xludf.DUMMYFUNCTION("""COMPUTED_VALUE"""),2625)</f>
        <v>2625</v>
      </c>
      <c r="H2074" s="1" t="str">
        <f ca="1">IFERROR(__xludf.DUMMYFUNCTION("""COMPUTED_VALUE"""),"MTLSZ002625A19")</f>
        <v>MTLSZ002625A19</v>
      </c>
      <c r="I2074" s="2">
        <f ca="1">IFERROR(__xludf.DUMMYFUNCTION("""COMPUTED_VALUE"""),43762)</f>
        <v>43762</v>
      </c>
      <c r="J2074" s="2">
        <f ca="1">IFERROR(__xludf.DUMMYFUNCTION("""COMPUTED_VALUE"""),44127)</f>
        <v>44127</v>
      </c>
    </row>
    <row r="2075" spans="1:10" x14ac:dyDescent="0.25">
      <c r="A2075" s="1" t="str">
        <f ca="1">IFERROR(__xludf.DUMMYFUNCTION("""COMPUTED_VALUE"""),"DSC-SI")</f>
        <v>DSC-SI</v>
      </c>
      <c r="B2075" s="1" t="str">
        <f ca="1">IFERROR(__xludf.DUMMYFUNCTION("""COMPUTED_VALUE"""),"Vizer György")</f>
        <v>Vizer György</v>
      </c>
      <c r="C2075" s="1"/>
      <c r="D2075" s="1" t="str">
        <f ca="1">IFERROR(__xludf.DUMMYFUNCTION("""COMPUTED_VALUE"""),"Férfi")</f>
        <v>Férfi</v>
      </c>
      <c r="E2075" s="1"/>
      <c r="F2075" s="1">
        <f ca="1">IFERROR(__xludf.DUMMYFUNCTION("""COMPUTED_VALUE"""),2007)</f>
        <v>2007</v>
      </c>
      <c r="G2075" s="1">
        <f ca="1">IFERROR(__xludf.DUMMYFUNCTION("""COMPUTED_VALUE"""),3073)</f>
        <v>3073</v>
      </c>
      <c r="H2075" s="1" t="str">
        <f ca="1">IFERROR(__xludf.DUMMYFUNCTION("""COMPUTED_VALUE"""),"MTLSZ003073A19")</f>
        <v>MTLSZ003073A19</v>
      </c>
      <c r="I2075" s="2">
        <f ca="1">IFERROR(__xludf.DUMMYFUNCTION("""COMPUTED_VALUE"""),43762)</f>
        <v>43762</v>
      </c>
      <c r="J2075" s="2">
        <f ca="1">IFERROR(__xludf.DUMMYFUNCTION("""COMPUTED_VALUE"""),44127)</f>
        <v>44127</v>
      </c>
    </row>
    <row r="2076" spans="1:10" x14ac:dyDescent="0.25">
      <c r="A2076" s="1" t="str">
        <f ca="1">IFERROR(__xludf.DUMMYFUNCTION("""COMPUTED_VALUE"""),"Ludovika SE")</f>
        <v>Ludovika SE</v>
      </c>
      <c r="B2076" s="1" t="str">
        <f ca="1">IFERROR(__xludf.DUMMYFUNCTION("""COMPUTED_VALUE"""),"Dezső Kende")</f>
        <v>Dezső Kende</v>
      </c>
      <c r="C2076" s="1"/>
      <c r="D2076" s="1" t="str">
        <f ca="1">IFERROR(__xludf.DUMMYFUNCTION("""COMPUTED_VALUE"""),"Férfi")</f>
        <v>Férfi</v>
      </c>
      <c r="E2076" s="1"/>
      <c r="F2076" s="1">
        <f ca="1">IFERROR(__xludf.DUMMYFUNCTION("""COMPUTED_VALUE"""),2004)</f>
        <v>2004</v>
      </c>
      <c r="G2076" s="1">
        <f ca="1">IFERROR(__xludf.DUMMYFUNCTION("""COMPUTED_VALUE"""),3146)</f>
        <v>3146</v>
      </c>
      <c r="H2076" s="1" t="str">
        <f ca="1">IFERROR(__xludf.DUMMYFUNCTION("""COMPUTED_VALUE"""),"MTLSZ003146A19")</f>
        <v>MTLSZ003146A19</v>
      </c>
      <c r="I2076" s="2">
        <f ca="1">IFERROR(__xludf.DUMMYFUNCTION("""COMPUTED_VALUE"""),43762)</f>
        <v>43762</v>
      </c>
      <c r="J2076" s="2">
        <f ca="1">IFERROR(__xludf.DUMMYFUNCTION("""COMPUTED_VALUE"""),44127)</f>
        <v>44127</v>
      </c>
    </row>
    <row r="2077" spans="1:10" x14ac:dyDescent="0.25">
      <c r="A2077" s="1" t="str">
        <f ca="1">IFERROR(__xludf.DUMMYFUNCTION("""COMPUTED_VALUE"""),"Talentum TSE")</f>
        <v>Talentum TSE</v>
      </c>
      <c r="B2077" s="1" t="str">
        <f ca="1">IFERROR(__xludf.DUMMYFUNCTION("""COMPUTED_VALUE"""),"Reményi Szavanna")</f>
        <v>Reményi Szavanna</v>
      </c>
      <c r="C2077" s="1"/>
      <c r="D2077" s="1" t="str">
        <f ca="1">IFERROR(__xludf.DUMMYFUNCTION("""COMPUTED_VALUE"""),"Nő")</f>
        <v>Nő</v>
      </c>
      <c r="E2077" s="1"/>
      <c r="F2077" s="1">
        <f ca="1">IFERROR(__xludf.DUMMYFUNCTION("""COMPUTED_VALUE"""),2009)</f>
        <v>2009</v>
      </c>
      <c r="G2077" s="1">
        <f ca="1">IFERROR(__xludf.DUMMYFUNCTION("""COMPUTED_VALUE"""),3450)</f>
        <v>3450</v>
      </c>
      <c r="H2077" s="1" t="str">
        <f ca="1">IFERROR(__xludf.DUMMYFUNCTION("""COMPUTED_VALUE"""),"MTLSZ003450A19")</f>
        <v>MTLSZ003450A19</v>
      </c>
      <c r="I2077" s="2">
        <f ca="1">IFERROR(__xludf.DUMMYFUNCTION("""COMPUTED_VALUE"""),43762)</f>
        <v>43762</v>
      </c>
      <c r="J2077" s="2">
        <f ca="1">IFERROR(__xludf.DUMMYFUNCTION("""COMPUTED_VALUE"""),44127)</f>
        <v>44127</v>
      </c>
    </row>
    <row r="2078" spans="1:10" x14ac:dyDescent="0.25">
      <c r="A2078" s="1" t="str">
        <f ca="1">IFERROR(__xludf.DUMMYFUNCTION("""COMPUTED_VALUE"""),"T(r)ollas SE")</f>
        <v>T(r)ollas SE</v>
      </c>
      <c r="B2078" s="1" t="str">
        <f ca="1">IFERROR(__xludf.DUMMYFUNCTION("""COMPUTED_VALUE"""),"Vancsisin Ábris")</f>
        <v>Vancsisin Ábris</v>
      </c>
      <c r="C2078" s="1"/>
      <c r="D2078" s="1" t="str">
        <f ca="1">IFERROR(__xludf.DUMMYFUNCTION("""COMPUTED_VALUE"""),"Férfi")</f>
        <v>Férfi</v>
      </c>
      <c r="E2078" s="1"/>
      <c r="F2078" s="1">
        <f ca="1">IFERROR(__xludf.DUMMYFUNCTION("""COMPUTED_VALUE"""),2006)</f>
        <v>2006</v>
      </c>
      <c r="G2078" s="1">
        <f ca="1">IFERROR(__xludf.DUMMYFUNCTION("""COMPUTED_VALUE"""),3452)</f>
        <v>3452</v>
      </c>
      <c r="H2078" s="1" t="str">
        <f ca="1">IFERROR(__xludf.DUMMYFUNCTION("""COMPUTED_VALUE"""),"MTLSZ003452A19")</f>
        <v>MTLSZ003452A19</v>
      </c>
      <c r="I2078" s="2">
        <f ca="1">IFERROR(__xludf.DUMMYFUNCTION("""COMPUTED_VALUE"""),43762)</f>
        <v>43762</v>
      </c>
      <c r="J2078" s="2">
        <f ca="1">IFERROR(__xludf.DUMMYFUNCTION("""COMPUTED_VALUE"""),44127)</f>
        <v>44127</v>
      </c>
    </row>
    <row r="2079" spans="1:10" x14ac:dyDescent="0.25">
      <c r="A2079" s="1" t="str">
        <f ca="1">IFERROR(__xludf.DUMMYFUNCTION("""COMPUTED_VALUE"""),"T(r)ollas SE")</f>
        <v>T(r)ollas SE</v>
      </c>
      <c r="B2079" s="1" t="str">
        <f ca="1">IFERROR(__xludf.DUMMYFUNCTION("""COMPUTED_VALUE"""),"Vancsisin Soma")</f>
        <v>Vancsisin Soma</v>
      </c>
      <c r="C2079" s="1"/>
      <c r="D2079" s="1" t="str">
        <f ca="1">IFERROR(__xludf.DUMMYFUNCTION("""COMPUTED_VALUE"""),"Férfi")</f>
        <v>Férfi</v>
      </c>
      <c r="E2079" s="1"/>
      <c r="F2079" s="1">
        <f ca="1">IFERROR(__xludf.DUMMYFUNCTION("""COMPUTED_VALUE"""),2011)</f>
        <v>2011</v>
      </c>
      <c r="G2079" s="1">
        <f ca="1">IFERROR(__xludf.DUMMYFUNCTION("""COMPUTED_VALUE"""),3453)</f>
        <v>3453</v>
      </c>
      <c r="H2079" s="1" t="str">
        <f ca="1">IFERROR(__xludf.DUMMYFUNCTION("""COMPUTED_VALUE"""),"MTLSZ003453A19")</f>
        <v>MTLSZ003453A19</v>
      </c>
      <c r="I2079" s="2">
        <f ca="1">IFERROR(__xludf.DUMMYFUNCTION("""COMPUTED_VALUE"""),43762)</f>
        <v>43762</v>
      </c>
      <c r="J2079" s="2">
        <f ca="1">IFERROR(__xludf.DUMMYFUNCTION("""COMPUTED_VALUE"""),44127)</f>
        <v>44127</v>
      </c>
    </row>
    <row r="2080" spans="1:10" x14ac:dyDescent="0.25">
      <c r="A2080" s="1" t="str">
        <f ca="1">IFERROR(__xludf.DUMMYFUNCTION("""COMPUTED_VALUE"""),"Klébi DSE")</f>
        <v>Klébi DSE</v>
      </c>
      <c r="B2080" s="1" t="str">
        <f ca="1">IFERROR(__xludf.DUMMYFUNCTION("""COMPUTED_VALUE"""),"Urbán Attila")</f>
        <v>Urbán Attila</v>
      </c>
      <c r="C2080" s="1"/>
      <c r="D2080" s="1" t="str">
        <f ca="1">IFERROR(__xludf.DUMMYFUNCTION("""COMPUTED_VALUE"""),"Férfi")</f>
        <v>Férfi</v>
      </c>
      <c r="E2080" s="1"/>
      <c r="F2080" s="1">
        <f ca="1">IFERROR(__xludf.DUMMYFUNCTION("""COMPUTED_VALUE"""),1977)</f>
        <v>1977</v>
      </c>
      <c r="G2080" s="1">
        <f ca="1">IFERROR(__xludf.DUMMYFUNCTION("""COMPUTED_VALUE"""),1074)</f>
        <v>1074</v>
      </c>
      <c r="H2080" s="1" t="str">
        <f ca="1">IFERROR(__xludf.DUMMYFUNCTION("""COMPUTED_VALUE"""),"MTLSZ001074A19")</f>
        <v>MTLSZ001074A19</v>
      </c>
      <c r="I2080" s="2">
        <f ca="1">IFERROR(__xludf.DUMMYFUNCTION("""COMPUTED_VALUE"""),43755)</f>
        <v>43755</v>
      </c>
      <c r="J2080" s="2">
        <f ca="1">IFERROR(__xludf.DUMMYFUNCTION("""COMPUTED_VALUE"""),44120)</f>
        <v>44120</v>
      </c>
    </row>
    <row r="2081" spans="1:10" x14ac:dyDescent="0.25">
      <c r="A2081" s="1" t="str">
        <f ca="1">IFERROR(__xludf.DUMMYFUNCTION("""COMPUTED_VALUE"""),"Seregélyesi PDSE")</f>
        <v>Seregélyesi PDSE</v>
      </c>
      <c r="B2081" s="1" t="str">
        <f ca="1">IFERROR(__xludf.DUMMYFUNCTION("""COMPUTED_VALUE"""),"Deák Dorina")</f>
        <v>Deák Dorina</v>
      </c>
      <c r="C2081" s="1"/>
      <c r="D2081" s="1" t="str">
        <f ca="1">IFERROR(__xludf.DUMMYFUNCTION("""COMPUTED_VALUE"""),"Nő")</f>
        <v>Nő</v>
      </c>
      <c r="E2081" s="1"/>
      <c r="F2081" s="1">
        <f ca="1">IFERROR(__xludf.DUMMYFUNCTION("""COMPUTED_VALUE"""),2002)</f>
        <v>2002</v>
      </c>
      <c r="G2081" s="1">
        <f ca="1">IFERROR(__xludf.DUMMYFUNCTION("""COMPUTED_VALUE"""),2381)</f>
        <v>2381</v>
      </c>
      <c r="H2081" s="1" t="str">
        <f ca="1">IFERROR(__xludf.DUMMYFUNCTION("""COMPUTED_VALUE"""),"MTLSZ002381A19")</f>
        <v>MTLSZ002381A19</v>
      </c>
      <c r="I2081" s="2">
        <f ca="1">IFERROR(__xludf.DUMMYFUNCTION("""COMPUTED_VALUE"""),43755)</f>
        <v>43755</v>
      </c>
      <c r="J2081" s="2">
        <f ca="1">IFERROR(__xludf.DUMMYFUNCTION("""COMPUTED_VALUE"""),44120)</f>
        <v>44120</v>
      </c>
    </row>
    <row r="2082" spans="1:10" x14ac:dyDescent="0.25">
      <c r="A2082" s="1" t="str">
        <f ca="1">IFERROR(__xludf.DUMMYFUNCTION("""COMPUTED_VALUE"""),"DSC-SI")</f>
        <v>DSC-SI</v>
      </c>
      <c r="B2082" s="1" t="str">
        <f ca="1">IFERROR(__xludf.DUMMYFUNCTION("""COMPUTED_VALUE"""),"Mikhárdi Dóra")</f>
        <v>Mikhárdi Dóra</v>
      </c>
      <c r="C2082" s="1"/>
      <c r="D2082" s="1" t="str">
        <f ca="1">IFERROR(__xludf.DUMMYFUNCTION("""COMPUTED_VALUE"""),"Nő")</f>
        <v>Nő</v>
      </c>
      <c r="E2082" s="1"/>
      <c r="F2082" s="1">
        <f ca="1">IFERROR(__xludf.DUMMYFUNCTION("""COMPUTED_VALUE"""),2000)</f>
        <v>2000</v>
      </c>
      <c r="G2082" s="1">
        <f ca="1">IFERROR(__xludf.DUMMYFUNCTION("""COMPUTED_VALUE"""),2688)</f>
        <v>2688</v>
      </c>
      <c r="H2082" s="1" t="str">
        <f ca="1">IFERROR(__xludf.DUMMYFUNCTION("""COMPUTED_VALUE"""),"MTLSZ002688A19")</f>
        <v>MTLSZ002688A19</v>
      </c>
      <c r="I2082" s="2">
        <f ca="1">IFERROR(__xludf.DUMMYFUNCTION("""COMPUTED_VALUE"""),43754)</f>
        <v>43754</v>
      </c>
      <c r="J2082" s="2">
        <f ca="1">IFERROR(__xludf.DUMMYFUNCTION("""COMPUTED_VALUE"""),44119)</f>
        <v>44119</v>
      </c>
    </row>
    <row r="2083" spans="1:10" x14ac:dyDescent="0.25">
      <c r="A2083" s="1" t="str">
        <f ca="1">IFERROR(__xludf.DUMMYFUNCTION("""COMPUTED_VALUE"""),"Hajdú TSE")</f>
        <v>Hajdú TSE</v>
      </c>
      <c r="B2083" s="1" t="str">
        <f ca="1">IFERROR(__xludf.DUMMYFUNCTION("""COMPUTED_VALUE"""),"Saore Alexandra")</f>
        <v>Saore Alexandra</v>
      </c>
      <c r="C2083" s="1"/>
      <c r="D2083" s="1" t="str">
        <f ca="1">IFERROR(__xludf.DUMMYFUNCTION("""COMPUTED_VALUE"""),"Nő")</f>
        <v>Nő</v>
      </c>
      <c r="E2083" s="1"/>
      <c r="F2083" s="1">
        <f ca="1">IFERROR(__xludf.DUMMYFUNCTION("""COMPUTED_VALUE"""),2003)</f>
        <v>2003</v>
      </c>
      <c r="G2083" s="1">
        <f ca="1">IFERROR(__xludf.DUMMYFUNCTION("""COMPUTED_VALUE"""),3447)</f>
        <v>3447</v>
      </c>
      <c r="H2083" s="1" t="str">
        <f ca="1">IFERROR(__xludf.DUMMYFUNCTION("""COMPUTED_VALUE"""),"MTLSZ003447A19")</f>
        <v>MTLSZ003447A19</v>
      </c>
      <c r="I2083" s="2">
        <f ca="1">IFERROR(__xludf.DUMMYFUNCTION("""COMPUTED_VALUE"""),43754)</f>
        <v>43754</v>
      </c>
      <c r="J2083" s="2">
        <f ca="1">IFERROR(__xludf.DUMMYFUNCTION("""COMPUTED_VALUE"""),44119)</f>
        <v>44119</v>
      </c>
    </row>
    <row r="2084" spans="1:10" x14ac:dyDescent="0.25">
      <c r="A2084" s="1" t="str">
        <f ca="1">IFERROR(__xludf.DUMMYFUNCTION("""COMPUTED_VALUE"""),"Talentum TSE")</f>
        <v>Talentum TSE</v>
      </c>
      <c r="B2084" s="1" t="str">
        <f ca="1">IFERROR(__xludf.DUMMYFUNCTION("""COMPUTED_VALUE"""),"Szoldán Szófia")</f>
        <v>Szoldán Szófia</v>
      </c>
      <c r="C2084" s="1"/>
      <c r="D2084" s="1" t="str">
        <f ca="1">IFERROR(__xludf.DUMMYFUNCTION("""COMPUTED_VALUE"""),"Nő")</f>
        <v>Nő</v>
      </c>
      <c r="E2084" s="1"/>
      <c r="F2084" s="1">
        <f ca="1">IFERROR(__xludf.DUMMYFUNCTION("""COMPUTED_VALUE"""),2004)</f>
        <v>2004</v>
      </c>
      <c r="G2084" s="1">
        <f ca="1">IFERROR(__xludf.DUMMYFUNCTION("""COMPUTED_VALUE"""),3174)</f>
        <v>3174</v>
      </c>
      <c r="H2084" s="1" t="str">
        <f ca="1">IFERROR(__xludf.DUMMYFUNCTION("""COMPUTED_VALUE"""),"MTLSZ003174A19")</f>
        <v>MTLSZ003174A19</v>
      </c>
      <c r="I2084" s="2">
        <f ca="1">IFERROR(__xludf.DUMMYFUNCTION("""COMPUTED_VALUE"""),43754)</f>
        <v>43754</v>
      </c>
      <c r="J2084" s="2">
        <f ca="1">IFERROR(__xludf.DUMMYFUNCTION("""COMPUTED_VALUE"""),44119)</f>
        <v>44119</v>
      </c>
    </row>
    <row r="2085" spans="1:10" x14ac:dyDescent="0.25">
      <c r="A2085" s="1" t="str">
        <f ca="1">IFERROR(__xludf.DUMMYFUNCTION("""COMPUTED_VALUE"""),"Verőcei DE")</f>
        <v>Verőcei DE</v>
      </c>
      <c r="B2085" s="1" t="str">
        <f ca="1">IFERROR(__xludf.DUMMYFUNCTION("""COMPUTED_VALUE"""),"Bertényi Sebestyén")</f>
        <v>Bertényi Sebestyén</v>
      </c>
      <c r="C2085" s="1"/>
      <c r="D2085" s="1" t="str">
        <f ca="1">IFERROR(__xludf.DUMMYFUNCTION("""COMPUTED_VALUE"""),"Férfi")</f>
        <v>Férfi</v>
      </c>
      <c r="E2085" s="1"/>
      <c r="F2085" s="1">
        <f ca="1">IFERROR(__xludf.DUMMYFUNCTION("""COMPUTED_VALUE"""),2008)</f>
        <v>2008</v>
      </c>
      <c r="G2085" s="1">
        <f ca="1">IFERROR(__xludf.DUMMYFUNCTION("""COMPUTED_VALUE"""),3237)</f>
        <v>3237</v>
      </c>
      <c r="H2085" s="1" t="str">
        <f ca="1">IFERROR(__xludf.DUMMYFUNCTION("""COMPUTED_VALUE"""),"MTLSZ003237A19")</f>
        <v>MTLSZ003237A19</v>
      </c>
      <c r="I2085" s="2">
        <f ca="1">IFERROR(__xludf.DUMMYFUNCTION("""COMPUTED_VALUE"""),43754)</f>
        <v>43754</v>
      </c>
      <c r="J2085" s="2">
        <f ca="1">IFERROR(__xludf.DUMMYFUNCTION("""COMPUTED_VALUE"""),44119)</f>
        <v>44119</v>
      </c>
    </row>
    <row r="2086" spans="1:10" x14ac:dyDescent="0.25">
      <c r="A2086" s="1" t="str">
        <f ca="1">IFERROR(__xludf.DUMMYFUNCTION("""COMPUTED_VALUE"""),"Verőcei DE")</f>
        <v>Verőcei DE</v>
      </c>
      <c r="B2086" s="1" t="str">
        <f ca="1">IFERROR(__xludf.DUMMYFUNCTION("""COMPUTED_VALUE"""),"Csomó Panna")</f>
        <v>Csomó Panna</v>
      </c>
      <c r="C2086" s="1"/>
      <c r="D2086" s="1" t="str">
        <f ca="1">IFERROR(__xludf.DUMMYFUNCTION("""COMPUTED_VALUE"""),"Nő")</f>
        <v>Nő</v>
      </c>
      <c r="E2086" s="1"/>
      <c r="F2086" s="1">
        <f ca="1">IFERROR(__xludf.DUMMYFUNCTION("""COMPUTED_VALUE"""),2005)</f>
        <v>2005</v>
      </c>
      <c r="G2086" s="1">
        <f ca="1">IFERROR(__xludf.DUMMYFUNCTION("""COMPUTED_VALUE"""),3238)</f>
        <v>3238</v>
      </c>
      <c r="H2086" s="1" t="str">
        <f ca="1">IFERROR(__xludf.DUMMYFUNCTION("""COMPUTED_VALUE"""),"MTLSZ003238A19")</f>
        <v>MTLSZ003238A19</v>
      </c>
      <c r="I2086" s="2">
        <f ca="1">IFERROR(__xludf.DUMMYFUNCTION("""COMPUTED_VALUE"""),43754)</f>
        <v>43754</v>
      </c>
      <c r="J2086" s="2">
        <f ca="1">IFERROR(__xludf.DUMMYFUNCTION("""COMPUTED_VALUE"""),44119)</f>
        <v>44119</v>
      </c>
    </row>
    <row r="2087" spans="1:10" x14ac:dyDescent="0.25">
      <c r="A2087" s="1" t="str">
        <f ca="1">IFERROR(__xludf.DUMMYFUNCTION("""COMPUTED_VALUE"""),"Verőcei DE")</f>
        <v>Verőcei DE</v>
      </c>
      <c r="B2087" s="1" t="str">
        <f ca="1">IFERROR(__xludf.DUMMYFUNCTION("""COMPUTED_VALUE"""),"Szajki Anna Júlia")</f>
        <v>Szajki Anna Júlia</v>
      </c>
      <c r="C2087" s="1"/>
      <c r="D2087" s="1" t="str">
        <f ca="1">IFERROR(__xludf.DUMMYFUNCTION("""COMPUTED_VALUE"""),"Nő")</f>
        <v>Nő</v>
      </c>
      <c r="E2087" s="1"/>
      <c r="F2087" s="1">
        <f ca="1">IFERROR(__xludf.DUMMYFUNCTION("""COMPUTED_VALUE"""),2005)</f>
        <v>2005</v>
      </c>
      <c r="G2087" s="1">
        <f ca="1">IFERROR(__xludf.DUMMYFUNCTION("""COMPUTED_VALUE"""),2742)</f>
        <v>2742</v>
      </c>
      <c r="H2087" s="1" t="str">
        <f ca="1">IFERROR(__xludf.DUMMYFUNCTION("""COMPUTED_VALUE"""),"MTLSZ002742A19")</f>
        <v>MTLSZ002742A19</v>
      </c>
      <c r="I2087" s="2">
        <f ca="1">IFERROR(__xludf.DUMMYFUNCTION("""COMPUTED_VALUE"""),43754)</f>
        <v>43754</v>
      </c>
      <c r="J2087" s="2">
        <f ca="1">IFERROR(__xludf.DUMMYFUNCTION("""COMPUTED_VALUE"""),44119)</f>
        <v>44119</v>
      </c>
    </row>
    <row r="2088" spans="1:10" x14ac:dyDescent="0.25">
      <c r="A2088" s="1" t="str">
        <f ca="1">IFERROR(__xludf.DUMMYFUNCTION("""COMPUTED_VALUE"""),"Verőcei DE")</f>
        <v>Verőcei DE</v>
      </c>
      <c r="B2088" s="1" t="str">
        <f ca="1">IFERROR(__xludf.DUMMYFUNCTION("""COMPUTED_VALUE"""),"Szajki Sára Eszter")</f>
        <v>Szajki Sára Eszter</v>
      </c>
      <c r="C2088" s="1"/>
      <c r="D2088" s="1" t="str">
        <f ca="1">IFERROR(__xludf.DUMMYFUNCTION("""COMPUTED_VALUE"""),"Nő")</f>
        <v>Nő</v>
      </c>
      <c r="E2088" s="1"/>
      <c r="F2088" s="1">
        <f ca="1">IFERROR(__xludf.DUMMYFUNCTION("""COMPUTED_VALUE"""),2007)</f>
        <v>2007</v>
      </c>
      <c r="G2088" s="1">
        <f ca="1">IFERROR(__xludf.DUMMYFUNCTION("""COMPUTED_VALUE"""),2741)</f>
        <v>2741</v>
      </c>
      <c r="H2088" s="1" t="str">
        <f ca="1">IFERROR(__xludf.DUMMYFUNCTION("""COMPUTED_VALUE"""),"MTLSZ002741A19")</f>
        <v>MTLSZ002741A19</v>
      </c>
      <c r="I2088" s="2">
        <f ca="1">IFERROR(__xludf.DUMMYFUNCTION("""COMPUTED_VALUE"""),43754)</f>
        <v>43754</v>
      </c>
      <c r="J2088" s="2">
        <f ca="1">IFERROR(__xludf.DUMMYFUNCTION("""COMPUTED_VALUE"""),44119)</f>
        <v>44119</v>
      </c>
    </row>
    <row r="2089" spans="1:10" x14ac:dyDescent="0.25">
      <c r="A2089" s="1" t="str">
        <f ca="1">IFERROR(__xludf.DUMMYFUNCTION("""COMPUTED_VALUE"""),"Életmód SE")</f>
        <v>Életmód SE</v>
      </c>
      <c r="B2089" s="1" t="str">
        <f ca="1">IFERROR(__xludf.DUMMYFUNCTION("""COMPUTED_VALUE"""),"Nagy Kristóf")</f>
        <v>Nagy Kristóf</v>
      </c>
      <c r="C2089" s="1"/>
      <c r="D2089" s="1" t="str">
        <f ca="1">IFERROR(__xludf.DUMMYFUNCTION("""COMPUTED_VALUE"""),"Férfi")</f>
        <v>Férfi</v>
      </c>
      <c r="E2089" s="1"/>
      <c r="F2089" s="1">
        <f ca="1">IFERROR(__xludf.DUMMYFUNCTION("""COMPUTED_VALUE"""),2001)</f>
        <v>2001</v>
      </c>
      <c r="G2089" s="1">
        <f ca="1">IFERROR(__xludf.DUMMYFUNCTION("""COMPUTED_VALUE"""),3444)</f>
        <v>3444</v>
      </c>
      <c r="H2089" s="1" t="str">
        <f ca="1">IFERROR(__xludf.DUMMYFUNCTION("""COMPUTED_VALUE"""),"MTLSZ003444A19")</f>
        <v>MTLSZ003444A19</v>
      </c>
      <c r="I2089" s="2">
        <f ca="1">IFERROR(__xludf.DUMMYFUNCTION("""COMPUTED_VALUE"""),43753)</f>
        <v>43753</v>
      </c>
      <c r="J2089" s="2">
        <f ca="1">IFERROR(__xludf.DUMMYFUNCTION("""COMPUTED_VALUE"""),44118)</f>
        <v>44118</v>
      </c>
    </row>
    <row r="2090" spans="1:10" x14ac:dyDescent="0.25">
      <c r="A2090" s="1" t="str">
        <f ca="1">IFERROR(__xludf.DUMMYFUNCTION("""COMPUTED_VALUE"""),"Életmód SE")</f>
        <v>Életmód SE</v>
      </c>
      <c r="B2090" s="1" t="str">
        <f ca="1">IFERROR(__xludf.DUMMYFUNCTION("""COMPUTED_VALUE"""),"Pitó Béla")</f>
        <v>Pitó Béla</v>
      </c>
      <c r="C2090" s="1"/>
      <c r="D2090" s="1" t="str">
        <f ca="1">IFERROR(__xludf.DUMMYFUNCTION("""COMPUTED_VALUE"""),"Férfi")</f>
        <v>Férfi</v>
      </c>
      <c r="E2090" s="1"/>
      <c r="F2090" s="1">
        <f ca="1">IFERROR(__xludf.DUMMYFUNCTION("""COMPUTED_VALUE"""),1969)</f>
        <v>1969</v>
      </c>
      <c r="G2090" s="1">
        <f ca="1">IFERROR(__xludf.DUMMYFUNCTION("""COMPUTED_VALUE"""),3445)</f>
        <v>3445</v>
      </c>
      <c r="H2090" s="1" t="str">
        <f ca="1">IFERROR(__xludf.DUMMYFUNCTION("""COMPUTED_VALUE"""),"MTLSZ003445A19")</f>
        <v>MTLSZ003445A19</v>
      </c>
      <c r="I2090" s="2">
        <f ca="1">IFERROR(__xludf.DUMMYFUNCTION("""COMPUTED_VALUE"""),43753)</f>
        <v>43753</v>
      </c>
      <c r="J2090" s="2">
        <f ca="1">IFERROR(__xludf.DUMMYFUNCTION("""COMPUTED_VALUE"""),44118)</f>
        <v>44118</v>
      </c>
    </row>
    <row r="2091" spans="1:10" x14ac:dyDescent="0.25">
      <c r="A2091" s="1" t="str">
        <f ca="1">IFERROR(__xludf.DUMMYFUNCTION("""COMPUTED_VALUE"""),"Multi Alarm SE")</f>
        <v>Multi Alarm SE</v>
      </c>
      <c r="B2091" s="1" t="str">
        <f ca="1">IFERROR(__xludf.DUMMYFUNCTION("""COMPUTED_VALUE"""),"Ulitina Maria")</f>
        <v>Ulitina Maria</v>
      </c>
      <c r="C2091" s="1"/>
      <c r="D2091" s="1" t="str">
        <f ca="1">IFERROR(__xludf.DUMMYFUNCTION("""COMPUTED_VALUE"""),"Nő")</f>
        <v>Nő</v>
      </c>
      <c r="E2091" s="1"/>
      <c r="F2091" s="1">
        <f ca="1">IFERROR(__xludf.DUMMYFUNCTION("""COMPUTED_VALUE"""),1991)</f>
        <v>1991</v>
      </c>
      <c r="G2091" s="1">
        <f ca="1">IFERROR(__xludf.DUMMYFUNCTION("""COMPUTED_VALUE"""),2391)</f>
        <v>2391</v>
      </c>
      <c r="H2091" s="1" t="str">
        <f ca="1">IFERROR(__xludf.DUMMYFUNCTION("""COMPUTED_VALUE"""),"MTLSZ002391A19")</f>
        <v>MTLSZ002391A19</v>
      </c>
      <c r="I2091" s="2">
        <f ca="1">IFERROR(__xludf.DUMMYFUNCTION("""COMPUTED_VALUE"""),43752)</f>
        <v>43752</v>
      </c>
      <c r="J2091" s="2">
        <f ca="1">IFERROR(__xludf.DUMMYFUNCTION("""COMPUTED_VALUE"""),44117)</f>
        <v>44117</v>
      </c>
    </row>
    <row r="2092" spans="1:10" x14ac:dyDescent="0.25">
      <c r="A2092" s="1" t="str">
        <f ca="1">IFERROR(__xludf.DUMMYFUNCTION("""COMPUTED_VALUE"""),"T(r)ollas SE")</f>
        <v>T(r)ollas SE</v>
      </c>
      <c r="B2092" s="1" t="str">
        <f ca="1">IFERROR(__xludf.DUMMYFUNCTION("""COMPUTED_VALUE"""),"Búcsú Eszter")</f>
        <v>Búcsú Eszter</v>
      </c>
      <c r="C2092" s="1"/>
      <c r="D2092" s="1" t="str">
        <f ca="1">IFERROR(__xludf.DUMMYFUNCTION("""COMPUTED_VALUE"""),"Nő")</f>
        <v>Nő</v>
      </c>
      <c r="E2092" s="1"/>
      <c r="F2092" s="1">
        <f ca="1">IFERROR(__xludf.DUMMYFUNCTION("""COMPUTED_VALUE"""),2009)</f>
        <v>2009</v>
      </c>
      <c r="G2092" s="1">
        <f ca="1">IFERROR(__xludf.DUMMYFUNCTION("""COMPUTED_VALUE"""),3208)</f>
        <v>3208</v>
      </c>
      <c r="H2092" s="1" t="str">
        <f ca="1">IFERROR(__xludf.DUMMYFUNCTION("""COMPUTED_VALUE"""),"MTLSZ003208A19")</f>
        <v>MTLSZ003208A19</v>
      </c>
      <c r="I2092" s="2">
        <f ca="1">IFERROR(__xludf.DUMMYFUNCTION("""COMPUTED_VALUE"""),43752)</f>
        <v>43752</v>
      </c>
      <c r="J2092" s="2">
        <f ca="1">IFERROR(__xludf.DUMMYFUNCTION("""COMPUTED_VALUE"""),44117)</f>
        <v>44117</v>
      </c>
    </row>
    <row r="2093" spans="1:10" x14ac:dyDescent="0.25">
      <c r="A2093" s="1" t="str">
        <f ca="1">IFERROR(__xludf.DUMMYFUNCTION("""COMPUTED_VALUE"""),"T(r)ollas SE")</f>
        <v>T(r)ollas SE</v>
      </c>
      <c r="B2093" s="1" t="str">
        <f ca="1">IFERROR(__xludf.DUMMYFUNCTION("""COMPUTED_VALUE"""),"Búcsú Péter")</f>
        <v>Búcsú Péter</v>
      </c>
      <c r="C2093" s="1"/>
      <c r="D2093" s="1" t="str">
        <f ca="1">IFERROR(__xludf.DUMMYFUNCTION("""COMPUTED_VALUE"""),"Férfi")</f>
        <v>Férfi</v>
      </c>
      <c r="E2093" s="1"/>
      <c r="F2093" s="1">
        <f ca="1">IFERROR(__xludf.DUMMYFUNCTION("""COMPUTED_VALUE"""),2005)</f>
        <v>2005</v>
      </c>
      <c r="G2093" s="1">
        <f ca="1">IFERROR(__xludf.DUMMYFUNCTION("""COMPUTED_VALUE"""),3212)</f>
        <v>3212</v>
      </c>
      <c r="H2093" s="1" t="str">
        <f ca="1">IFERROR(__xludf.DUMMYFUNCTION("""COMPUTED_VALUE"""),"MTLSZ003212A19")</f>
        <v>MTLSZ003212A19</v>
      </c>
      <c r="I2093" s="2">
        <f ca="1">IFERROR(__xludf.DUMMYFUNCTION("""COMPUTED_VALUE"""),43752)</f>
        <v>43752</v>
      </c>
      <c r="J2093" s="2">
        <f ca="1">IFERROR(__xludf.DUMMYFUNCTION("""COMPUTED_VALUE"""),44117)</f>
        <v>44117</v>
      </c>
    </row>
    <row r="2094" spans="1:10" x14ac:dyDescent="0.25">
      <c r="A2094" s="1" t="str">
        <f ca="1">IFERROR(__xludf.DUMMYFUNCTION("""COMPUTED_VALUE"""),"Ludovika SE")</f>
        <v>Ludovika SE</v>
      </c>
      <c r="B2094" s="1" t="str">
        <f ca="1">IFERROR(__xludf.DUMMYFUNCTION("""COMPUTED_VALUE"""),"Csató Zsolt")</f>
        <v>Csató Zsolt</v>
      </c>
      <c r="C2094" s="1"/>
      <c r="D2094" s="1" t="str">
        <f ca="1">IFERROR(__xludf.DUMMYFUNCTION("""COMPUTED_VALUE"""),"Férfi")</f>
        <v>Férfi</v>
      </c>
      <c r="E2094" s="1"/>
      <c r="F2094" s="1">
        <f ca="1">IFERROR(__xludf.DUMMYFUNCTION("""COMPUTED_VALUE"""),1984)</f>
        <v>1984</v>
      </c>
      <c r="G2094" s="1">
        <f ca="1">IFERROR(__xludf.DUMMYFUNCTION("""COMPUTED_VALUE"""),1216)</f>
        <v>1216</v>
      </c>
      <c r="H2094" s="1" t="str">
        <f ca="1">IFERROR(__xludf.DUMMYFUNCTION("""COMPUTED_VALUE"""),"MTLSZ001216A19")</f>
        <v>MTLSZ001216A19</v>
      </c>
      <c r="I2094" s="2">
        <f ca="1">IFERROR(__xludf.DUMMYFUNCTION("""COMPUTED_VALUE"""),43749)</f>
        <v>43749</v>
      </c>
      <c r="J2094" s="2">
        <f ca="1">IFERROR(__xludf.DUMMYFUNCTION("""COMPUTED_VALUE"""),44114)</f>
        <v>44114</v>
      </c>
    </row>
    <row r="2095" spans="1:10" x14ac:dyDescent="0.25">
      <c r="A2095" s="1" t="str">
        <f ca="1">IFERROR(__xludf.DUMMYFUNCTION("""COMPUTED_VALUE"""),"Talentum TSE")</f>
        <v>Talentum TSE</v>
      </c>
      <c r="B2095" s="1" t="str">
        <f ca="1">IFERROR(__xludf.DUMMYFUNCTION("""COMPUTED_VALUE"""),"Fleisz Andrea Dorottya")</f>
        <v>Fleisz Andrea Dorottya</v>
      </c>
      <c r="C2095" s="1"/>
      <c r="D2095" s="1" t="str">
        <f ca="1">IFERROR(__xludf.DUMMYFUNCTION("""COMPUTED_VALUE"""),"Nő")</f>
        <v>Nő</v>
      </c>
      <c r="E2095" s="1"/>
      <c r="F2095" s="1">
        <f ca="1">IFERROR(__xludf.DUMMYFUNCTION("""COMPUTED_VALUE"""),2002)</f>
        <v>2002</v>
      </c>
      <c r="G2095" s="1">
        <f ca="1">IFERROR(__xludf.DUMMYFUNCTION("""COMPUTED_VALUE"""),3172)</f>
        <v>3172</v>
      </c>
      <c r="H2095" s="1" t="str">
        <f ca="1">IFERROR(__xludf.DUMMYFUNCTION("""COMPUTED_VALUE"""),"MTLSZ003172A19")</f>
        <v>MTLSZ003172A19</v>
      </c>
      <c r="I2095" s="2">
        <f ca="1">IFERROR(__xludf.DUMMYFUNCTION("""COMPUTED_VALUE"""),43749)</f>
        <v>43749</v>
      </c>
      <c r="J2095" s="2">
        <f ca="1">IFERROR(__xludf.DUMMYFUNCTION("""COMPUTED_VALUE"""),44114)</f>
        <v>44114</v>
      </c>
    </row>
    <row r="2096" spans="1:10" x14ac:dyDescent="0.25">
      <c r="A2096" s="1" t="str">
        <f ca="1">IFERROR(__xludf.DUMMYFUNCTION("""COMPUTED_VALUE"""),"DSK")</f>
        <v>DSK</v>
      </c>
      <c r="B2096" s="1" t="str">
        <f ca="1">IFERROR(__xludf.DUMMYFUNCTION("""COMPUTED_VALUE"""),"Horváth Martin")</f>
        <v>Horváth Martin</v>
      </c>
      <c r="C2096" s="1"/>
      <c r="D2096" s="1" t="str">
        <f ca="1">IFERROR(__xludf.DUMMYFUNCTION("""COMPUTED_VALUE"""),"Férfi")</f>
        <v>Férfi</v>
      </c>
      <c r="E2096" s="1"/>
      <c r="F2096" s="1">
        <f ca="1">IFERROR(__xludf.DUMMYFUNCTION("""COMPUTED_VALUE"""),1994)</f>
        <v>1994</v>
      </c>
      <c r="G2096" s="1">
        <f ca="1">IFERROR(__xludf.DUMMYFUNCTION("""COMPUTED_VALUE"""),1207)</f>
        <v>1207</v>
      </c>
      <c r="H2096" s="1" t="str">
        <f ca="1">IFERROR(__xludf.DUMMYFUNCTION("""COMPUTED_VALUE"""),"MTLSZ001207A19")</f>
        <v>MTLSZ001207A19</v>
      </c>
      <c r="I2096" s="2">
        <f ca="1">IFERROR(__xludf.DUMMYFUNCTION("""COMPUTED_VALUE"""),43748)</f>
        <v>43748</v>
      </c>
      <c r="J2096" s="2">
        <f ca="1">IFERROR(__xludf.DUMMYFUNCTION("""COMPUTED_VALUE"""),44113)</f>
        <v>44113</v>
      </c>
    </row>
    <row r="2097" spans="1:10" x14ac:dyDescent="0.25">
      <c r="A2097" s="1" t="str">
        <f ca="1">IFERROR(__xludf.DUMMYFUNCTION("""COMPUTED_VALUE"""),"DSK")</f>
        <v>DSK</v>
      </c>
      <c r="B2097" s="1" t="str">
        <f ca="1">IFERROR(__xludf.DUMMYFUNCTION("""COMPUTED_VALUE"""),"Horváth Mercédesz")</f>
        <v>Horváth Mercédesz</v>
      </c>
      <c r="C2097" s="1"/>
      <c r="D2097" s="1" t="str">
        <f ca="1">IFERROR(__xludf.DUMMYFUNCTION("""COMPUTED_VALUE"""),"Nő")</f>
        <v>Nő</v>
      </c>
      <c r="E2097" s="1"/>
      <c r="F2097" s="1">
        <f ca="1">IFERROR(__xludf.DUMMYFUNCTION("""COMPUTED_VALUE"""),1992)</f>
        <v>1992</v>
      </c>
      <c r="G2097" s="1">
        <f ca="1">IFERROR(__xludf.DUMMYFUNCTION("""COMPUTED_VALUE"""),377)</f>
        <v>377</v>
      </c>
      <c r="H2097" s="1" t="str">
        <f ca="1">IFERROR(__xludf.DUMMYFUNCTION("""COMPUTED_VALUE"""),"MTLSZ000377A19")</f>
        <v>MTLSZ000377A19</v>
      </c>
      <c r="I2097" s="2">
        <f ca="1">IFERROR(__xludf.DUMMYFUNCTION("""COMPUTED_VALUE"""),43748)</f>
        <v>43748</v>
      </c>
      <c r="J2097" s="2">
        <f ca="1">IFERROR(__xludf.DUMMYFUNCTION("""COMPUTED_VALUE"""),44113)</f>
        <v>44113</v>
      </c>
    </row>
    <row r="2098" spans="1:10" x14ac:dyDescent="0.25">
      <c r="A2098" s="1" t="str">
        <f ca="1">IFERROR(__xludf.DUMMYFUNCTION("""COMPUTED_VALUE"""),"DSK")</f>
        <v>DSK</v>
      </c>
      <c r="B2098" s="1" t="str">
        <f ca="1">IFERROR(__xludf.DUMMYFUNCTION("""COMPUTED_VALUE"""),"Szabó Katalin")</f>
        <v>Szabó Katalin</v>
      </c>
      <c r="C2098" s="1"/>
      <c r="D2098" s="1" t="str">
        <f ca="1">IFERROR(__xludf.DUMMYFUNCTION("""COMPUTED_VALUE"""),"Nő")</f>
        <v>Nő</v>
      </c>
      <c r="E2098" s="1"/>
      <c r="F2098" s="1">
        <f ca="1">IFERROR(__xludf.DUMMYFUNCTION("""COMPUTED_VALUE"""),1969)</f>
        <v>1969</v>
      </c>
      <c r="G2098" s="1">
        <f ca="1">IFERROR(__xludf.DUMMYFUNCTION("""COMPUTED_VALUE"""),896)</f>
        <v>896</v>
      </c>
      <c r="H2098" s="1" t="str">
        <f ca="1">IFERROR(__xludf.DUMMYFUNCTION("""COMPUTED_VALUE"""),"MTLSZ000896A19")</f>
        <v>MTLSZ000896A19</v>
      </c>
      <c r="I2098" s="2">
        <f ca="1">IFERROR(__xludf.DUMMYFUNCTION("""COMPUTED_VALUE"""),43748)</f>
        <v>43748</v>
      </c>
      <c r="J2098" s="2">
        <f ca="1">IFERROR(__xludf.DUMMYFUNCTION("""COMPUTED_VALUE"""),44113)</f>
        <v>44113</v>
      </c>
    </row>
    <row r="2099" spans="1:10" x14ac:dyDescent="0.25">
      <c r="A2099" s="1" t="str">
        <f ca="1">IFERROR(__xludf.DUMMYFUNCTION("""COMPUTED_VALUE"""),"Győri TSE")</f>
        <v>Győri TSE</v>
      </c>
      <c r="B2099" s="1" t="str">
        <f ca="1">IFERROR(__xludf.DUMMYFUNCTION("""COMPUTED_VALUE"""),"Keresztes-Nagy Anett")</f>
        <v>Keresztes-Nagy Anett</v>
      </c>
      <c r="C2099" s="1"/>
      <c r="D2099" s="1" t="str">
        <f ca="1">IFERROR(__xludf.DUMMYFUNCTION("""COMPUTED_VALUE"""),"Nő")</f>
        <v>Nő</v>
      </c>
      <c r="E2099" s="1"/>
      <c r="F2099" s="1">
        <f ca="1">IFERROR(__xludf.DUMMYFUNCTION("""COMPUTED_VALUE"""),1976)</f>
        <v>1976</v>
      </c>
      <c r="G2099" s="1">
        <f ca="1">IFERROR(__xludf.DUMMYFUNCTION("""COMPUTED_VALUE"""),2307)</f>
        <v>2307</v>
      </c>
      <c r="H2099" s="1" t="str">
        <f ca="1">IFERROR(__xludf.DUMMYFUNCTION("""COMPUTED_VALUE"""),"MTLSZ002307A19")</f>
        <v>MTLSZ002307A19</v>
      </c>
      <c r="I2099" s="2">
        <f ca="1">IFERROR(__xludf.DUMMYFUNCTION("""COMPUTED_VALUE"""),43748)</f>
        <v>43748</v>
      </c>
      <c r="J2099" s="2">
        <f ca="1">IFERROR(__xludf.DUMMYFUNCTION("""COMPUTED_VALUE"""),44113)</f>
        <v>44113</v>
      </c>
    </row>
    <row r="2100" spans="1:10" x14ac:dyDescent="0.25">
      <c r="A2100" s="1" t="str">
        <f ca="1">IFERROR(__xludf.DUMMYFUNCTION("""COMPUTED_VALUE"""),"Győri TSE")</f>
        <v>Győri TSE</v>
      </c>
      <c r="B2100" s="1" t="str">
        <f ca="1">IFERROR(__xludf.DUMMYFUNCTION("""COMPUTED_VALUE"""),"Sipos Nóra")</f>
        <v>Sipos Nóra</v>
      </c>
      <c r="C2100" s="1"/>
      <c r="D2100" s="1" t="str">
        <f ca="1">IFERROR(__xludf.DUMMYFUNCTION("""COMPUTED_VALUE"""),"Nő")</f>
        <v>Nő</v>
      </c>
      <c r="E2100" s="1"/>
      <c r="F2100" s="1">
        <f ca="1">IFERROR(__xludf.DUMMYFUNCTION("""COMPUTED_VALUE"""),2002)</f>
        <v>2002</v>
      </c>
      <c r="G2100" s="1">
        <f ca="1">IFERROR(__xludf.DUMMYFUNCTION("""COMPUTED_VALUE"""),3203)</f>
        <v>3203</v>
      </c>
      <c r="H2100" s="1" t="str">
        <f ca="1">IFERROR(__xludf.DUMMYFUNCTION("""COMPUTED_VALUE"""),"MTLSZ003203A19")</f>
        <v>MTLSZ003203A19</v>
      </c>
      <c r="I2100" s="2">
        <f ca="1">IFERROR(__xludf.DUMMYFUNCTION("""COMPUTED_VALUE"""),43748)</f>
        <v>43748</v>
      </c>
      <c r="J2100" s="2">
        <f ca="1">IFERROR(__xludf.DUMMYFUNCTION("""COMPUTED_VALUE"""),44113)</f>
        <v>44113</v>
      </c>
    </row>
    <row r="2101" spans="1:10" x14ac:dyDescent="0.25">
      <c r="A2101" s="1" t="str">
        <f ca="1">IFERROR(__xludf.DUMMYFUNCTION("""COMPUTED_VALUE"""),"Győri TSE")</f>
        <v>Győri TSE</v>
      </c>
      <c r="B2101" s="1" t="str">
        <f ca="1">IFERROR(__xludf.DUMMYFUNCTION("""COMPUTED_VALUE"""),"Szalay Balázs")</f>
        <v>Szalay Balázs</v>
      </c>
      <c r="C2101" s="1"/>
      <c r="D2101" s="1" t="str">
        <f ca="1">IFERROR(__xludf.DUMMYFUNCTION("""COMPUTED_VALUE"""),"Férfi")</f>
        <v>Férfi</v>
      </c>
      <c r="E2101" s="1"/>
      <c r="F2101" s="1">
        <f ca="1">IFERROR(__xludf.DUMMYFUNCTION("""COMPUTED_VALUE"""),2002)</f>
        <v>2002</v>
      </c>
      <c r="G2101" s="1">
        <f ca="1">IFERROR(__xludf.DUMMYFUNCTION("""COMPUTED_VALUE"""),3204)</f>
        <v>3204</v>
      </c>
      <c r="H2101" s="1" t="str">
        <f ca="1">IFERROR(__xludf.DUMMYFUNCTION("""COMPUTED_VALUE"""),"MTLSZ003204A19")</f>
        <v>MTLSZ003204A19</v>
      </c>
      <c r="I2101" s="2">
        <f ca="1">IFERROR(__xludf.DUMMYFUNCTION("""COMPUTED_VALUE"""),43748)</f>
        <v>43748</v>
      </c>
      <c r="J2101" s="2">
        <f ca="1">IFERROR(__xludf.DUMMYFUNCTION("""COMPUTED_VALUE"""),44113)</f>
        <v>44113</v>
      </c>
    </row>
    <row r="2102" spans="1:10" x14ac:dyDescent="0.25">
      <c r="A2102" s="1" t="str">
        <f ca="1">IFERROR(__xludf.DUMMYFUNCTION("""COMPUTED_VALUE"""),"Győri TSE")</f>
        <v>Győri TSE</v>
      </c>
      <c r="B2102" s="1" t="str">
        <f ca="1">IFERROR(__xludf.DUMMYFUNCTION("""COMPUTED_VALUE"""),"Tóth Máté")</f>
        <v>Tóth Máté</v>
      </c>
      <c r="C2102" s="1"/>
      <c r="D2102" s="1" t="str">
        <f ca="1">IFERROR(__xludf.DUMMYFUNCTION("""COMPUTED_VALUE"""),"Férfi")</f>
        <v>Férfi</v>
      </c>
      <c r="E2102" s="1"/>
      <c r="F2102" s="1">
        <f ca="1">IFERROR(__xludf.DUMMYFUNCTION("""COMPUTED_VALUE"""),2004)</f>
        <v>2004</v>
      </c>
      <c r="G2102" s="1">
        <f ca="1">IFERROR(__xludf.DUMMYFUNCTION("""COMPUTED_VALUE"""),3262)</f>
        <v>3262</v>
      </c>
      <c r="H2102" s="1" t="str">
        <f ca="1">IFERROR(__xludf.DUMMYFUNCTION("""COMPUTED_VALUE"""),"MTLSZ003262A19")</f>
        <v>MTLSZ003262A19</v>
      </c>
      <c r="I2102" s="2">
        <f ca="1">IFERROR(__xludf.DUMMYFUNCTION("""COMPUTED_VALUE"""),43748)</f>
        <v>43748</v>
      </c>
      <c r="J2102" s="2">
        <f ca="1">IFERROR(__xludf.DUMMYFUNCTION("""COMPUTED_VALUE"""),44113)</f>
        <v>44113</v>
      </c>
    </row>
    <row r="2103" spans="1:10" x14ac:dyDescent="0.25">
      <c r="A2103" s="1" t="str">
        <f ca="1">IFERROR(__xludf.DUMMYFUNCTION("""COMPUTED_VALUE"""),"Kék Sólymok SE")</f>
        <v>Kék Sólymok SE</v>
      </c>
      <c r="B2103" s="1" t="str">
        <f ca="1">IFERROR(__xludf.DUMMYFUNCTION("""COMPUTED_VALUE"""),"Hámori Tamás")</f>
        <v>Hámori Tamás</v>
      </c>
      <c r="C2103" s="1"/>
      <c r="D2103" s="1" t="str">
        <f ca="1">IFERROR(__xludf.DUMMYFUNCTION("""COMPUTED_VALUE"""),"Férfi")</f>
        <v>Férfi</v>
      </c>
      <c r="E2103" s="1"/>
      <c r="F2103" s="1">
        <f ca="1">IFERROR(__xludf.DUMMYFUNCTION("""COMPUTED_VALUE"""),2005)</f>
        <v>2005</v>
      </c>
      <c r="G2103" s="1">
        <f ca="1">IFERROR(__xludf.DUMMYFUNCTION("""COMPUTED_VALUE"""),3340)</f>
        <v>3340</v>
      </c>
      <c r="H2103" s="1" t="str">
        <f ca="1">IFERROR(__xludf.DUMMYFUNCTION("""COMPUTED_VALUE"""),"MTLSZ003340A19")</f>
        <v>MTLSZ003340A19</v>
      </c>
      <c r="I2103" s="2">
        <f ca="1">IFERROR(__xludf.DUMMYFUNCTION("""COMPUTED_VALUE"""),43747)</f>
        <v>43747</v>
      </c>
      <c r="J2103" s="2">
        <f ca="1">IFERROR(__xludf.DUMMYFUNCTION("""COMPUTED_VALUE"""),44112)</f>
        <v>44112</v>
      </c>
    </row>
    <row r="2104" spans="1:10" x14ac:dyDescent="0.25">
      <c r="A2104" s="1" t="str">
        <f ca="1">IFERROR(__xludf.DUMMYFUNCTION("""COMPUTED_VALUE"""),"Kék Sólymok SE")</f>
        <v>Kék Sólymok SE</v>
      </c>
      <c r="B2104" s="1" t="str">
        <f ca="1">IFERROR(__xludf.DUMMYFUNCTION("""COMPUTED_VALUE"""),"Mészáros Mónika")</f>
        <v>Mészáros Mónika</v>
      </c>
      <c r="C2104" s="1"/>
      <c r="D2104" s="1" t="str">
        <f ca="1">IFERROR(__xludf.DUMMYFUNCTION("""COMPUTED_VALUE"""),"Nő")</f>
        <v>Nő</v>
      </c>
      <c r="E2104" s="1"/>
      <c r="F2104" s="1">
        <f ca="1">IFERROR(__xludf.DUMMYFUNCTION("""COMPUTED_VALUE"""),1980)</f>
        <v>1980</v>
      </c>
      <c r="G2104" s="1">
        <f ca="1">IFERROR(__xludf.DUMMYFUNCTION("""COMPUTED_VALUE"""),3429)</f>
        <v>3429</v>
      </c>
      <c r="H2104" s="1" t="str">
        <f ca="1">IFERROR(__xludf.DUMMYFUNCTION("""COMPUTED_VALUE"""),"MTLSZ003429A19")</f>
        <v>MTLSZ003429A19</v>
      </c>
      <c r="I2104" s="2">
        <f ca="1">IFERROR(__xludf.DUMMYFUNCTION("""COMPUTED_VALUE"""),43747)</f>
        <v>43747</v>
      </c>
      <c r="J2104" s="2">
        <f ca="1">IFERROR(__xludf.DUMMYFUNCTION("""COMPUTED_VALUE"""),44112)</f>
        <v>44112</v>
      </c>
    </row>
    <row r="2105" spans="1:10" x14ac:dyDescent="0.25">
      <c r="A2105" s="1" t="str">
        <f ca="1">IFERROR(__xludf.DUMMYFUNCTION("""COMPUTED_VALUE"""),"Kék Sólymok SE")</f>
        <v>Kék Sólymok SE</v>
      </c>
      <c r="B2105" s="1" t="str">
        <f ca="1">IFERROR(__xludf.DUMMYFUNCTION("""COMPUTED_VALUE"""),"Pozsonyi Eszter")</f>
        <v>Pozsonyi Eszter</v>
      </c>
      <c r="C2105" s="1"/>
      <c r="D2105" s="1" t="str">
        <f ca="1">IFERROR(__xludf.DUMMYFUNCTION("""COMPUTED_VALUE"""),"Nő")</f>
        <v>Nő</v>
      </c>
      <c r="E2105" s="1"/>
      <c r="F2105" s="1">
        <f ca="1">IFERROR(__xludf.DUMMYFUNCTION("""COMPUTED_VALUE"""),2006)</f>
        <v>2006</v>
      </c>
      <c r="G2105" s="1">
        <f ca="1">IFERROR(__xludf.DUMMYFUNCTION("""COMPUTED_VALUE"""),3339)</f>
        <v>3339</v>
      </c>
      <c r="H2105" s="1" t="str">
        <f ca="1">IFERROR(__xludf.DUMMYFUNCTION("""COMPUTED_VALUE"""),"MTLSZ003339A19")</f>
        <v>MTLSZ003339A19</v>
      </c>
      <c r="I2105" s="2">
        <f ca="1">IFERROR(__xludf.DUMMYFUNCTION("""COMPUTED_VALUE"""),43747)</f>
        <v>43747</v>
      </c>
      <c r="J2105" s="2">
        <f ca="1">IFERROR(__xludf.DUMMYFUNCTION("""COMPUTED_VALUE"""),44112)</f>
        <v>44112</v>
      </c>
    </row>
    <row r="2106" spans="1:10" x14ac:dyDescent="0.25">
      <c r="A2106" s="1" t="str">
        <f ca="1">IFERROR(__xludf.DUMMYFUNCTION("""COMPUTED_VALUE"""),"Kék Sólymok SE")</f>
        <v>Kék Sólymok SE</v>
      </c>
      <c r="B2106" s="1" t="str">
        <f ca="1">IFERROR(__xludf.DUMMYFUNCTION("""COMPUTED_VALUE"""),"Tóth Kristóf")</f>
        <v>Tóth Kristóf</v>
      </c>
      <c r="C2106" s="1"/>
      <c r="D2106" s="1" t="str">
        <f ca="1">IFERROR(__xludf.DUMMYFUNCTION("""COMPUTED_VALUE"""),"Férfi")</f>
        <v>Férfi</v>
      </c>
      <c r="E2106" s="1"/>
      <c r="F2106" s="1">
        <f ca="1">IFERROR(__xludf.DUMMYFUNCTION("""COMPUTED_VALUE"""),2007)</f>
        <v>2007</v>
      </c>
      <c r="G2106" s="1">
        <f ca="1">IFERROR(__xludf.DUMMYFUNCTION("""COMPUTED_VALUE"""),3432)</f>
        <v>3432</v>
      </c>
      <c r="H2106" s="1" t="str">
        <f ca="1">IFERROR(__xludf.DUMMYFUNCTION("""COMPUTED_VALUE"""),"MTLSZ003432A19")</f>
        <v>MTLSZ003432A19</v>
      </c>
      <c r="I2106" s="2">
        <f ca="1">IFERROR(__xludf.DUMMYFUNCTION("""COMPUTED_VALUE"""),43747)</f>
        <v>43747</v>
      </c>
      <c r="J2106" s="2">
        <f ca="1">IFERROR(__xludf.DUMMYFUNCTION("""COMPUTED_VALUE"""),44112)</f>
        <v>44112</v>
      </c>
    </row>
    <row r="2107" spans="1:10" x14ac:dyDescent="0.25">
      <c r="A2107" s="1" t="str">
        <f ca="1">IFERROR(__xludf.DUMMYFUNCTION("""COMPUTED_VALUE"""),"Bodajki TSE")</f>
        <v>Bodajki TSE</v>
      </c>
      <c r="B2107" s="1" t="str">
        <f ca="1">IFERROR(__xludf.DUMMYFUNCTION("""COMPUTED_VALUE"""),"Grell Anna Bíborka")</f>
        <v>Grell Anna Bíborka</v>
      </c>
      <c r="C2107" s="1"/>
      <c r="D2107" s="1" t="str">
        <f ca="1">IFERROR(__xludf.DUMMYFUNCTION("""COMPUTED_VALUE"""),"Nő")</f>
        <v>Nő</v>
      </c>
      <c r="E2107" s="1"/>
      <c r="F2107" s="1">
        <f ca="1">IFERROR(__xludf.DUMMYFUNCTION("""COMPUTED_VALUE"""),2006)</f>
        <v>2006</v>
      </c>
      <c r="G2107" s="1">
        <f ca="1">IFERROR(__xludf.DUMMYFUNCTION("""COMPUTED_VALUE"""),3441)</f>
        <v>3441</v>
      </c>
      <c r="H2107" s="1" t="str">
        <f ca="1">IFERROR(__xludf.DUMMYFUNCTION("""COMPUTED_VALUE"""),"MTLSZ003441A19")</f>
        <v>MTLSZ003441A19</v>
      </c>
      <c r="I2107" s="2">
        <f ca="1">IFERROR(__xludf.DUMMYFUNCTION("""COMPUTED_VALUE"""),43745)</f>
        <v>43745</v>
      </c>
      <c r="J2107" s="2">
        <f ca="1">IFERROR(__xludf.DUMMYFUNCTION("""COMPUTED_VALUE"""),44110)</f>
        <v>44110</v>
      </c>
    </row>
    <row r="2108" spans="1:10" x14ac:dyDescent="0.25">
      <c r="A2108" s="1" t="str">
        <f ca="1">IFERROR(__xludf.DUMMYFUNCTION("""COMPUTED_VALUE"""),"Bodajki TSE")</f>
        <v>Bodajki TSE</v>
      </c>
      <c r="B2108" s="1" t="str">
        <f ca="1">IFERROR(__xludf.DUMMYFUNCTION("""COMPUTED_VALUE"""),"Lampert Kende")</f>
        <v>Lampert Kende</v>
      </c>
      <c r="C2108" s="1"/>
      <c r="D2108" s="1" t="str">
        <f ca="1">IFERROR(__xludf.DUMMYFUNCTION("""COMPUTED_VALUE"""),"Férfi")</f>
        <v>Férfi</v>
      </c>
      <c r="E2108" s="1"/>
      <c r="F2108" s="1">
        <f ca="1">IFERROR(__xludf.DUMMYFUNCTION("""COMPUTED_VALUE"""),2002)</f>
        <v>2002</v>
      </c>
      <c r="G2108" s="1">
        <f ca="1">IFERROR(__xludf.DUMMYFUNCTION("""COMPUTED_VALUE"""),2476)</f>
        <v>2476</v>
      </c>
      <c r="H2108" s="1" t="str">
        <f ca="1">IFERROR(__xludf.DUMMYFUNCTION("""COMPUTED_VALUE"""),"MTLSZ002476A19")</f>
        <v>MTLSZ002476A19</v>
      </c>
      <c r="I2108" s="2">
        <f ca="1">IFERROR(__xludf.DUMMYFUNCTION("""COMPUTED_VALUE"""),43745)</f>
        <v>43745</v>
      </c>
      <c r="J2108" s="2">
        <f ca="1">IFERROR(__xludf.DUMMYFUNCTION("""COMPUTED_VALUE"""),44110)</f>
        <v>44110</v>
      </c>
    </row>
    <row r="2109" spans="1:10" x14ac:dyDescent="0.25">
      <c r="A2109" s="1" t="str">
        <f ca="1">IFERROR(__xludf.DUMMYFUNCTION("""COMPUTED_VALUE"""),"Seregélyesi PDSE")</f>
        <v>Seregélyesi PDSE</v>
      </c>
      <c r="B2109" s="1" t="str">
        <f ca="1">IFERROR(__xludf.DUMMYFUNCTION("""COMPUTED_VALUE"""),"Dulcz Domos")</f>
        <v>Dulcz Domos</v>
      </c>
      <c r="C2109" s="1"/>
      <c r="D2109" s="1" t="str">
        <f ca="1">IFERROR(__xludf.DUMMYFUNCTION("""COMPUTED_VALUE"""),"Férfi")</f>
        <v>Férfi</v>
      </c>
      <c r="E2109" s="1"/>
      <c r="F2109" s="1">
        <f ca="1">IFERROR(__xludf.DUMMYFUNCTION("""COMPUTED_VALUE"""),2006)</f>
        <v>2006</v>
      </c>
      <c r="G2109" s="1">
        <f ca="1">IFERROR(__xludf.DUMMYFUNCTION("""COMPUTED_VALUE"""),2743)</f>
        <v>2743</v>
      </c>
      <c r="H2109" s="1" t="str">
        <f ca="1">IFERROR(__xludf.DUMMYFUNCTION("""COMPUTED_VALUE"""),"MTLSZ002743A19")</f>
        <v>MTLSZ002743A19</v>
      </c>
      <c r="I2109" s="2">
        <f ca="1">IFERROR(__xludf.DUMMYFUNCTION("""COMPUTED_VALUE"""),43745)</f>
        <v>43745</v>
      </c>
      <c r="J2109" s="2">
        <f ca="1">IFERROR(__xludf.DUMMYFUNCTION("""COMPUTED_VALUE"""),44110)</f>
        <v>44110</v>
      </c>
    </row>
    <row r="2110" spans="1:10" x14ac:dyDescent="0.25">
      <c r="A2110" s="1" t="str">
        <f ca="1">IFERROR(__xludf.DUMMYFUNCTION("""COMPUTED_VALUE"""),"OSC")</f>
        <v>OSC</v>
      </c>
      <c r="B2110" s="1" t="str">
        <f ca="1">IFERROR(__xludf.DUMMYFUNCTION("""COMPUTED_VALUE"""),"Deng Shao Jie")</f>
        <v>Deng Shao Jie</v>
      </c>
      <c r="C2110" s="1"/>
      <c r="D2110" s="1" t="str">
        <f ca="1">IFERROR(__xludf.DUMMYFUNCTION("""COMPUTED_VALUE"""),"Férfi")</f>
        <v>Férfi</v>
      </c>
      <c r="E2110" s="1"/>
      <c r="F2110" s="1">
        <f ca="1">IFERROR(__xludf.DUMMYFUNCTION("""COMPUTED_VALUE"""),2006)</f>
        <v>2006</v>
      </c>
      <c r="G2110" s="1">
        <f ca="1">IFERROR(__xludf.DUMMYFUNCTION("""COMPUTED_VALUE"""),3080)</f>
        <v>3080</v>
      </c>
      <c r="H2110" s="1" t="str">
        <f ca="1">IFERROR(__xludf.DUMMYFUNCTION("""COMPUTED_VALUE"""),"MTLSZ003080A19")</f>
        <v>MTLSZ003080A19</v>
      </c>
      <c r="I2110" s="2">
        <f ca="1">IFERROR(__xludf.DUMMYFUNCTION("""COMPUTED_VALUE"""),43742)</f>
        <v>43742</v>
      </c>
      <c r="J2110" s="2">
        <f ca="1">IFERROR(__xludf.DUMMYFUNCTION("""COMPUTED_VALUE"""),44107)</f>
        <v>44107</v>
      </c>
    </row>
    <row r="2111" spans="1:10" x14ac:dyDescent="0.25">
      <c r="A2111" s="1" t="str">
        <f ca="1">IFERROR(__xludf.DUMMYFUNCTION("""COMPUTED_VALUE"""),"OSC")</f>
        <v>OSC</v>
      </c>
      <c r="B2111" s="1" t="str">
        <f ca="1">IFERROR(__xludf.DUMMYFUNCTION("""COMPUTED_VALUE"""),"Herbert Noémi")</f>
        <v>Herbert Noémi</v>
      </c>
      <c r="C2111" s="1"/>
      <c r="D2111" s="1" t="str">
        <f ca="1">IFERROR(__xludf.DUMMYFUNCTION("""COMPUTED_VALUE"""),"Nő")</f>
        <v>Nő</v>
      </c>
      <c r="E2111" s="1"/>
      <c r="F2111" s="1">
        <f ca="1">IFERROR(__xludf.DUMMYFUNCTION("""COMPUTED_VALUE"""),2007)</f>
        <v>2007</v>
      </c>
      <c r="G2111" s="1">
        <f ca="1">IFERROR(__xludf.DUMMYFUNCTION("""COMPUTED_VALUE"""),3437)</f>
        <v>3437</v>
      </c>
      <c r="H2111" s="1" t="str">
        <f ca="1">IFERROR(__xludf.DUMMYFUNCTION("""COMPUTED_VALUE"""),"MTLSZ003437A19")</f>
        <v>MTLSZ003437A19</v>
      </c>
      <c r="I2111" s="2">
        <f ca="1">IFERROR(__xludf.DUMMYFUNCTION("""COMPUTED_VALUE"""),43742)</f>
        <v>43742</v>
      </c>
      <c r="J2111" s="2">
        <f ca="1">IFERROR(__xludf.DUMMYFUNCTION("""COMPUTED_VALUE"""),44107)</f>
        <v>44107</v>
      </c>
    </row>
    <row r="2112" spans="1:10" x14ac:dyDescent="0.25">
      <c r="A2112" s="1" t="str">
        <f ca="1">IFERROR(__xludf.DUMMYFUNCTION("""COMPUTED_VALUE"""),"Seregélyesi PDSE")</f>
        <v>Seregélyesi PDSE</v>
      </c>
      <c r="B2112" s="1" t="str">
        <f ca="1">IFERROR(__xludf.DUMMYFUNCTION("""COMPUTED_VALUE"""),"Alföldi Anna")</f>
        <v>Alföldi Anna</v>
      </c>
      <c r="C2112" s="1"/>
      <c r="D2112" s="1" t="str">
        <f ca="1">IFERROR(__xludf.DUMMYFUNCTION("""COMPUTED_VALUE"""),"Nő")</f>
        <v>Nő</v>
      </c>
      <c r="E2112" s="1"/>
      <c r="F2112" s="1">
        <f ca="1">IFERROR(__xludf.DUMMYFUNCTION("""COMPUTED_VALUE"""),2009)</f>
        <v>2009</v>
      </c>
      <c r="G2112" s="1">
        <f ca="1">IFERROR(__xludf.DUMMYFUNCTION("""COMPUTED_VALUE"""),3269)</f>
        <v>3269</v>
      </c>
      <c r="H2112" s="1" t="str">
        <f ca="1">IFERROR(__xludf.DUMMYFUNCTION("""COMPUTED_VALUE"""),"MTLSZ003269A19")</f>
        <v>MTLSZ003269A19</v>
      </c>
      <c r="I2112" s="2">
        <f ca="1">IFERROR(__xludf.DUMMYFUNCTION("""COMPUTED_VALUE"""),43742)</f>
        <v>43742</v>
      </c>
      <c r="J2112" s="2">
        <f ca="1">IFERROR(__xludf.DUMMYFUNCTION("""COMPUTED_VALUE"""),44107)</f>
        <v>44107</v>
      </c>
    </row>
    <row r="2113" spans="1:10" x14ac:dyDescent="0.25">
      <c r="A2113" s="1" t="str">
        <f ca="1">IFERROR(__xludf.DUMMYFUNCTION("""COMPUTED_VALUE"""),"T(r)ollas SE")</f>
        <v>T(r)ollas SE</v>
      </c>
      <c r="B2113" s="1" t="str">
        <f ca="1">IFERROR(__xludf.DUMMYFUNCTION("""COMPUTED_VALUE"""),"Aranyosi Sebestyén")</f>
        <v>Aranyosi Sebestyén</v>
      </c>
      <c r="C2113" s="1"/>
      <c r="D2113" s="1" t="str">
        <f ca="1">IFERROR(__xludf.DUMMYFUNCTION("""COMPUTED_VALUE"""),"Férfi")</f>
        <v>Férfi</v>
      </c>
      <c r="E2113" s="1"/>
      <c r="F2113" s="1">
        <f ca="1">IFERROR(__xludf.DUMMYFUNCTION("""COMPUTED_VALUE"""),2008)</f>
        <v>2008</v>
      </c>
      <c r="G2113" s="1">
        <f ca="1">IFERROR(__xludf.DUMMYFUNCTION("""COMPUTED_VALUE"""),3436)</f>
        <v>3436</v>
      </c>
      <c r="H2113" s="1" t="str">
        <f ca="1">IFERROR(__xludf.DUMMYFUNCTION("""COMPUTED_VALUE"""),"MTLSZ003436A19")</f>
        <v>MTLSZ003436A19</v>
      </c>
      <c r="I2113" s="2">
        <f ca="1">IFERROR(__xludf.DUMMYFUNCTION("""COMPUTED_VALUE"""),43742)</f>
        <v>43742</v>
      </c>
      <c r="J2113" s="2">
        <f ca="1">IFERROR(__xludf.DUMMYFUNCTION("""COMPUTED_VALUE"""),44107)</f>
        <v>44107</v>
      </c>
    </row>
    <row r="2114" spans="1:10" x14ac:dyDescent="0.25">
      <c r="A2114" s="1" t="str">
        <f ca="1">IFERROR(__xludf.DUMMYFUNCTION("""COMPUTED_VALUE"""),"Pillangó TK")</f>
        <v>Pillangó TK</v>
      </c>
      <c r="B2114" s="1" t="str">
        <f ca="1">IFERROR(__xludf.DUMMYFUNCTION("""COMPUTED_VALUE"""),"Varga Járó Csaba")</f>
        <v>Varga Járó Csaba</v>
      </c>
      <c r="C2114" s="1"/>
      <c r="D2114" s="1" t="str">
        <f ca="1">IFERROR(__xludf.DUMMYFUNCTION("""COMPUTED_VALUE"""),"Férfi")</f>
        <v>Férfi</v>
      </c>
      <c r="E2114" s="1"/>
      <c r="F2114" s="1">
        <f ca="1">IFERROR(__xludf.DUMMYFUNCTION("""COMPUTED_VALUE"""),1968)</f>
        <v>1968</v>
      </c>
      <c r="G2114" s="1">
        <f ca="1">IFERROR(__xludf.DUMMYFUNCTION("""COMPUTED_VALUE"""),2333)</f>
        <v>2333</v>
      </c>
      <c r="H2114" s="1" t="str">
        <f ca="1">IFERROR(__xludf.DUMMYFUNCTION("""COMPUTED_VALUE"""),"MTLSZ002333A19")</f>
        <v>MTLSZ002333A19</v>
      </c>
      <c r="I2114" s="2">
        <f ca="1">IFERROR(__xludf.DUMMYFUNCTION("""COMPUTED_VALUE"""),43740)</f>
        <v>43740</v>
      </c>
      <c r="J2114" s="2">
        <f ca="1">IFERROR(__xludf.DUMMYFUNCTION("""COMPUTED_VALUE"""),44105)</f>
        <v>44105</v>
      </c>
    </row>
    <row r="2115" spans="1:10" x14ac:dyDescent="0.25">
      <c r="A2115" s="1" t="str">
        <f ca="1">IFERROR(__xludf.DUMMYFUNCTION("""COMPUTED_VALUE"""),"Talentum TSE")</f>
        <v>Talentum TSE</v>
      </c>
      <c r="B2115" s="1" t="str">
        <f ca="1">IFERROR(__xludf.DUMMYFUNCTION("""COMPUTED_VALUE"""),"Vigh Márton")</f>
        <v>Vigh Márton</v>
      </c>
      <c r="C2115" s="1"/>
      <c r="D2115" s="1" t="str">
        <f ca="1">IFERROR(__xludf.DUMMYFUNCTION("""COMPUTED_VALUE"""),"Férfi")</f>
        <v>Férfi</v>
      </c>
      <c r="E2115" s="1"/>
      <c r="F2115" s="1">
        <f ca="1">IFERROR(__xludf.DUMMYFUNCTION("""COMPUTED_VALUE"""),2002)</f>
        <v>2002</v>
      </c>
      <c r="G2115" s="1">
        <f ca="1">IFERROR(__xludf.DUMMYFUNCTION("""COMPUTED_VALUE"""),2942)</f>
        <v>2942</v>
      </c>
      <c r="H2115" s="1" t="str">
        <f ca="1">IFERROR(__xludf.DUMMYFUNCTION("""COMPUTED_VALUE"""),"MTLSZ002942A19")</f>
        <v>MTLSZ002942A19</v>
      </c>
      <c r="I2115" s="2">
        <f ca="1">IFERROR(__xludf.DUMMYFUNCTION("""COMPUTED_VALUE"""),43740)</f>
        <v>43740</v>
      </c>
      <c r="J2115" s="2">
        <f ca="1">IFERROR(__xludf.DUMMYFUNCTION("""COMPUTED_VALUE"""),44105)</f>
        <v>44105</v>
      </c>
    </row>
    <row r="2116" spans="1:10" x14ac:dyDescent="0.25">
      <c r="A2116" s="1" t="str">
        <f ca="1">IFERROR(__xludf.DUMMYFUNCTION("""COMPUTED_VALUE"""),"Seregélyesi PDSE")</f>
        <v>Seregélyesi PDSE</v>
      </c>
      <c r="B2116" s="1" t="str">
        <f ca="1">IFERROR(__xludf.DUMMYFUNCTION("""COMPUTED_VALUE"""),"Majdán Zsolt")</f>
        <v>Majdán Zsolt</v>
      </c>
      <c r="C2116" s="1"/>
      <c r="D2116" s="1" t="str">
        <f ca="1">IFERROR(__xludf.DUMMYFUNCTION("""COMPUTED_VALUE"""),"Férfi")</f>
        <v>Férfi</v>
      </c>
      <c r="E2116" s="1"/>
      <c r="F2116" s="1">
        <f ca="1">IFERROR(__xludf.DUMMYFUNCTION("""COMPUTED_VALUE"""),2008)</f>
        <v>2008</v>
      </c>
      <c r="G2116" s="1">
        <f ca="1">IFERROR(__xludf.DUMMYFUNCTION("""COMPUTED_VALUE"""),3074)</f>
        <v>3074</v>
      </c>
      <c r="H2116" s="1" t="str">
        <f ca="1">IFERROR(__xludf.DUMMYFUNCTION("""COMPUTED_VALUE"""),"MTLSZ003074A19")</f>
        <v>MTLSZ003074A19</v>
      </c>
      <c r="I2116" s="2">
        <f ca="1">IFERROR(__xludf.DUMMYFUNCTION("""COMPUTED_VALUE"""),43739)</f>
        <v>43739</v>
      </c>
      <c r="J2116" s="2">
        <f ca="1">IFERROR(__xludf.DUMMYFUNCTION("""COMPUTED_VALUE"""),44104)</f>
        <v>44104</v>
      </c>
    </row>
    <row r="2117" spans="1:10" x14ac:dyDescent="0.25">
      <c r="A2117" s="1" t="str">
        <f ca="1">IFERROR(__xludf.DUMMYFUNCTION("""COMPUTED_VALUE"""),"Veszprémi TE")</f>
        <v>Veszprémi TE</v>
      </c>
      <c r="B2117" s="1" t="str">
        <f ca="1">IFERROR(__xludf.DUMMYFUNCTION("""COMPUTED_VALUE"""),"Fekete Csongor")</f>
        <v>Fekete Csongor</v>
      </c>
      <c r="C2117" s="1"/>
      <c r="D2117" s="1" t="str">
        <f ca="1">IFERROR(__xludf.DUMMYFUNCTION("""COMPUTED_VALUE"""),"Férfi")</f>
        <v>Férfi</v>
      </c>
      <c r="E2117" s="1"/>
      <c r="F2117" s="1">
        <f ca="1">IFERROR(__xludf.DUMMYFUNCTION("""COMPUTED_VALUE"""),1974)</f>
        <v>1974</v>
      </c>
      <c r="G2117" s="1">
        <f ca="1">IFERROR(__xludf.DUMMYFUNCTION("""COMPUTED_VALUE"""),2982)</f>
        <v>2982</v>
      </c>
      <c r="H2117" s="1" t="str">
        <f ca="1">IFERROR(__xludf.DUMMYFUNCTION("""COMPUTED_VALUE"""),"MTLSZ002982A19")</f>
        <v>MTLSZ002982A19</v>
      </c>
      <c r="I2117" s="2">
        <f ca="1">IFERROR(__xludf.DUMMYFUNCTION("""COMPUTED_VALUE"""),43739)</f>
        <v>43739</v>
      </c>
      <c r="J2117" s="2">
        <f ca="1">IFERROR(__xludf.DUMMYFUNCTION("""COMPUTED_VALUE"""),44104)</f>
        <v>44104</v>
      </c>
    </row>
    <row r="2118" spans="1:10" x14ac:dyDescent="0.25">
      <c r="A2118" s="1" t="str">
        <f ca="1">IFERROR(__xludf.DUMMYFUNCTION("""COMPUTED_VALUE"""),"Kék Sólymok SE")</f>
        <v>Kék Sólymok SE</v>
      </c>
      <c r="B2118" s="1" t="str">
        <f ca="1">IFERROR(__xludf.DUMMYFUNCTION("""COMPUTED_VALUE"""),"Csóka Zsombor Tamás")</f>
        <v>Csóka Zsombor Tamás</v>
      </c>
      <c r="C2118" s="1"/>
      <c r="D2118" s="1" t="str">
        <f ca="1">IFERROR(__xludf.DUMMYFUNCTION("""COMPUTED_VALUE"""),"Férfi")</f>
        <v>Férfi</v>
      </c>
      <c r="E2118" s="1"/>
      <c r="F2118" s="1">
        <f ca="1">IFERROR(__xludf.DUMMYFUNCTION("""COMPUTED_VALUE"""),1998)</f>
        <v>1998</v>
      </c>
      <c r="G2118" s="1">
        <f ca="1">IFERROR(__xludf.DUMMYFUNCTION("""COMPUTED_VALUE"""),3338)</f>
        <v>3338</v>
      </c>
      <c r="H2118" s="1" t="str">
        <f ca="1">IFERROR(__xludf.DUMMYFUNCTION("""COMPUTED_VALUE"""),"MTLSZ003338A19")</f>
        <v>MTLSZ003338A19</v>
      </c>
      <c r="I2118" s="2">
        <f ca="1">IFERROR(__xludf.DUMMYFUNCTION("""COMPUTED_VALUE"""),43738)</f>
        <v>43738</v>
      </c>
      <c r="J2118" s="2">
        <f ca="1">IFERROR(__xludf.DUMMYFUNCTION("""COMPUTED_VALUE"""),44103)</f>
        <v>44103</v>
      </c>
    </row>
    <row r="2119" spans="1:10" x14ac:dyDescent="0.25">
      <c r="A2119" s="1" t="str">
        <f ca="1">IFERROR(__xludf.DUMMYFUNCTION("""COMPUTED_VALUE"""),"Újpest TSE")</f>
        <v>Újpest TSE</v>
      </c>
      <c r="B2119" s="1" t="str">
        <f ca="1">IFERROR(__xludf.DUMMYFUNCTION("""COMPUTED_VALUE"""),"Doránt Zsanett")</f>
        <v>Doránt Zsanett</v>
      </c>
      <c r="C2119" s="1"/>
      <c r="D2119" s="1" t="str">
        <f ca="1">IFERROR(__xludf.DUMMYFUNCTION("""COMPUTED_VALUE"""),"Nő")</f>
        <v>Nő</v>
      </c>
      <c r="E2119" s="1"/>
      <c r="F2119" s="1">
        <f ca="1">IFERROR(__xludf.DUMMYFUNCTION("""COMPUTED_VALUE"""),2004)</f>
        <v>2004</v>
      </c>
      <c r="G2119" s="1">
        <f ca="1">IFERROR(__xludf.DUMMYFUNCTION("""COMPUTED_VALUE"""),3433)</f>
        <v>3433</v>
      </c>
      <c r="H2119" s="1" t="str">
        <f ca="1">IFERROR(__xludf.DUMMYFUNCTION("""COMPUTED_VALUE"""),"MTLSZ003433A19")</f>
        <v>MTLSZ003433A19</v>
      </c>
      <c r="I2119" s="2">
        <f ca="1">IFERROR(__xludf.DUMMYFUNCTION("""COMPUTED_VALUE"""),43738)</f>
        <v>43738</v>
      </c>
      <c r="J2119" s="2">
        <f ca="1">IFERROR(__xludf.DUMMYFUNCTION("""COMPUTED_VALUE"""),44103)</f>
        <v>44103</v>
      </c>
    </row>
    <row r="2120" spans="1:10" x14ac:dyDescent="0.25">
      <c r="A2120" s="1" t="str">
        <f ca="1">IFERROR(__xludf.DUMMYFUNCTION("""COMPUTED_VALUE"""),"Soproni TSE")</f>
        <v>Soproni TSE</v>
      </c>
      <c r="B2120" s="1" t="str">
        <f ca="1">IFERROR(__xludf.DUMMYFUNCTION("""COMPUTED_VALUE"""),"Elter Ádám")</f>
        <v>Elter Ádám</v>
      </c>
      <c r="C2120" s="1"/>
      <c r="D2120" s="1" t="str">
        <f ca="1">IFERROR(__xludf.DUMMYFUNCTION("""COMPUTED_VALUE"""),"Férfi")</f>
        <v>Férfi</v>
      </c>
      <c r="E2120" s="1"/>
      <c r="F2120" s="1">
        <f ca="1">IFERROR(__xludf.DUMMYFUNCTION("""COMPUTED_VALUE"""),2002)</f>
        <v>2002</v>
      </c>
      <c r="G2120" s="1">
        <f ca="1">IFERROR(__xludf.DUMMYFUNCTION("""COMPUTED_VALUE"""),3197)</f>
        <v>3197</v>
      </c>
      <c r="H2120" s="1" t="str">
        <f ca="1">IFERROR(__xludf.DUMMYFUNCTION("""COMPUTED_VALUE"""),"MTLSZ003197A19")</f>
        <v>MTLSZ003197A19</v>
      </c>
      <c r="I2120" s="2">
        <f ca="1">IFERROR(__xludf.DUMMYFUNCTION("""COMPUTED_VALUE"""),43734)</f>
        <v>43734</v>
      </c>
      <c r="J2120" s="2">
        <f ca="1">IFERROR(__xludf.DUMMYFUNCTION("""COMPUTED_VALUE"""),44099)</f>
        <v>44099</v>
      </c>
    </row>
    <row r="2121" spans="1:10" x14ac:dyDescent="0.25">
      <c r="A2121" s="1" t="str">
        <f ca="1">IFERROR(__xludf.DUMMYFUNCTION("""COMPUTED_VALUE"""),"Soproni TSE")</f>
        <v>Soproni TSE</v>
      </c>
      <c r="B2121" s="1" t="str">
        <f ca="1">IFERROR(__xludf.DUMMYFUNCTION("""COMPUTED_VALUE"""),"Márkus Molly")</f>
        <v>Márkus Molly</v>
      </c>
      <c r="C2121" s="1"/>
      <c r="D2121" s="1" t="str">
        <f ca="1">IFERROR(__xludf.DUMMYFUNCTION("""COMPUTED_VALUE"""),"Nő")</f>
        <v>Nő</v>
      </c>
      <c r="E2121" s="1"/>
      <c r="F2121" s="1">
        <f ca="1">IFERROR(__xludf.DUMMYFUNCTION("""COMPUTED_VALUE"""),2001)</f>
        <v>2001</v>
      </c>
      <c r="G2121" s="1">
        <f ca="1">IFERROR(__xludf.DUMMYFUNCTION("""COMPUTED_VALUE"""),3198)</f>
        <v>3198</v>
      </c>
      <c r="H2121" s="1" t="str">
        <f ca="1">IFERROR(__xludf.DUMMYFUNCTION("""COMPUTED_VALUE"""),"MTLSZ003198A19")</f>
        <v>MTLSZ003198A19</v>
      </c>
      <c r="I2121" s="2">
        <f ca="1">IFERROR(__xludf.DUMMYFUNCTION("""COMPUTED_VALUE"""),43734)</f>
        <v>43734</v>
      </c>
      <c r="J2121" s="2">
        <f ca="1">IFERROR(__xludf.DUMMYFUNCTION("""COMPUTED_VALUE"""),44099)</f>
        <v>44099</v>
      </c>
    </row>
    <row r="2122" spans="1:10" x14ac:dyDescent="0.25">
      <c r="A2122" s="1" t="str">
        <f ca="1">IFERROR(__xludf.DUMMYFUNCTION("""COMPUTED_VALUE"""),"Soproni TSE")</f>
        <v>Soproni TSE</v>
      </c>
      <c r="B2122" s="1" t="str">
        <f ca="1">IFERROR(__xludf.DUMMYFUNCTION("""COMPUTED_VALUE"""),"Németh Márton")</f>
        <v>Németh Márton</v>
      </c>
      <c r="C2122" s="1"/>
      <c r="D2122" s="1" t="str">
        <f ca="1">IFERROR(__xludf.DUMMYFUNCTION("""COMPUTED_VALUE"""),"Férfi")</f>
        <v>Férfi</v>
      </c>
      <c r="E2122" s="1"/>
      <c r="F2122" s="1">
        <f ca="1">IFERROR(__xludf.DUMMYFUNCTION("""COMPUTED_VALUE"""),2001)</f>
        <v>2001</v>
      </c>
      <c r="G2122" s="1">
        <f ca="1">IFERROR(__xludf.DUMMYFUNCTION("""COMPUTED_VALUE"""),3199)</f>
        <v>3199</v>
      </c>
      <c r="H2122" s="1" t="str">
        <f ca="1">IFERROR(__xludf.DUMMYFUNCTION("""COMPUTED_VALUE"""),"MTLSZ003199A19")</f>
        <v>MTLSZ003199A19</v>
      </c>
      <c r="I2122" s="2">
        <f ca="1">IFERROR(__xludf.DUMMYFUNCTION("""COMPUTED_VALUE"""),43734)</f>
        <v>43734</v>
      </c>
      <c r="J2122" s="2">
        <f ca="1">IFERROR(__xludf.DUMMYFUNCTION("""COMPUTED_VALUE"""),44099)</f>
        <v>44099</v>
      </c>
    </row>
    <row r="2123" spans="1:10" x14ac:dyDescent="0.25">
      <c r="A2123" s="1" t="str">
        <f ca="1">IFERROR(__xludf.DUMMYFUNCTION("""COMPUTED_VALUE"""),"Hajdú TSE")</f>
        <v>Hajdú TSE</v>
      </c>
      <c r="B2123" s="1" t="str">
        <f ca="1">IFERROR(__xludf.DUMMYFUNCTION("""COMPUTED_VALUE"""),"Bertli Réka")</f>
        <v>Bertli Réka</v>
      </c>
      <c r="C2123" s="1"/>
      <c r="D2123" s="1" t="str">
        <f ca="1">IFERROR(__xludf.DUMMYFUNCTION("""COMPUTED_VALUE"""),"Nő")</f>
        <v>Nő</v>
      </c>
      <c r="E2123" s="1"/>
      <c r="F2123" s="1">
        <f ca="1">IFERROR(__xludf.DUMMYFUNCTION("""COMPUTED_VALUE"""),2006)</f>
        <v>2006</v>
      </c>
      <c r="G2123" s="1">
        <f ca="1">IFERROR(__xludf.DUMMYFUNCTION("""COMPUTED_VALUE"""),3288)</f>
        <v>3288</v>
      </c>
      <c r="H2123" s="1" t="str">
        <f ca="1">IFERROR(__xludf.DUMMYFUNCTION("""COMPUTED_VALUE"""),"MTLSZ003288A19")</f>
        <v>MTLSZ003288A19</v>
      </c>
      <c r="I2123" s="2">
        <f ca="1">IFERROR(__xludf.DUMMYFUNCTION("""COMPUTED_VALUE"""),43733)</f>
        <v>43733</v>
      </c>
      <c r="J2123" s="2">
        <f ca="1">IFERROR(__xludf.DUMMYFUNCTION("""COMPUTED_VALUE"""),44098)</f>
        <v>44098</v>
      </c>
    </row>
    <row r="2124" spans="1:10" x14ac:dyDescent="0.25">
      <c r="A2124" s="1" t="str">
        <f ca="1">IFERROR(__xludf.DUMMYFUNCTION("""COMPUTED_VALUE"""),"Hajdú TSE")</f>
        <v>Hajdú TSE</v>
      </c>
      <c r="B2124" s="1" t="str">
        <f ca="1">IFERROR(__xludf.DUMMYFUNCTION("""COMPUTED_VALUE"""),"Kaszás Rebeka")</f>
        <v>Kaszás Rebeka</v>
      </c>
      <c r="C2124" s="1"/>
      <c r="D2124" s="1" t="str">
        <f ca="1">IFERROR(__xludf.DUMMYFUNCTION("""COMPUTED_VALUE"""),"Nő")</f>
        <v>Nő</v>
      </c>
      <c r="E2124" s="1"/>
      <c r="F2124" s="1">
        <f ca="1">IFERROR(__xludf.DUMMYFUNCTION("""COMPUTED_VALUE"""),1997)</f>
        <v>1997</v>
      </c>
      <c r="G2124" s="1">
        <f ca="1">IFERROR(__xludf.DUMMYFUNCTION("""COMPUTED_VALUE"""),1784)</f>
        <v>1784</v>
      </c>
      <c r="H2124" s="1" t="str">
        <f ca="1">IFERROR(__xludf.DUMMYFUNCTION("""COMPUTED_VALUE"""),"MTLSZ001784A19")</f>
        <v>MTLSZ001784A19</v>
      </c>
      <c r="I2124" s="2">
        <f ca="1">IFERROR(__xludf.DUMMYFUNCTION("""COMPUTED_VALUE"""),43733)</f>
        <v>43733</v>
      </c>
      <c r="J2124" s="2">
        <f ca="1">IFERROR(__xludf.DUMMYFUNCTION("""COMPUTED_VALUE"""),44098)</f>
        <v>44098</v>
      </c>
    </row>
    <row r="2125" spans="1:10" x14ac:dyDescent="0.25">
      <c r="A2125" s="1" t="str">
        <f ca="1">IFERROR(__xludf.DUMMYFUNCTION("""COMPUTED_VALUE"""),"Hajdú TSE")</f>
        <v>Hajdú TSE</v>
      </c>
      <c r="B2125" s="1" t="str">
        <f ca="1">IFERROR(__xludf.DUMMYFUNCTION("""COMPUTED_VALUE"""),"Némethy Fruzsina")</f>
        <v>Némethy Fruzsina</v>
      </c>
      <c r="C2125" s="1"/>
      <c r="D2125" s="1" t="str">
        <f ca="1">IFERROR(__xludf.DUMMYFUNCTION("""COMPUTED_VALUE"""),"Nő")</f>
        <v>Nő</v>
      </c>
      <c r="E2125" s="1"/>
      <c r="F2125" s="1">
        <f ca="1">IFERROR(__xludf.DUMMYFUNCTION("""COMPUTED_VALUE"""),1998)</f>
        <v>1998</v>
      </c>
      <c r="G2125" s="1">
        <f ca="1">IFERROR(__xludf.DUMMYFUNCTION("""COMPUTED_VALUE"""),1847)</f>
        <v>1847</v>
      </c>
      <c r="H2125" s="1" t="str">
        <f ca="1">IFERROR(__xludf.DUMMYFUNCTION("""COMPUTED_VALUE"""),"MTLSZ001847A19")</f>
        <v>MTLSZ001847A19</v>
      </c>
      <c r="I2125" s="2">
        <f ca="1">IFERROR(__xludf.DUMMYFUNCTION("""COMPUTED_VALUE"""),43733)</f>
        <v>43733</v>
      </c>
      <c r="J2125" s="2">
        <f ca="1">IFERROR(__xludf.DUMMYFUNCTION("""COMPUTED_VALUE"""),44098)</f>
        <v>44098</v>
      </c>
    </row>
    <row r="2126" spans="1:10" x14ac:dyDescent="0.25">
      <c r="A2126" s="1" t="str">
        <f ca="1">IFERROR(__xludf.DUMMYFUNCTION("""COMPUTED_VALUE"""),"Seregélyesi PDSE")</f>
        <v>Seregélyesi PDSE</v>
      </c>
      <c r="B2126" s="1" t="str">
        <f ca="1">IFERROR(__xludf.DUMMYFUNCTION("""COMPUTED_VALUE"""),"Babay Gréta")</f>
        <v>Babay Gréta</v>
      </c>
      <c r="C2126" s="1"/>
      <c r="D2126" s="1" t="str">
        <f ca="1">IFERROR(__xludf.DUMMYFUNCTION("""COMPUTED_VALUE"""),"Nő")</f>
        <v>Nő</v>
      </c>
      <c r="E2126" s="1"/>
      <c r="F2126" s="1">
        <f ca="1">IFERROR(__xludf.DUMMYFUNCTION("""COMPUTED_VALUE"""),2009)</f>
        <v>2009</v>
      </c>
      <c r="G2126" s="1">
        <f ca="1">IFERROR(__xludf.DUMMYFUNCTION("""COMPUTED_VALUE"""),3427)</f>
        <v>3427</v>
      </c>
      <c r="H2126" s="1" t="str">
        <f ca="1">IFERROR(__xludf.DUMMYFUNCTION("""COMPUTED_VALUE"""),"MTLSZ003427A19")</f>
        <v>MTLSZ003427A19</v>
      </c>
      <c r="I2126" s="2">
        <f ca="1">IFERROR(__xludf.DUMMYFUNCTION("""COMPUTED_VALUE"""),43733)</f>
        <v>43733</v>
      </c>
      <c r="J2126" s="2">
        <f ca="1">IFERROR(__xludf.DUMMYFUNCTION("""COMPUTED_VALUE"""),44098)</f>
        <v>44098</v>
      </c>
    </row>
    <row r="2127" spans="1:10" x14ac:dyDescent="0.25">
      <c r="A2127" s="1" t="str">
        <f ca="1">IFERROR(__xludf.DUMMYFUNCTION("""COMPUTED_VALUE"""),"Seregélyesi PDSE")</f>
        <v>Seregélyesi PDSE</v>
      </c>
      <c r="B2127" s="1" t="str">
        <f ca="1">IFERROR(__xludf.DUMMYFUNCTION("""COMPUTED_VALUE"""),"Besze Liliána Hanna")</f>
        <v>Besze Liliána Hanna</v>
      </c>
      <c r="C2127" s="1"/>
      <c r="D2127" s="1" t="str">
        <f ca="1">IFERROR(__xludf.DUMMYFUNCTION("""COMPUTED_VALUE"""),"Nő")</f>
        <v>Nő</v>
      </c>
      <c r="E2127" s="1"/>
      <c r="F2127" s="1">
        <f ca="1">IFERROR(__xludf.DUMMYFUNCTION("""COMPUTED_VALUE"""),2007)</f>
        <v>2007</v>
      </c>
      <c r="G2127" s="1">
        <f ca="1">IFERROR(__xludf.DUMMYFUNCTION("""COMPUTED_VALUE"""),3017)</f>
        <v>3017</v>
      </c>
      <c r="H2127" s="1" t="str">
        <f ca="1">IFERROR(__xludf.DUMMYFUNCTION("""COMPUTED_VALUE"""),"MTLSZ003017A19")</f>
        <v>MTLSZ003017A19</v>
      </c>
      <c r="I2127" s="2">
        <f ca="1">IFERROR(__xludf.DUMMYFUNCTION("""COMPUTED_VALUE"""),43733)</f>
        <v>43733</v>
      </c>
      <c r="J2127" s="2">
        <f ca="1">IFERROR(__xludf.DUMMYFUNCTION("""COMPUTED_VALUE"""),44098)</f>
        <v>44098</v>
      </c>
    </row>
    <row r="2128" spans="1:10" x14ac:dyDescent="0.25">
      <c r="A2128" s="1" t="str">
        <f ca="1">IFERROR(__xludf.DUMMYFUNCTION("""COMPUTED_VALUE"""),"Tisza TSE")</f>
        <v>Tisza TSE</v>
      </c>
      <c r="B2128" s="1" t="str">
        <f ca="1">IFERROR(__xludf.DUMMYFUNCTION("""COMPUTED_VALUE"""),"Angguni Febby")</f>
        <v>Angguni Febby</v>
      </c>
      <c r="C2128" s="1"/>
      <c r="D2128" s="1" t="str">
        <f ca="1">IFERROR(__xludf.DUMMYFUNCTION("""COMPUTED_VALUE"""),"Nő")</f>
        <v>Nő</v>
      </c>
      <c r="E2128" s="1"/>
      <c r="F2128" s="1">
        <f ca="1">IFERROR(__xludf.DUMMYFUNCTION("""COMPUTED_VALUE"""),1991)</f>
        <v>1991</v>
      </c>
      <c r="G2128" s="1">
        <f ca="1">IFERROR(__xludf.DUMMYFUNCTION("""COMPUTED_VALUE"""),3425)</f>
        <v>3425</v>
      </c>
      <c r="H2128" s="1" t="str">
        <f ca="1">IFERROR(__xludf.DUMMYFUNCTION("""COMPUTED_VALUE"""),"MTLSZ003425A19")</f>
        <v>MTLSZ003425A19</v>
      </c>
      <c r="I2128" s="2">
        <f ca="1">IFERROR(__xludf.DUMMYFUNCTION("""COMPUTED_VALUE"""),43732)</f>
        <v>43732</v>
      </c>
      <c r="J2128" s="2">
        <f ca="1">IFERROR(__xludf.DUMMYFUNCTION("""COMPUTED_VALUE"""),44097)</f>
        <v>44097</v>
      </c>
    </row>
    <row r="2129" spans="1:10" x14ac:dyDescent="0.25">
      <c r="A2129" s="1" t="str">
        <f ca="1">IFERROR(__xludf.DUMMYFUNCTION("""COMPUTED_VALUE"""),"Életmód SE")</f>
        <v>Életmód SE</v>
      </c>
      <c r="B2129" s="1" t="str">
        <f ca="1">IFERROR(__xludf.DUMMYFUNCTION("""COMPUTED_VALUE"""),"Bujdosó Jázmin")</f>
        <v>Bujdosó Jázmin</v>
      </c>
      <c r="C2129" s="1"/>
      <c r="D2129" s="1" t="str">
        <f ca="1">IFERROR(__xludf.DUMMYFUNCTION("""COMPUTED_VALUE"""),"Nő")</f>
        <v>Nő</v>
      </c>
      <c r="E2129" s="1"/>
      <c r="F2129" s="1">
        <f ca="1">IFERROR(__xludf.DUMMYFUNCTION("""COMPUTED_VALUE"""),2006)</f>
        <v>2006</v>
      </c>
      <c r="G2129" s="1">
        <f ca="1">IFERROR(__xludf.DUMMYFUNCTION("""COMPUTED_VALUE"""),3419)</f>
        <v>3419</v>
      </c>
      <c r="H2129" s="1" t="str">
        <f ca="1">IFERROR(__xludf.DUMMYFUNCTION("""COMPUTED_VALUE"""),"MTLSZ003419A19")</f>
        <v>MTLSZ003419A19</v>
      </c>
      <c r="I2129" s="2">
        <f ca="1">IFERROR(__xludf.DUMMYFUNCTION("""COMPUTED_VALUE"""),43725)</f>
        <v>43725</v>
      </c>
      <c r="J2129" s="2">
        <f ca="1">IFERROR(__xludf.DUMMYFUNCTION("""COMPUTED_VALUE"""),44090)</f>
        <v>44090</v>
      </c>
    </row>
    <row r="2130" spans="1:10" x14ac:dyDescent="0.25">
      <c r="A2130" s="1" t="str">
        <f ca="1">IFERROR(__xludf.DUMMYFUNCTION("""COMPUTED_VALUE"""),"Pillangó TK")</f>
        <v>Pillangó TK</v>
      </c>
      <c r="B2130" s="1" t="str">
        <f ca="1">IFERROR(__xludf.DUMMYFUNCTION("""COMPUTED_VALUE"""),"Gálos Dezső")</f>
        <v>Gálos Dezső</v>
      </c>
      <c r="C2130" s="1"/>
      <c r="D2130" s="1" t="str">
        <f ca="1">IFERROR(__xludf.DUMMYFUNCTION("""COMPUTED_VALUE"""),"Férfi")</f>
        <v>Férfi</v>
      </c>
      <c r="E2130" s="1"/>
      <c r="F2130" s="1">
        <f ca="1">IFERROR(__xludf.DUMMYFUNCTION("""COMPUTED_VALUE"""),1967)</f>
        <v>1967</v>
      </c>
      <c r="G2130" s="1">
        <f ca="1">IFERROR(__xludf.DUMMYFUNCTION("""COMPUTED_VALUE"""),2931)</f>
        <v>2931</v>
      </c>
      <c r="H2130" s="1" t="str">
        <f ca="1">IFERROR(__xludf.DUMMYFUNCTION("""COMPUTED_VALUE"""),"MTLSZ002931A19")</f>
        <v>MTLSZ002931A19</v>
      </c>
      <c r="I2130" s="2">
        <f ca="1">IFERROR(__xludf.DUMMYFUNCTION("""COMPUTED_VALUE"""),43725)</f>
        <v>43725</v>
      </c>
      <c r="J2130" s="2">
        <f ca="1">IFERROR(__xludf.DUMMYFUNCTION("""COMPUTED_VALUE"""),44090)</f>
        <v>44090</v>
      </c>
    </row>
    <row r="2131" spans="1:10" x14ac:dyDescent="0.25">
      <c r="A2131" s="1" t="str">
        <f ca="1">IFERROR(__xludf.DUMMYFUNCTION("""COMPUTED_VALUE"""),"Pillangó TK")</f>
        <v>Pillangó TK</v>
      </c>
      <c r="B2131" s="1" t="str">
        <f ca="1">IFERROR(__xludf.DUMMYFUNCTION("""COMPUTED_VALUE"""),"Ónódi Bálint")</f>
        <v>Ónódi Bálint</v>
      </c>
      <c r="C2131" s="1"/>
      <c r="D2131" s="1" t="str">
        <f ca="1">IFERROR(__xludf.DUMMYFUNCTION("""COMPUTED_VALUE"""),"Férfi")</f>
        <v>Férfi</v>
      </c>
      <c r="E2131" s="1"/>
      <c r="F2131" s="1">
        <f ca="1">IFERROR(__xludf.DUMMYFUNCTION("""COMPUTED_VALUE"""),1981)</f>
        <v>1981</v>
      </c>
      <c r="G2131" s="1">
        <f ca="1">IFERROR(__xludf.DUMMYFUNCTION("""COMPUTED_VALUE"""),3188)</f>
        <v>3188</v>
      </c>
      <c r="H2131" s="1" t="str">
        <f ca="1">IFERROR(__xludf.DUMMYFUNCTION("""COMPUTED_VALUE"""),"MTLSZ003188A19")</f>
        <v>MTLSZ003188A19</v>
      </c>
      <c r="I2131" s="2">
        <f ca="1">IFERROR(__xludf.DUMMYFUNCTION("""COMPUTED_VALUE"""),43725)</f>
        <v>43725</v>
      </c>
      <c r="J2131" s="2">
        <f ca="1">IFERROR(__xludf.DUMMYFUNCTION("""COMPUTED_VALUE"""),44090)</f>
        <v>44090</v>
      </c>
    </row>
    <row r="2132" spans="1:10" x14ac:dyDescent="0.25">
      <c r="A2132" s="1" t="str">
        <f ca="1">IFERROR(__xludf.DUMMYFUNCTION("""COMPUTED_VALUE"""),"Újpest TSE")</f>
        <v>Újpest TSE</v>
      </c>
      <c r="B2132" s="1" t="str">
        <f ca="1">IFERROR(__xludf.DUMMYFUNCTION("""COMPUTED_VALUE"""),"Bartos Péter")</f>
        <v>Bartos Péter</v>
      </c>
      <c r="C2132" s="1"/>
      <c r="D2132" s="1" t="str">
        <f ca="1">IFERROR(__xludf.DUMMYFUNCTION("""COMPUTED_VALUE"""),"Férfi")</f>
        <v>Férfi</v>
      </c>
      <c r="E2132" s="1"/>
      <c r="F2132" s="1">
        <f ca="1">IFERROR(__xludf.DUMMYFUNCTION("""COMPUTED_VALUE"""),2005)</f>
        <v>2005</v>
      </c>
      <c r="G2132" s="1">
        <f ca="1">IFERROR(__xludf.DUMMYFUNCTION("""COMPUTED_VALUE"""),3126)</f>
        <v>3126</v>
      </c>
      <c r="H2132" s="1" t="str">
        <f ca="1">IFERROR(__xludf.DUMMYFUNCTION("""COMPUTED_VALUE"""),"MTLSZ003126A19")</f>
        <v>MTLSZ003126A19</v>
      </c>
      <c r="I2132" s="2">
        <f ca="1">IFERROR(__xludf.DUMMYFUNCTION("""COMPUTED_VALUE"""),43725)</f>
        <v>43725</v>
      </c>
      <c r="J2132" s="2">
        <f ca="1">IFERROR(__xludf.DUMMYFUNCTION("""COMPUTED_VALUE"""),44090)</f>
        <v>44090</v>
      </c>
    </row>
    <row r="2133" spans="1:10" x14ac:dyDescent="0.25">
      <c r="A2133" s="1" t="str">
        <f ca="1">IFERROR(__xludf.DUMMYFUNCTION("""COMPUTED_VALUE"""),"Hajdú TSE")</f>
        <v>Hajdú TSE</v>
      </c>
      <c r="B2133" s="1" t="str">
        <f ca="1">IFERROR(__xludf.DUMMYFUNCTION("""COMPUTED_VALUE"""),"László Áron István")</f>
        <v>László Áron István</v>
      </c>
      <c r="C2133" s="1"/>
      <c r="D2133" s="1" t="str">
        <f ca="1">IFERROR(__xludf.DUMMYFUNCTION("""COMPUTED_VALUE"""),"Férfi")</f>
        <v>Férfi</v>
      </c>
      <c r="E2133" s="1"/>
      <c r="F2133" s="1">
        <f ca="1">IFERROR(__xludf.DUMMYFUNCTION("""COMPUTED_VALUE"""),2004)</f>
        <v>2004</v>
      </c>
      <c r="G2133" s="1">
        <f ca="1">IFERROR(__xludf.DUMMYFUNCTION("""COMPUTED_VALUE"""),3154)</f>
        <v>3154</v>
      </c>
      <c r="H2133" s="1" t="str">
        <f ca="1">IFERROR(__xludf.DUMMYFUNCTION("""COMPUTED_VALUE"""),"MTLSZ003154A19")</f>
        <v>MTLSZ003154A19</v>
      </c>
      <c r="I2133" s="2">
        <f ca="1">IFERROR(__xludf.DUMMYFUNCTION("""COMPUTED_VALUE"""),43724)</f>
        <v>43724</v>
      </c>
      <c r="J2133" s="2">
        <f ca="1">IFERROR(__xludf.DUMMYFUNCTION("""COMPUTED_VALUE"""),44089)</f>
        <v>44089</v>
      </c>
    </row>
    <row r="2134" spans="1:10" x14ac:dyDescent="0.25">
      <c r="A2134" s="1" t="str">
        <f ca="1">IFERROR(__xludf.DUMMYFUNCTION("""COMPUTED_VALUE"""),"OSC")</f>
        <v>OSC</v>
      </c>
      <c r="B2134" s="1" t="str">
        <f ca="1">IFERROR(__xludf.DUMMYFUNCTION("""COMPUTED_VALUE"""),"Kucsera Réka")</f>
        <v>Kucsera Réka</v>
      </c>
      <c r="C2134" s="1"/>
      <c r="D2134" s="1" t="str">
        <f ca="1">IFERROR(__xludf.DUMMYFUNCTION("""COMPUTED_VALUE"""),"Nő")</f>
        <v>Nő</v>
      </c>
      <c r="E2134" s="1"/>
      <c r="F2134" s="1">
        <f ca="1">IFERROR(__xludf.DUMMYFUNCTION("""COMPUTED_VALUE"""),2006)</f>
        <v>2006</v>
      </c>
      <c r="G2134" s="1">
        <f ca="1">IFERROR(__xludf.DUMMYFUNCTION("""COMPUTED_VALUE"""),3413)</f>
        <v>3413</v>
      </c>
      <c r="H2134" s="1" t="str">
        <f ca="1">IFERROR(__xludf.DUMMYFUNCTION("""COMPUTED_VALUE"""),"MTLSZ003413A19")</f>
        <v>MTLSZ003413A19</v>
      </c>
      <c r="I2134" s="2">
        <f ca="1">IFERROR(__xludf.DUMMYFUNCTION("""COMPUTED_VALUE"""),43724)</f>
        <v>43724</v>
      </c>
      <c r="J2134" s="2">
        <f ca="1">IFERROR(__xludf.DUMMYFUNCTION("""COMPUTED_VALUE"""),44089)</f>
        <v>44089</v>
      </c>
    </row>
    <row r="2135" spans="1:10" x14ac:dyDescent="0.25">
      <c r="A2135" s="1" t="str">
        <f ca="1">IFERROR(__xludf.DUMMYFUNCTION("""COMPUTED_VALUE"""),"OSC")</f>
        <v>OSC</v>
      </c>
      <c r="B2135" s="1" t="str">
        <f ca="1">IFERROR(__xludf.DUMMYFUNCTION("""COMPUTED_VALUE"""),"Repei Eszter")</f>
        <v>Repei Eszter</v>
      </c>
      <c r="C2135" s="1"/>
      <c r="D2135" s="1" t="str">
        <f ca="1">IFERROR(__xludf.DUMMYFUNCTION("""COMPUTED_VALUE"""),"Nő")</f>
        <v>Nő</v>
      </c>
      <c r="E2135" s="1"/>
      <c r="F2135" s="1">
        <f ca="1">IFERROR(__xludf.DUMMYFUNCTION("""COMPUTED_VALUE"""),2010)</f>
        <v>2010</v>
      </c>
      <c r="G2135" s="1">
        <f ca="1">IFERROR(__xludf.DUMMYFUNCTION("""COMPUTED_VALUE"""),3414)</f>
        <v>3414</v>
      </c>
      <c r="H2135" s="1" t="str">
        <f ca="1">IFERROR(__xludf.DUMMYFUNCTION("""COMPUTED_VALUE"""),"MTLSZ003414A19")</f>
        <v>MTLSZ003414A19</v>
      </c>
      <c r="I2135" s="2">
        <f ca="1">IFERROR(__xludf.DUMMYFUNCTION("""COMPUTED_VALUE"""),43724)</f>
        <v>43724</v>
      </c>
      <c r="J2135" s="2">
        <f ca="1">IFERROR(__xludf.DUMMYFUNCTION("""COMPUTED_VALUE"""),44089)</f>
        <v>44089</v>
      </c>
    </row>
    <row r="2136" spans="1:10" x14ac:dyDescent="0.25">
      <c r="A2136" s="1" t="str">
        <f ca="1">IFERROR(__xludf.DUMMYFUNCTION("""COMPUTED_VALUE"""),"Tapolcai TFSE")</f>
        <v>Tapolcai TFSE</v>
      </c>
      <c r="B2136" s="1" t="str">
        <f ca="1">IFERROR(__xludf.DUMMYFUNCTION("""COMPUTED_VALUE"""),"Kovács Aliz")</f>
        <v>Kovács Aliz</v>
      </c>
      <c r="C2136" s="1"/>
      <c r="D2136" s="1" t="str">
        <f ca="1">IFERROR(__xludf.DUMMYFUNCTION("""COMPUTED_VALUE"""),"Nő")</f>
        <v>Nő</v>
      </c>
      <c r="E2136" s="1"/>
      <c r="F2136" s="1">
        <f ca="1">IFERROR(__xludf.DUMMYFUNCTION("""COMPUTED_VALUE"""),1979)</f>
        <v>1979</v>
      </c>
      <c r="G2136" s="1">
        <f ca="1">IFERROR(__xludf.DUMMYFUNCTION("""COMPUTED_VALUE"""),3365)</f>
        <v>3365</v>
      </c>
      <c r="H2136" s="1" t="str">
        <f ca="1">IFERROR(__xludf.DUMMYFUNCTION("""COMPUTED_VALUE"""),"MTLSZ003365A19")</f>
        <v>MTLSZ003365A19</v>
      </c>
      <c r="I2136" s="2">
        <f ca="1">IFERROR(__xludf.DUMMYFUNCTION("""COMPUTED_VALUE"""),43724)</f>
        <v>43724</v>
      </c>
      <c r="J2136" s="2">
        <f ca="1">IFERROR(__xludf.DUMMYFUNCTION("""COMPUTED_VALUE"""),44089)</f>
        <v>44089</v>
      </c>
    </row>
    <row r="2137" spans="1:10" x14ac:dyDescent="0.25">
      <c r="A2137" s="1" t="str">
        <f ca="1">IFERROR(__xludf.DUMMYFUNCTION("""COMPUTED_VALUE"""),"Tapolcai TFSE")</f>
        <v>Tapolcai TFSE</v>
      </c>
      <c r="B2137" s="1" t="str">
        <f ca="1">IFERROR(__xludf.DUMMYFUNCTION("""COMPUTED_VALUE"""),"Pető Mónika")</f>
        <v>Pető Mónika</v>
      </c>
      <c r="C2137" s="1"/>
      <c r="D2137" s="1" t="str">
        <f ca="1">IFERROR(__xludf.DUMMYFUNCTION("""COMPUTED_VALUE"""),"Nő")</f>
        <v>Nő</v>
      </c>
      <c r="E2137" s="1"/>
      <c r="F2137" s="1">
        <f ca="1">IFERROR(__xludf.DUMMYFUNCTION("""COMPUTED_VALUE"""),2003)</f>
        <v>2003</v>
      </c>
      <c r="G2137" s="1">
        <f ca="1">IFERROR(__xludf.DUMMYFUNCTION("""COMPUTED_VALUE"""),3363)</f>
        <v>3363</v>
      </c>
      <c r="H2137" s="1" t="str">
        <f ca="1">IFERROR(__xludf.DUMMYFUNCTION("""COMPUTED_VALUE"""),"MTLSZ003363A19")</f>
        <v>MTLSZ003363A19</v>
      </c>
      <c r="I2137" s="2">
        <f ca="1">IFERROR(__xludf.DUMMYFUNCTION("""COMPUTED_VALUE"""),43724)</f>
        <v>43724</v>
      </c>
      <c r="J2137" s="2">
        <f ca="1">IFERROR(__xludf.DUMMYFUNCTION("""COMPUTED_VALUE"""),44089)</f>
        <v>44089</v>
      </c>
    </row>
    <row r="2138" spans="1:10" x14ac:dyDescent="0.25">
      <c r="A2138" s="1" t="str">
        <f ca="1">IFERROR(__xludf.DUMMYFUNCTION("""COMPUTED_VALUE"""),"Tapolcai TFSE")</f>
        <v>Tapolcai TFSE</v>
      </c>
      <c r="B2138" s="1" t="str">
        <f ca="1">IFERROR(__xludf.DUMMYFUNCTION("""COMPUTED_VALUE"""),"Zsiborács László")</f>
        <v>Zsiborács László</v>
      </c>
      <c r="C2138" s="1"/>
      <c r="D2138" s="1" t="str">
        <f ca="1">IFERROR(__xludf.DUMMYFUNCTION("""COMPUTED_VALUE"""),"Férfi")</f>
        <v>Férfi</v>
      </c>
      <c r="E2138" s="1"/>
      <c r="F2138" s="1">
        <f ca="1">IFERROR(__xludf.DUMMYFUNCTION("""COMPUTED_VALUE"""),1971)</f>
        <v>1971</v>
      </c>
      <c r="G2138" s="1">
        <f ca="1">IFERROR(__xludf.DUMMYFUNCTION("""COMPUTED_VALUE"""),3367)</f>
        <v>3367</v>
      </c>
      <c r="H2138" s="1" t="str">
        <f ca="1">IFERROR(__xludf.DUMMYFUNCTION("""COMPUTED_VALUE"""),"MTLSZ003367A19")</f>
        <v>MTLSZ003367A19</v>
      </c>
      <c r="I2138" s="2">
        <f ca="1">IFERROR(__xludf.DUMMYFUNCTION("""COMPUTED_VALUE"""),43724)</f>
        <v>43724</v>
      </c>
      <c r="J2138" s="2">
        <f ca="1">IFERROR(__xludf.DUMMYFUNCTION("""COMPUTED_VALUE"""),44089)</f>
        <v>44089</v>
      </c>
    </row>
    <row r="2139" spans="1:10" x14ac:dyDescent="0.25">
      <c r="A2139" s="1" t="str">
        <f ca="1">IFERROR(__xludf.DUMMYFUNCTION("""COMPUTED_VALUE"""),"T(r)ollas SE")</f>
        <v>T(r)ollas SE</v>
      </c>
      <c r="B2139" s="1" t="str">
        <f ca="1">IFERROR(__xludf.DUMMYFUNCTION("""COMPUTED_VALUE"""),"Halmi József")</f>
        <v>Halmi József</v>
      </c>
      <c r="C2139" s="1"/>
      <c r="D2139" s="1" t="str">
        <f ca="1">IFERROR(__xludf.DUMMYFUNCTION("""COMPUTED_VALUE"""),"Férfi")</f>
        <v>Férfi</v>
      </c>
      <c r="E2139" s="1"/>
      <c r="F2139" s="1">
        <f ca="1">IFERROR(__xludf.DUMMYFUNCTION("""COMPUTED_VALUE"""),1990)</f>
        <v>1990</v>
      </c>
      <c r="G2139" s="1">
        <f ca="1">IFERROR(__xludf.DUMMYFUNCTION("""COMPUTED_VALUE"""),3108)</f>
        <v>3108</v>
      </c>
      <c r="H2139" s="1" t="str">
        <f ca="1">IFERROR(__xludf.DUMMYFUNCTION("""COMPUTED_VALUE"""),"MTLSZ003108A19")</f>
        <v>MTLSZ003108A19</v>
      </c>
      <c r="I2139" s="2">
        <f ca="1">IFERROR(__xludf.DUMMYFUNCTION("""COMPUTED_VALUE"""),43720)</f>
        <v>43720</v>
      </c>
      <c r="J2139" s="2">
        <f ca="1">IFERROR(__xludf.DUMMYFUNCTION("""COMPUTED_VALUE"""),44085)</f>
        <v>44085</v>
      </c>
    </row>
    <row r="2140" spans="1:10" x14ac:dyDescent="0.25">
      <c r="A2140" s="1" t="str">
        <f ca="1">IFERROR(__xludf.DUMMYFUNCTION("""COMPUTED_VALUE"""),"T(r)ollas SE")</f>
        <v>T(r)ollas SE</v>
      </c>
      <c r="B2140" s="1" t="str">
        <f ca="1">IFERROR(__xludf.DUMMYFUNCTION("""COMPUTED_VALUE"""),"Johannes Wessling")</f>
        <v>Johannes Wessling</v>
      </c>
      <c r="C2140" s="1"/>
      <c r="D2140" s="1" t="str">
        <f ca="1">IFERROR(__xludf.DUMMYFUNCTION("""COMPUTED_VALUE"""),"Férfi")</f>
        <v>Férfi</v>
      </c>
      <c r="E2140" s="1"/>
      <c r="F2140" s="1">
        <f ca="1">IFERROR(__xludf.DUMMYFUNCTION("""COMPUTED_VALUE"""),1996)</f>
        <v>1996</v>
      </c>
      <c r="G2140" s="1">
        <f ca="1">IFERROR(__xludf.DUMMYFUNCTION("""COMPUTED_VALUE"""),3410)</f>
        <v>3410</v>
      </c>
      <c r="H2140" s="1" t="str">
        <f ca="1">IFERROR(__xludf.DUMMYFUNCTION("""COMPUTED_VALUE"""),"MTLSZ003410A19")</f>
        <v>MTLSZ003410A19</v>
      </c>
      <c r="I2140" s="2">
        <f ca="1">IFERROR(__xludf.DUMMYFUNCTION("""COMPUTED_VALUE"""),43720)</f>
        <v>43720</v>
      </c>
      <c r="J2140" s="2">
        <f ca="1">IFERROR(__xludf.DUMMYFUNCTION("""COMPUTED_VALUE"""),44085)</f>
        <v>44085</v>
      </c>
    </row>
    <row r="2141" spans="1:10" x14ac:dyDescent="0.25">
      <c r="A2141" s="1" t="str">
        <f ca="1">IFERROR(__xludf.DUMMYFUNCTION("""COMPUTED_VALUE"""),"T(r)ollas SE")</f>
        <v>T(r)ollas SE</v>
      </c>
      <c r="B2141" s="1" t="str">
        <f ca="1">IFERROR(__xludf.DUMMYFUNCTION("""COMPUTED_VALUE"""),"Panzhen Nick")</f>
        <v>Panzhen Nick</v>
      </c>
      <c r="C2141" s="1"/>
      <c r="D2141" s="1" t="str">
        <f ca="1">IFERROR(__xludf.DUMMYFUNCTION("""COMPUTED_VALUE"""),"Férfi")</f>
        <v>Férfi</v>
      </c>
      <c r="E2141" s="1"/>
      <c r="F2141" s="1">
        <f ca="1">IFERROR(__xludf.DUMMYFUNCTION("""COMPUTED_VALUE"""),2000)</f>
        <v>2000</v>
      </c>
      <c r="G2141" s="1">
        <f ca="1">IFERROR(__xludf.DUMMYFUNCTION("""COMPUTED_VALUE"""),3408)</f>
        <v>3408</v>
      </c>
      <c r="H2141" s="1" t="str">
        <f ca="1">IFERROR(__xludf.DUMMYFUNCTION("""COMPUTED_VALUE"""),"MTLSZ003408A19")</f>
        <v>MTLSZ003408A19</v>
      </c>
      <c r="I2141" s="2">
        <f ca="1">IFERROR(__xludf.DUMMYFUNCTION("""COMPUTED_VALUE"""),43720)</f>
        <v>43720</v>
      </c>
      <c r="J2141" s="2">
        <f ca="1">IFERROR(__xludf.DUMMYFUNCTION("""COMPUTED_VALUE"""),44085)</f>
        <v>44085</v>
      </c>
    </row>
    <row r="2142" spans="1:10" x14ac:dyDescent="0.25">
      <c r="A2142" s="1" t="str">
        <f ca="1">IFERROR(__xludf.DUMMYFUNCTION("""COMPUTED_VALUE"""),"T(r)ollas SE")</f>
        <v>T(r)ollas SE</v>
      </c>
      <c r="B2142" s="1" t="str">
        <f ca="1">IFERROR(__xludf.DUMMYFUNCTION("""COMPUTED_VALUE"""),"Sonar Dilip")</f>
        <v>Sonar Dilip</v>
      </c>
      <c r="C2142" s="1"/>
      <c r="D2142" s="1" t="str">
        <f ca="1">IFERROR(__xludf.DUMMYFUNCTION("""COMPUTED_VALUE"""),"Férfi")</f>
        <v>Férfi</v>
      </c>
      <c r="E2142" s="1"/>
      <c r="F2142" s="1">
        <f ca="1">IFERROR(__xludf.DUMMYFUNCTION("""COMPUTED_VALUE"""),1986)</f>
        <v>1986</v>
      </c>
      <c r="G2142" s="1">
        <f ca="1">IFERROR(__xludf.DUMMYFUNCTION("""COMPUTED_VALUE"""),3411)</f>
        <v>3411</v>
      </c>
      <c r="H2142" s="1" t="str">
        <f ca="1">IFERROR(__xludf.DUMMYFUNCTION("""COMPUTED_VALUE"""),"MTLSZ003411A19")</f>
        <v>MTLSZ003411A19</v>
      </c>
      <c r="I2142" s="2">
        <f ca="1">IFERROR(__xludf.DUMMYFUNCTION("""COMPUTED_VALUE"""),43720)</f>
        <v>43720</v>
      </c>
      <c r="J2142" s="2">
        <f ca="1">IFERROR(__xludf.DUMMYFUNCTION("""COMPUTED_VALUE"""),44085)</f>
        <v>44085</v>
      </c>
    </row>
    <row r="2143" spans="1:10" x14ac:dyDescent="0.25">
      <c r="A2143" s="1" t="str">
        <f ca="1">IFERROR(__xludf.DUMMYFUNCTION("""COMPUTED_VALUE"""),"T(r)ollas SE")</f>
        <v>T(r)ollas SE</v>
      </c>
      <c r="B2143" s="1"/>
      <c r="C2143" s="1"/>
      <c r="D2143" s="1"/>
      <c r="E2143" s="1"/>
      <c r="F2143" s="1">
        <f ca="1">IFERROR(__xludf.DUMMYFUNCTION("""COMPUTED_VALUE"""),1899)</f>
        <v>1899</v>
      </c>
      <c r="G2143" s="1">
        <f ca="1">IFERROR(__xludf.DUMMYFUNCTION("""COMPUTED_VALUE"""),3407)</f>
        <v>3407</v>
      </c>
      <c r="H2143" s="1"/>
      <c r="I2143" s="2">
        <f ca="1">IFERROR(__xludf.DUMMYFUNCTION("""COMPUTED_VALUE"""),43720)</f>
        <v>43720</v>
      </c>
      <c r="J2143" s="2">
        <f ca="1">IFERROR(__xludf.DUMMYFUNCTION("""COMPUTED_VALUE"""),44085)</f>
        <v>44085</v>
      </c>
    </row>
    <row r="2144" spans="1:10" x14ac:dyDescent="0.25">
      <c r="A2144" s="1" t="str">
        <f ca="1">IFERROR(__xludf.DUMMYFUNCTION("""COMPUTED_VALUE"""),"KörösTSE")</f>
        <v>KörösTSE</v>
      </c>
      <c r="B2144" s="1" t="str">
        <f ca="1">IFERROR(__xludf.DUMMYFUNCTION("""COMPUTED_VALUE"""),"Bonyhádi Péter")</f>
        <v>Bonyhádi Péter</v>
      </c>
      <c r="C2144" s="1"/>
      <c r="D2144" s="1" t="str">
        <f ca="1">IFERROR(__xludf.DUMMYFUNCTION("""COMPUTED_VALUE"""),"Férfi")</f>
        <v>Férfi</v>
      </c>
      <c r="E2144" s="1"/>
      <c r="F2144" s="1">
        <f ca="1">IFERROR(__xludf.DUMMYFUNCTION("""COMPUTED_VALUE"""),2002)</f>
        <v>2002</v>
      </c>
      <c r="G2144" s="1">
        <f ca="1">IFERROR(__xludf.DUMMYFUNCTION("""COMPUTED_VALUE"""),3148)</f>
        <v>3148</v>
      </c>
      <c r="H2144" s="1" t="str">
        <f ca="1">IFERROR(__xludf.DUMMYFUNCTION("""COMPUTED_VALUE"""),"MTLSZ003148A19")</f>
        <v>MTLSZ003148A19</v>
      </c>
      <c r="I2144" s="2">
        <f ca="1">IFERROR(__xludf.DUMMYFUNCTION("""COMPUTED_VALUE"""),43719)</f>
        <v>43719</v>
      </c>
      <c r="J2144" s="2">
        <f ca="1">IFERROR(__xludf.DUMMYFUNCTION("""COMPUTED_VALUE"""),44084)</f>
        <v>44084</v>
      </c>
    </row>
    <row r="2145" spans="1:10" x14ac:dyDescent="0.25">
      <c r="A2145" s="1" t="str">
        <f ca="1">IFERROR(__xludf.DUMMYFUNCTION("""COMPUTED_VALUE"""),"KörösTSE")</f>
        <v>KörösTSE</v>
      </c>
      <c r="B2145" s="1" t="str">
        <f ca="1">IFERROR(__xludf.DUMMYFUNCTION("""COMPUTED_VALUE"""),"Mitykó László")</f>
        <v>Mitykó László</v>
      </c>
      <c r="C2145" s="1"/>
      <c r="D2145" s="1" t="str">
        <f ca="1">IFERROR(__xludf.DUMMYFUNCTION("""COMPUTED_VALUE"""),"Férfi")</f>
        <v>Férfi</v>
      </c>
      <c r="E2145" s="1"/>
      <c r="F2145" s="1">
        <f ca="1">IFERROR(__xludf.DUMMYFUNCTION("""COMPUTED_VALUE"""),1976)</f>
        <v>1976</v>
      </c>
      <c r="G2145" s="1">
        <f ca="1">IFERROR(__xludf.DUMMYFUNCTION("""COMPUTED_VALUE"""),2849)</f>
        <v>2849</v>
      </c>
      <c r="H2145" s="1" t="str">
        <f ca="1">IFERROR(__xludf.DUMMYFUNCTION("""COMPUTED_VALUE"""),"MTLSZ002849A19")</f>
        <v>MTLSZ002849A19</v>
      </c>
      <c r="I2145" s="2">
        <f ca="1">IFERROR(__xludf.DUMMYFUNCTION("""COMPUTED_VALUE"""),43719)</f>
        <v>43719</v>
      </c>
      <c r="J2145" s="2">
        <f ca="1">IFERROR(__xludf.DUMMYFUNCTION("""COMPUTED_VALUE"""),44084)</f>
        <v>44084</v>
      </c>
    </row>
    <row r="2146" spans="1:10" x14ac:dyDescent="0.25">
      <c r="A2146" s="1" t="str">
        <f ca="1">IFERROR(__xludf.DUMMYFUNCTION("""COMPUTED_VALUE"""),"KörösTSE")</f>
        <v>KörösTSE</v>
      </c>
      <c r="B2146" s="1" t="str">
        <f ca="1">IFERROR(__xludf.DUMMYFUNCTION("""COMPUTED_VALUE"""),"Petykó Réka")</f>
        <v>Petykó Réka</v>
      </c>
      <c r="C2146" s="1"/>
      <c r="D2146" s="1" t="str">
        <f ca="1">IFERROR(__xludf.DUMMYFUNCTION("""COMPUTED_VALUE"""),"Nő")</f>
        <v>Nő</v>
      </c>
      <c r="E2146" s="1"/>
      <c r="F2146" s="1">
        <f ca="1">IFERROR(__xludf.DUMMYFUNCTION("""COMPUTED_VALUE"""),2001)</f>
        <v>2001</v>
      </c>
      <c r="G2146" s="1">
        <f ca="1">IFERROR(__xludf.DUMMYFUNCTION("""COMPUTED_VALUE"""),2964)</f>
        <v>2964</v>
      </c>
      <c r="H2146" s="1" t="str">
        <f ca="1">IFERROR(__xludf.DUMMYFUNCTION("""COMPUTED_VALUE"""),"MTLSZ002964A19")</f>
        <v>MTLSZ002964A19</v>
      </c>
      <c r="I2146" s="2">
        <f ca="1">IFERROR(__xludf.DUMMYFUNCTION("""COMPUTED_VALUE"""),43719)</f>
        <v>43719</v>
      </c>
      <c r="J2146" s="2">
        <f ca="1">IFERROR(__xludf.DUMMYFUNCTION("""COMPUTED_VALUE"""),44084)</f>
        <v>44084</v>
      </c>
    </row>
    <row r="2147" spans="1:10" x14ac:dyDescent="0.25">
      <c r="A2147" s="1" t="str">
        <f ca="1">IFERROR(__xludf.DUMMYFUNCTION("""COMPUTED_VALUE"""),"Talentum TSE")</f>
        <v>Talentum TSE</v>
      </c>
      <c r="B2147" s="1" t="str">
        <f ca="1">IFERROR(__xludf.DUMMYFUNCTION("""COMPUTED_VALUE"""),"Munkácsi Kitti")</f>
        <v>Munkácsi Kitti</v>
      </c>
      <c r="C2147" s="1"/>
      <c r="D2147" s="1" t="str">
        <f ca="1">IFERROR(__xludf.DUMMYFUNCTION("""COMPUTED_VALUE"""),"Nő")</f>
        <v>Nő</v>
      </c>
      <c r="E2147" s="1"/>
      <c r="F2147" s="1">
        <f ca="1">IFERROR(__xludf.DUMMYFUNCTION("""COMPUTED_VALUE"""),1991)</f>
        <v>1991</v>
      </c>
      <c r="G2147" s="1">
        <f ca="1">IFERROR(__xludf.DUMMYFUNCTION("""COMPUTED_VALUE"""),1914)</f>
        <v>1914</v>
      </c>
      <c r="H2147" s="1" t="str">
        <f ca="1">IFERROR(__xludf.DUMMYFUNCTION("""COMPUTED_VALUE"""),"MTLSZ001914A19")</f>
        <v>MTLSZ001914A19</v>
      </c>
      <c r="I2147" s="2">
        <f ca="1">IFERROR(__xludf.DUMMYFUNCTION("""COMPUTED_VALUE"""),43719)</f>
        <v>43719</v>
      </c>
      <c r="J2147" s="2">
        <f ca="1">IFERROR(__xludf.DUMMYFUNCTION("""COMPUTED_VALUE"""),44084)</f>
        <v>44084</v>
      </c>
    </row>
    <row r="2148" spans="1:10" x14ac:dyDescent="0.25">
      <c r="A2148" s="1" t="str">
        <f ca="1">IFERROR(__xludf.DUMMYFUNCTION("""COMPUTED_VALUE"""),"Talentum TSE")</f>
        <v>Talentum TSE</v>
      </c>
      <c r="B2148" s="1" t="str">
        <f ca="1">IFERROR(__xludf.DUMMYFUNCTION("""COMPUTED_VALUE"""),"Papp Vilmos")</f>
        <v>Papp Vilmos</v>
      </c>
      <c r="C2148" s="1"/>
      <c r="D2148" s="1" t="str">
        <f ca="1">IFERROR(__xludf.DUMMYFUNCTION("""COMPUTED_VALUE"""),"Férfi")</f>
        <v>Férfi</v>
      </c>
      <c r="E2148" s="1"/>
      <c r="F2148" s="1">
        <f ca="1">IFERROR(__xludf.DUMMYFUNCTION("""COMPUTED_VALUE"""),2011)</f>
        <v>2011</v>
      </c>
      <c r="G2148" s="1">
        <f ca="1">IFERROR(__xludf.DUMMYFUNCTION("""COMPUTED_VALUE"""),3398)</f>
        <v>3398</v>
      </c>
      <c r="H2148" s="1" t="str">
        <f ca="1">IFERROR(__xludf.DUMMYFUNCTION("""COMPUTED_VALUE"""),"MTLSZ003398A19")</f>
        <v>MTLSZ003398A19</v>
      </c>
      <c r="I2148" s="2">
        <f ca="1">IFERROR(__xludf.DUMMYFUNCTION("""COMPUTED_VALUE"""),43719)</f>
        <v>43719</v>
      </c>
      <c r="J2148" s="2">
        <f ca="1">IFERROR(__xludf.DUMMYFUNCTION("""COMPUTED_VALUE"""),44084)</f>
        <v>44084</v>
      </c>
    </row>
    <row r="2149" spans="1:10" x14ac:dyDescent="0.25">
      <c r="A2149" s="1" t="str">
        <f ca="1">IFERROR(__xludf.DUMMYFUNCTION("""COMPUTED_VALUE"""),"Talentum TSE")</f>
        <v>Talentum TSE</v>
      </c>
      <c r="B2149" s="1" t="str">
        <f ca="1">IFERROR(__xludf.DUMMYFUNCTION("""COMPUTED_VALUE"""),"Sztankó Júlia")</f>
        <v>Sztankó Júlia</v>
      </c>
      <c r="C2149" s="1"/>
      <c r="D2149" s="1" t="str">
        <f ca="1">IFERROR(__xludf.DUMMYFUNCTION("""COMPUTED_VALUE"""),"Nő")</f>
        <v>Nő</v>
      </c>
      <c r="E2149" s="1"/>
      <c r="F2149" s="1">
        <f ca="1">IFERROR(__xludf.DUMMYFUNCTION("""COMPUTED_VALUE"""),2000)</f>
        <v>2000</v>
      </c>
      <c r="G2149" s="1">
        <f ca="1">IFERROR(__xludf.DUMMYFUNCTION("""COMPUTED_VALUE"""),3397)</f>
        <v>3397</v>
      </c>
      <c r="H2149" s="1" t="str">
        <f ca="1">IFERROR(__xludf.DUMMYFUNCTION("""COMPUTED_VALUE"""),"MTLSZ003397A19")</f>
        <v>MTLSZ003397A19</v>
      </c>
      <c r="I2149" s="2">
        <f ca="1">IFERROR(__xludf.DUMMYFUNCTION("""COMPUTED_VALUE"""),43719)</f>
        <v>43719</v>
      </c>
      <c r="J2149" s="2">
        <f ca="1">IFERROR(__xludf.DUMMYFUNCTION("""COMPUTED_VALUE"""),44084)</f>
        <v>44084</v>
      </c>
    </row>
    <row r="2150" spans="1:10" x14ac:dyDescent="0.25">
      <c r="A2150" s="1" t="str">
        <f ca="1">IFERROR(__xludf.DUMMYFUNCTION("""COMPUTED_VALUE"""),"Tisza TSE")</f>
        <v>Tisza TSE</v>
      </c>
      <c r="B2150" s="1" t="str">
        <f ca="1">IFERROR(__xludf.DUMMYFUNCTION("""COMPUTED_VALUE"""),"Gellért Benedek")</f>
        <v>Gellért Benedek</v>
      </c>
      <c r="C2150" s="1"/>
      <c r="D2150" s="1" t="str">
        <f ca="1">IFERROR(__xludf.DUMMYFUNCTION("""COMPUTED_VALUE"""),"Férfi")</f>
        <v>Férfi</v>
      </c>
      <c r="E2150" s="1"/>
      <c r="F2150" s="1">
        <f ca="1">IFERROR(__xludf.DUMMYFUNCTION("""COMPUTED_VALUE"""),2000)</f>
        <v>2000</v>
      </c>
      <c r="G2150" s="1">
        <f ca="1">IFERROR(__xludf.DUMMYFUNCTION("""COMPUTED_VALUE"""),2046)</f>
        <v>2046</v>
      </c>
      <c r="H2150" s="1" t="str">
        <f ca="1">IFERROR(__xludf.DUMMYFUNCTION("""COMPUTED_VALUE"""),"MTLSZ002046A19")</f>
        <v>MTLSZ002046A19</v>
      </c>
      <c r="I2150" s="2">
        <f ca="1">IFERROR(__xludf.DUMMYFUNCTION("""COMPUTED_VALUE"""),43719)</f>
        <v>43719</v>
      </c>
      <c r="J2150" s="2">
        <f ca="1">IFERROR(__xludf.DUMMYFUNCTION("""COMPUTED_VALUE"""),44084)</f>
        <v>44084</v>
      </c>
    </row>
    <row r="2151" spans="1:10" x14ac:dyDescent="0.25">
      <c r="A2151" s="1" t="str">
        <f ca="1">IFERROR(__xludf.DUMMYFUNCTION("""COMPUTED_VALUE"""),"Tisza TSE")</f>
        <v>Tisza TSE</v>
      </c>
      <c r="B2151" s="1" t="str">
        <f ca="1">IFERROR(__xludf.DUMMYFUNCTION("""COMPUTED_VALUE"""),"Kőműves Csongor")</f>
        <v>Kőműves Csongor</v>
      </c>
      <c r="C2151" s="1"/>
      <c r="D2151" s="1" t="str">
        <f ca="1">IFERROR(__xludf.DUMMYFUNCTION("""COMPUTED_VALUE"""),"Férfi")</f>
        <v>Férfi</v>
      </c>
      <c r="E2151" s="1"/>
      <c r="F2151" s="1">
        <f ca="1">IFERROR(__xludf.DUMMYFUNCTION("""COMPUTED_VALUE"""),2000)</f>
        <v>2000</v>
      </c>
      <c r="G2151" s="1">
        <f ca="1">IFERROR(__xludf.DUMMYFUNCTION("""COMPUTED_VALUE"""),2164)</f>
        <v>2164</v>
      </c>
      <c r="H2151" s="1" t="str">
        <f ca="1">IFERROR(__xludf.DUMMYFUNCTION("""COMPUTED_VALUE"""),"MTLSZ002164A19")</f>
        <v>MTLSZ002164A19</v>
      </c>
      <c r="I2151" s="2">
        <f ca="1">IFERROR(__xludf.DUMMYFUNCTION("""COMPUTED_VALUE"""),43719)</f>
        <v>43719</v>
      </c>
      <c r="J2151" s="2">
        <f ca="1">IFERROR(__xludf.DUMMYFUNCTION("""COMPUTED_VALUE"""),44084)</f>
        <v>44084</v>
      </c>
    </row>
    <row r="2152" spans="1:10" x14ac:dyDescent="0.25">
      <c r="A2152" s="1" t="str">
        <f ca="1">IFERROR(__xludf.DUMMYFUNCTION("""COMPUTED_VALUE"""),"T(r)ollas SE")</f>
        <v>T(r)ollas SE</v>
      </c>
      <c r="B2152" s="1" t="str">
        <f ca="1">IFERROR(__xludf.DUMMYFUNCTION("""COMPUTED_VALUE"""),"Pálfi Lilla")</f>
        <v>Pálfi Lilla</v>
      </c>
      <c r="C2152" s="1"/>
      <c r="D2152" s="1" t="str">
        <f ca="1">IFERROR(__xludf.DUMMYFUNCTION("""COMPUTED_VALUE"""),"Nő")</f>
        <v>Nő</v>
      </c>
      <c r="E2152" s="1"/>
      <c r="F2152" s="1">
        <f ca="1">IFERROR(__xludf.DUMMYFUNCTION("""COMPUTED_VALUE"""),2003)</f>
        <v>2003</v>
      </c>
      <c r="G2152" s="1">
        <f ca="1">IFERROR(__xludf.DUMMYFUNCTION("""COMPUTED_VALUE"""),3155)</f>
        <v>3155</v>
      </c>
      <c r="H2152" s="1" t="str">
        <f ca="1">IFERROR(__xludf.DUMMYFUNCTION("""COMPUTED_VALUE"""),"MTLSZ003155A19")</f>
        <v>MTLSZ003155A19</v>
      </c>
      <c r="I2152" s="2">
        <f ca="1">IFERROR(__xludf.DUMMYFUNCTION("""COMPUTED_VALUE"""),43719)</f>
        <v>43719</v>
      </c>
      <c r="J2152" s="2">
        <f ca="1">IFERROR(__xludf.DUMMYFUNCTION("""COMPUTED_VALUE"""),44084)</f>
        <v>44084</v>
      </c>
    </row>
    <row r="2153" spans="1:10" x14ac:dyDescent="0.25">
      <c r="A2153" s="1" t="str">
        <f ca="1">IFERROR(__xludf.DUMMYFUNCTION("""COMPUTED_VALUE"""),"Multi Alarm SE")</f>
        <v>Multi Alarm SE</v>
      </c>
      <c r="B2153" s="1" t="str">
        <f ca="1">IFERROR(__xludf.DUMMYFUNCTION("""COMPUTED_VALUE"""),"Bende Zétény")</f>
        <v>Bende Zétény</v>
      </c>
      <c r="C2153" s="1"/>
      <c r="D2153" s="1" t="str">
        <f ca="1">IFERROR(__xludf.DUMMYFUNCTION("""COMPUTED_VALUE"""),"Férfi")</f>
        <v>Férfi</v>
      </c>
      <c r="E2153" s="1"/>
      <c r="F2153" s="1">
        <f ca="1">IFERROR(__xludf.DUMMYFUNCTION("""COMPUTED_VALUE"""),2009)</f>
        <v>2009</v>
      </c>
      <c r="G2153" s="1">
        <f ca="1">IFERROR(__xludf.DUMMYFUNCTION("""COMPUTED_VALUE"""),3392)</f>
        <v>3392</v>
      </c>
      <c r="H2153" s="1" t="str">
        <f ca="1">IFERROR(__xludf.DUMMYFUNCTION("""COMPUTED_VALUE"""),"MTLSZ003392A19")</f>
        <v>MTLSZ003392A19</v>
      </c>
      <c r="I2153" s="2">
        <f ca="1">IFERROR(__xludf.DUMMYFUNCTION("""COMPUTED_VALUE"""),43718)</f>
        <v>43718</v>
      </c>
      <c r="J2153" s="2">
        <f ca="1">IFERROR(__xludf.DUMMYFUNCTION("""COMPUTED_VALUE"""),44083)</f>
        <v>44083</v>
      </c>
    </row>
    <row r="2154" spans="1:10" x14ac:dyDescent="0.25">
      <c r="A2154" s="1" t="str">
        <f ca="1">IFERROR(__xludf.DUMMYFUNCTION("""COMPUTED_VALUE"""),"Multi Alarm SE")</f>
        <v>Multi Alarm SE</v>
      </c>
      <c r="B2154" s="1" t="str">
        <f ca="1">IFERROR(__xludf.DUMMYFUNCTION("""COMPUTED_VALUE"""),"Bukoviczki Nikoletta")</f>
        <v>Bukoviczki Nikoletta</v>
      </c>
      <c r="C2154" s="1"/>
      <c r="D2154" s="1" t="str">
        <f ca="1">IFERROR(__xludf.DUMMYFUNCTION("""COMPUTED_VALUE"""),"Nő")</f>
        <v>Nő</v>
      </c>
      <c r="E2154" s="1"/>
      <c r="F2154" s="1">
        <f ca="1">IFERROR(__xludf.DUMMYFUNCTION("""COMPUTED_VALUE"""),1997)</f>
        <v>1997</v>
      </c>
      <c r="G2154" s="1">
        <f ca="1">IFERROR(__xludf.DUMMYFUNCTION("""COMPUTED_VALUE"""),1887)</f>
        <v>1887</v>
      </c>
      <c r="H2154" s="1" t="str">
        <f ca="1">IFERROR(__xludf.DUMMYFUNCTION("""COMPUTED_VALUE"""),"MTLSZ001887A19")</f>
        <v>MTLSZ001887A19</v>
      </c>
      <c r="I2154" s="2">
        <f ca="1">IFERROR(__xludf.DUMMYFUNCTION("""COMPUTED_VALUE"""),43718)</f>
        <v>43718</v>
      </c>
      <c r="J2154" s="2">
        <f ca="1">IFERROR(__xludf.DUMMYFUNCTION("""COMPUTED_VALUE"""),44083)</f>
        <v>44083</v>
      </c>
    </row>
    <row r="2155" spans="1:10" x14ac:dyDescent="0.25">
      <c r="A2155" s="1" t="str">
        <f ca="1">IFERROR(__xludf.DUMMYFUNCTION("""COMPUTED_VALUE"""),"Multi Alarm SE")</f>
        <v>Multi Alarm SE</v>
      </c>
      <c r="B2155" s="1" t="str">
        <f ca="1">IFERROR(__xludf.DUMMYFUNCTION("""COMPUTED_VALUE"""),"Donáczi Gergő")</f>
        <v>Donáczi Gergő</v>
      </c>
      <c r="C2155" s="1"/>
      <c r="D2155" s="1" t="str">
        <f ca="1">IFERROR(__xludf.DUMMYFUNCTION("""COMPUTED_VALUE"""),"Férfi")</f>
        <v>Férfi</v>
      </c>
      <c r="E2155" s="1"/>
      <c r="F2155" s="1">
        <f ca="1">IFERROR(__xludf.DUMMYFUNCTION("""COMPUTED_VALUE"""),2005)</f>
        <v>2005</v>
      </c>
      <c r="G2155" s="1">
        <f ca="1">IFERROR(__xludf.DUMMYFUNCTION("""COMPUTED_VALUE"""),2831)</f>
        <v>2831</v>
      </c>
      <c r="H2155" s="1" t="str">
        <f ca="1">IFERROR(__xludf.DUMMYFUNCTION("""COMPUTED_VALUE"""),"MTLSZ002831A19")</f>
        <v>MTLSZ002831A19</v>
      </c>
      <c r="I2155" s="2">
        <f ca="1">IFERROR(__xludf.DUMMYFUNCTION("""COMPUTED_VALUE"""),43718)</f>
        <v>43718</v>
      </c>
      <c r="J2155" s="2">
        <f ca="1">IFERROR(__xludf.DUMMYFUNCTION("""COMPUTED_VALUE"""),44083)</f>
        <v>44083</v>
      </c>
    </row>
    <row r="2156" spans="1:10" x14ac:dyDescent="0.25">
      <c r="A2156" s="1" t="str">
        <f ca="1">IFERROR(__xludf.DUMMYFUNCTION("""COMPUTED_VALUE"""),"Multi Alarm SE")</f>
        <v>Multi Alarm SE</v>
      </c>
      <c r="B2156" s="1" t="str">
        <f ca="1">IFERROR(__xludf.DUMMYFUNCTION("""COMPUTED_VALUE"""),"Jakab Csongor")</f>
        <v>Jakab Csongor</v>
      </c>
      <c r="C2156" s="1"/>
      <c r="D2156" s="1" t="str">
        <f ca="1">IFERROR(__xludf.DUMMYFUNCTION("""COMPUTED_VALUE"""),"Férfi")</f>
        <v>Férfi</v>
      </c>
      <c r="E2156" s="1"/>
      <c r="F2156" s="1">
        <f ca="1">IFERROR(__xludf.DUMMYFUNCTION("""COMPUTED_VALUE"""),2010)</f>
        <v>2010</v>
      </c>
      <c r="G2156" s="1">
        <f ca="1">IFERROR(__xludf.DUMMYFUNCTION("""COMPUTED_VALUE"""),3270)</f>
        <v>3270</v>
      </c>
      <c r="H2156" s="1" t="str">
        <f ca="1">IFERROR(__xludf.DUMMYFUNCTION("""COMPUTED_VALUE"""),"MTLSZ003270A19")</f>
        <v>MTLSZ003270A19</v>
      </c>
      <c r="I2156" s="2">
        <f ca="1">IFERROR(__xludf.DUMMYFUNCTION("""COMPUTED_VALUE"""),43718)</f>
        <v>43718</v>
      </c>
      <c r="J2156" s="2">
        <f ca="1">IFERROR(__xludf.DUMMYFUNCTION("""COMPUTED_VALUE"""),44083)</f>
        <v>44083</v>
      </c>
    </row>
    <row r="2157" spans="1:10" x14ac:dyDescent="0.25">
      <c r="A2157" s="1" t="str">
        <f ca="1">IFERROR(__xludf.DUMMYFUNCTION("""COMPUTED_VALUE"""),"Multi Alarm SE")</f>
        <v>Multi Alarm SE</v>
      </c>
      <c r="B2157" s="1" t="str">
        <f ca="1">IFERROR(__xludf.DUMMYFUNCTION("""COMPUTED_VALUE"""),"Maros Róza")</f>
        <v>Maros Róza</v>
      </c>
      <c r="C2157" s="1"/>
      <c r="D2157" s="1" t="str">
        <f ca="1">IFERROR(__xludf.DUMMYFUNCTION("""COMPUTED_VALUE"""),"Nő")</f>
        <v>Nő</v>
      </c>
      <c r="E2157" s="1"/>
      <c r="F2157" s="1">
        <f ca="1">IFERROR(__xludf.DUMMYFUNCTION("""COMPUTED_VALUE"""),2006)</f>
        <v>2006</v>
      </c>
      <c r="G2157" s="1">
        <f ca="1">IFERROR(__xludf.DUMMYFUNCTION("""COMPUTED_VALUE"""),2998)</f>
        <v>2998</v>
      </c>
      <c r="H2157" s="1" t="str">
        <f ca="1">IFERROR(__xludf.DUMMYFUNCTION("""COMPUTED_VALUE"""),"MTLSZ002998A19")</f>
        <v>MTLSZ002998A19</v>
      </c>
      <c r="I2157" s="2">
        <f ca="1">IFERROR(__xludf.DUMMYFUNCTION("""COMPUTED_VALUE"""),43718)</f>
        <v>43718</v>
      </c>
      <c r="J2157" s="2">
        <f ca="1">IFERROR(__xludf.DUMMYFUNCTION("""COMPUTED_VALUE"""),44083)</f>
        <v>44083</v>
      </c>
    </row>
    <row r="2158" spans="1:10" x14ac:dyDescent="0.25">
      <c r="A2158" s="1" t="str">
        <f ca="1">IFERROR(__xludf.DUMMYFUNCTION("""COMPUTED_VALUE"""),"Multi Alarm SE")</f>
        <v>Multi Alarm SE</v>
      </c>
      <c r="B2158" s="1" t="str">
        <f ca="1">IFERROR(__xludf.DUMMYFUNCTION("""COMPUTED_VALUE"""),"Quaritsch Dániel")</f>
        <v>Quaritsch Dániel</v>
      </c>
      <c r="C2158" s="1"/>
      <c r="D2158" s="1" t="str">
        <f ca="1">IFERROR(__xludf.DUMMYFUNCTION("""COMPUTED_VALUE"""),"Férfi")</f>
        <v>Férfi</v>
      </c>
      <c r="E2158" s="1"/>
      <c r="F2158" s="1">
        <f ca="1">IFERROR(__xludf.DUMMYFUNCTION("""COMPUTED_VALUE"""),2007)</f>
        <v>2007</v>
      </c>
      <c r="G2158" s="1">
        <f ca="1">IFERROR(__xludf.DUMMYFUNCTION("""COMPUTED_VALUE"""),2729)</f>
        <v>2729</v>
      </c>
      <c r="H2158" s="1" t="str">
        <f ca="1">IFERROR(__xludf.DUMMYFUNCTION("""COMPUTED_VALUE"""),"MTLSZ002729A19")</f>
        <v>MTLSZ002729A19</v>
      </c>
      <c r="I2158" s="2">
        <f ca="1">IFERROR(__xludf.DUMMYFUNCTION("""COMPUTED_VALUE"""),43718)</f>
        <v>43718</v>
      </c>
      <c r="J2158" s="2">
        <f ca="1">IFERROR(__xludf.DUMMYFUNCTION("""COMPUTED_VALUE"""),44083)</f>
        <v>44083</v>
      </c>
    </row>
    <row r="2159" spans="1:10" x14ac:dyDescent="0.25">
      <c r="A2159" s="1" t="str">
        <f ca="1">IFERROR(__xludf.DUMMYFUNCTION("""COMPUTED_VALUE"""),"Multi Alarm SE")</f>
        <v>Multi Alarm SE</v>
      </c>
      <c r="B2159" s="1" t="str">
        <f ca="1">IFERROR(__xludf.DUMMYFUNCTION("""COMPUTED_VALUE"""),"Rezneki Jázmin")</f>
        <v>Rezneki Jázmin</v>
      </c>
      <c r="C2159" s="1"/>
      <c r="D2159" s="1" t="str">
        <f ca="1">IFERROR(__xludf.DUMMYFUNCTION("""COMPUTED_VALUE"""),"Nő")</f>
        <v>Nő</v>
      </c>
      <c r="E2159" s="1"/>
      <c r="F2159" s="1">
        <f ca="1">IFERROR(__xludf.DUMMYFUNCTION("""COMPUTED_VALUE"""),2008)</f>
        <v>2008</v>
      </c>
      <c r="G2159" s="1">
        <f ca="1">IFERROR(__xludf.DUMMYFUNCTION("""COMPUTED_VALUE"""),3089)</f>
        <v>3089</v>
      </c>
      <c r="H2159" s="1" t="str">
        <f ca="1">IFERROR(__xludf.DUMMYFUNCTION("""COMPUTED_VALUE"""),"MTLSZ003089A19")</f>
        <v>MTLSZ003089A19</v>
      </c>
      <c r="I2159" s="2">
        <f ca="1">IFERROR(__xludf.DUMMYFUNCTION("""COMPUTED_VALUE"""),43718)</f>
        <v>43718</v>
      </c>
      <c r="J2159" s="2">
        <f ca="1">IFERROR(__xludf.DUMMYFUNCTION("""COMPUTED_VALUE"""),44083)</f>
        <v>44083</v>
      </c>
    </row>
    <row r="2160" spans="1:10" x14ac:dyDescent="0.25">
      <c r="A2160" s="1" t="str">
        <f ca="1">IFERROR(__xludf.DUMMYFUNCTION("""COMPUTED_VALUE"""),"Multi Alarm SE")</f>
        <v>Multi Alarm SE</v>
      </c>
      <c r="B2160" s="1" t="str">
        <f ca="1">IFERROR(__xludf.DUMMYFUNCTION("""COMPUTED_VALUE"""),"Szabó Dániel")</f>
        <v>Szabó Dániel</v>
      </c>
      <c r="C2160" s="1"/>
      <c r="D2160" s="1" t="str">
        <f ca="1">IFERROR(__xludf.DUMMYFUNCTION("""COMPUTED_VALUE"""),"Férfi")</f>
        <v>Férfi</v>
      </c>
      <c r="E2160" s="1"/>
      <c r="F2160" s="1">
        <f ca="1">IFERROR(__xludf.DUMMYFUNCTION("""COMPUTED_VALUE"""),2009)</f>
        <v>2009</v>
      </c>
      <c r="G2160" s="1">
        <f ca="1">IFERROR(__xludf.DUMMYFUNCTION("""COMPUTED_VALUE"""),3299)</f>
        <v>3299</v>
      </c>
      <c r="H2160" s="1" t="str">
        <f ca="1">IFERROR(__xludf.DUMMYFUNCTION("""COMPUTED_VALUE"""),"MTLSZ003299A19")</f>
        <v>MTLSZ003299A19</v>
      </c>
      <c r="I2160" s="2">
        <f ca="1">IFERROR(__xludf.DUMMYFUNCTION("""COMPUTED_VALUE"""),43718)</f>
        <v>43718</v>
      </c>
      <c r="J2160" s="2">
        <f ca="1">IFERROR(__xludf.DUMMYFUNCTION("""COMPUTED_VALUE"""),44083)</f>
        <v>44083</v>
      </c>
    </row>
    <row r="2161" spans="1:10" x14ac:dyDescent="0.25">
      <c r="A2161" s="1" t="str">
        <f ca="1">IFERROR(__xludf.DUMMYFUNCTION("""COMPUTED_VALUE"""),"Multi Alarm SE")</f>
        <v>Multi Alarm SE</v>
      </c>
      <c r="B2161" s="1" t="str">
        <f ca="1">IFERROR(__xludf.DUMMYFUNCTION("""COMPUTED_VALUE"""),"Tálos Aisa")</f>
        <v>Tálos Aisa</v>
      </c>
      <c r="C2161" s="1"/>
      <c r="D2161" s="1" t="str">
        <f ca="1">IFERROR(__xludf.DUMMYFUNCTION("""COMPUTED_VALUE"""),"Nő")</f>
        <v>Nő</v>
      </c>
      <c r="E2161" s="1"/>
      <c r="F2161" s="1">
        <f ca="1">IFERROR(__xludf.DUMMYFUNCTION("""COMPUTED_VALUE"""),2009)</f>
        <v>2009</v>
      </c>
      <c r="G2161" s="1">
        <f ca="1">IFERROR(__xludf.DUMMYFUNCTION("""COMPUTED_VALUE"""),3388)</f>
        <v>3388</v>
      </c>
      <c r="H2161" s="1" t="str">
        <f ca="1">IFERROR(__xludf.DUMMYFUNCTION("""COMPUTED_VALUE"""),"MTLSZ003388A19")</f>
        <v>MTLSZ003388A19</v>
      </c>
      <c r="I2161" s="2">
        <f ca="1">IFERROR(__xludf.DUMMYFUNCTION("""COMPUTED_VALUE"""),43718)</f>
        <v>43718</v>
      </c>
      <c r="J2161" s="2">
        <f ca="1">IFERROR(__xludf.DUMMYFUNCTION("""COMPUTED_VALUE"""),44083)</f>
        <v>44083</v>
      </c>
    </row>
    <row r="2162" spans="1:10" x14ac:dyDescent="0.25">
      <c r="A2162" s="1" t="str">
        <f ca="1">IFERROR(__xludf.DUMMYFUNCTION("""COMPUTED_VALUE"""),"Tisza TSE")</f>
        <v>Tisza TSE</v>
      </c>
      <c r="B2162" s="1" t="str">
        <f ca="1">IFERROR(__xludf.DUMMYFUNCTION("""COMPUTED_VALUE"""),"Bordás Gyöngyvér")</f>
        <v>Bordás Gyöngyvér</v>
      </c>
      <c r="C2162" s="1"/>
      <c r="D2162" s="1" t="str">
        <f ca="1">IFERROR(__xludf.DUMMYFUNCTION("""COMPUTED_VALUE"""),"Nő")</f>
        <v>Nő</v>
      </c>
      <c r="E2162" s="1"/>
      <c r="F2162" s="1">
        <f ca="1">IFERROR(__xludf.DUMMYFUNCTION("""COMPUTED_VALUE"""),2002)</f>
        <v>2002</v>
      </c>
      <c r="G2162" s="1">
        <f ca="1">IFERROR(__xludf.DUMMYFUNCTION("""COMPUTED_VALUE"""),2787)</f>
        <v>2787</v>
      </c>
      <c r="H2162" s="1" t="str">
        <f ca="1">IFERROR(__xludf.DUMMYFUNCTION("""COMPUTED_VALUE"""),"MTLSZ002787A19")</f>
        <v>MTLSZ002787A19</v>
      </c>
      <c r="I2162" s="2">
        <f ca="1">IFERROR(__xludf.DUMMYFUNCTION("""COMPUTED_VALUE"""),43718)</f>
        <v>43718</v>
      </c>
      <c r="J2162" s="2">
        <f ca="1">IFERROR(__xludf.DUMMYFUNCTION("""COMPUTED_VALUE"""),44083)</f>
        <v>44083</v>
      </c>
    </row>
    <row r="2163" spans="1:10" x14ac:dyDescent="0.25">
      <c r="A2163" s="1" t="str">
        <f ca="1">IFERROR(__xludf.DUMMYFUNCTION("""COMPUTED_VALUE"""),"Tisza TSE")</f>
        <v>Tisza TSE</v>
      </c>
      <c r="B2163" s="1" t="str">
        <f ca="1">IFERROR(__xludf.DUMMYFUNCTION("""COMPUTED_VALUE"""),"Matusovits B. Döme")</f>
        <v>Matusovits B. Döme</v>
      </c>
      <c r="C2163" s="1"/>
      <c r="D2163" s="1" t="str">
        <f ca="1">IFERROR(__xludf.DUMMYFUNCTION("""COMPUTED_VALUE"""),"Férfi")</f>
        <v>Férfi</v>
      </c>
      <c r="E2163" s="1"/>
      <c r="F2163" s="1">
        <f ca="1">IFERROR(__xludf.DUMMYFUNCTION("""COMPUTED_VALUE"""),2001)</f>
        <v>2001</v>
      </c>
      <c r="G2163" s="1">
        <f ca="1">IFERROR(__xludf.DUMMYFUNCTION("""COMPUTED_VALUE"""),2569)</f>
        <v>2569</v>
      </c>
      <c r="H2163" s="1" t="str">
        <f ca="1">IFERROR(__xludf.DUMMYFUNCTION("""COMPUTED_VALUE"""),"MTLSZ002569A19")</f>
        <v>MTLSZ002569A19</v>
      </c>
      <c r="I2163" s="2">
        <f ca="1">IFERROR(__xludf.DUMMYFUNCTION("""COMPUTED_VALUE"""),43718)</f>
        <v>43718</v>
      </c>
      <c r="J2163" s="2">
        <f ca="1">IFERROR(__xludf.DUMMYFUNCTION("""COMPUTED_VALUE"""),44083)</f>
        <v>44083</v>
      </c>
    </row>
    <row r="2164" spans="1:10" x14ac:dyDescent="0.25">
      <c r="A2164" s="1" t="str">
        <f ca="1">IFERROR(__xludf.DUMMYFUNCTION("""COMPUTED_VALUE"""),"OSC")</f>
        <v>OSC</v>
      </c>
      <c r="B2164" s="1" t="str">
        <f ca="1">IFERROR(__xludf.DUMMYFUNCTION("""COMPUTED_VALUE"""),"Berey Edina")</f>
        <v>Berey Edina</v>
      </c>
      <c r="C2164" s="1"/>
      <c r="D2164" s="1" t="str">
        <f ca="1">IFERROR(__xludf.DUMMYFUNCTION("""COMPUTED_VALUE"""),"Nő")</f>
        <v>Nő</v>
      </c>
      <c r="E2164" s="1"/>
      <c r="F2164" s="1">
        <f ca="1">IFERROR(__xludf.DUMMYFUNCTION("""COMPUTED_VALUE"""),2004)</f>
        <v>2004</v>
      </c>
      <c r="G2164" s="1">
        <f ca="1">IFERROR(__xludf.DUMMYFUNCTION("""COMPUTED_VALUE"""),3383)</f>
        <v>3383</v>
      </c>
      <c r="H2164" s="1" t="str">
        <f ca="1">IFERROR(__xludf.DUMMYFUNCTION("""COMPUTED_VALUE"""),"MTLSZ003383A19")</f>
        <v>MTLSZ003383A19</v>
      </c>
      <c r="I2164" s="2">
        <f ca="1">IFERROR(__xludf.DUMMYFUNCTION("""COMPUTED_VALUE"""),43713)</f>
        <v>43713</v>
      </c>
      <c r="J2164" s="2">
        <f ca="1">IFERROR(__xludf.DUMMYFUNCTION("""COMPUTED_VALUE"""),44078)</f>
        <v>44078</v>
      </c>
    </row>
    <row r="2165" spans="1:10" x14ac:dyDescent="0.25">
      <c r="A2165" s="1" t="str">
        <f ca="1">IFERROR(__xludf.DUMMYFUNCTION("""COMPUTED_VALUE"""),"OSC")</f>
        <v>OSC</v>
      </c>
      <c r="B2165" s="1" t="str">
        <f ca="1">IFERROR(__xludf.DUMMYFUNCTION("""COMPUTED_VALUE"""),"Muszely Barnabás")</f>
        <v>Muszely Barnabás</v>
      </c>
      <c r="C2165" s="1"/>
      <c r="D2165" s="1" t="str">
        <f ca="1">IFERROR(__xludf.DUMMYFUNCTION("""COMPUTED_VALUE"""),"Férfi")</f>
        <v>Férfi</v>
      </c>
      <c r="E2165" s="1"/>
      <c r="F2165" s="1">
        <f ca="1">IFERROR(__xludf.DUMMYFUNCTION("""COMPUTED_VALUE"""),2008)</f>
        <v>2008</v>
      </c>
      <c r="G2165" s="1">
        <f ca="1">IFERROR(__xludf.DUMMYFUNCTION("""COMPUTED_VALUE"""),3382)</f>
        <v>3382</v>
      </c>
      <c r="H2165" s="1" t="str">
        <f ca="1">IFERROR(__xludf.DUMMYFUNCTION("""COMPUTED_VALUE"""),"MTLSZ003382A19")</f>
        <v>MTLSZ003382A19</v>
      </c>
      <c r="I2165" s="2">
        <f ca="1">IFERROR(__xludf.DUMMYFUNCTION("""COMPUTED_VALUE"""),43713)</f>
        <v>43713</v>
      </c>
      <c r="J2165" s="2">
        <f ca="1">IFERROR(__xludf.DUMMYFUNCTION("""COMPUTED_VALUE"""),44078)</f>
        <v>44078</v>
      </c>
    </row>
    <row r="2166" spans="1:10" x14ac:dyDescent="0.25">
      <c r="A2166" s="1" t="str">
        <f ca="1">IFERROR(__xludf.DUMMYFUNCTION("""COMPUTED_VALUE"""),"OSC")</f>
        <v>OSC</v>
      </c>
      <c r="B2166" s="1" t="str">
        <f ca="1">IFERROR(__xludf.DUMMYFUNCTION("""COMPUTED_VALUE"""),"Perjési Botond")</f>
        <v>Perjési Botond</v>
      </c>
      <c r="C2166" s="1"/>
      <c r="D2166" s="1" t="str">
        <f ca="1">IFERROR(__xludf.DUMMYFUNCTION("""COMPUTED_VALUE"""),"Férfi")</f>
        <v>Férfi</v>
      </c>
      <c r="E2166" s="1"/>
      <c r="F2166" s="1">
        <f ca="1">IFERROR(__xludf.DUMMYFUNCTION("""COMPUTED_VALUE"""),2007)</f>
        <v>2007</v>
      </c>
      <c r="G2166" s="1">
        <f ca="1">IFERROR(__xludf.DUMMYFUNCTION("""COMPUTED_VALUE"""),3381)</f>
        <v>3381</v>
      </c>
      <c r="H2166" s="1" t="str">
        <f ca="1">IFERROR(__xludf.DUMMYFUNCTION("""COMPUTED_VALUE"""),"MTLSZ003381A19")</f>
        <v>MTLSZ003381A19</v>
      </c>
      <c r="I2166" s="2">
        <f ca="1">IFERROR(__xludf.DUMMYFUNCTION("""COMPUTED_VALUE"""),43713)</f>
        <v>43713</v>
      </c>
      <c r="J2166" s="2">
        <f ca="1">IFERROR(__xludf.DUMMYFUNCTION("""COMPUTED_VALUE"""),44078)</f>
        <v>44078</v>
      </c>
    </row>
    <row r="2167" spans="1:10" x14ac:dyDescent="0.25">
      <c r="A2167" s="1" t="str">
        <f ca="1">IFERROR(__xludf.DUMMYFUNCTION("""COMPUTED_VALUE"""),"Klébi DSE")</f>
        <v>Klébi DSE</v>
      </c>
      <c r="B2167" s="1" t="str">
        <f ca="1">IFERROR(__xludf.DUMMYFUNCTION("""COMPUTED_VALUE"""),"Szarka Bence")</f>
        <v>Szarka Bence</v>
      </c>
      <c r="C2167" s="1"/>
      <c r="D2167" s="1" t="str">
        <f ca="1">IFERROR(__xludf.DUMMYFUNCTION("""COMPUTED_VALUE"""),"Férfi")</f>
        <v>Férfi</v>
      </c>
      <c r="E2167" s="1"/>
      <c r="F2167" s="1">
        <f ca="1">IFERROR(__xludf.DUMMYFUNCTION("""COMPUTED_VALUE"""),2000)</f>
        <v>2000</v>
      </c>
      <c r="G2167" s="1">
        <f ca="1">IFERROR(__xludf.DUMMYFUNCTION("""COMPUTED_VALUE"""),2884)</f>
        <v>2884</v>
      </c>
      <c r="H2167" s="1" t="str">
        <f ca="1">IFERROR(__xludf.DUMMYFUNCTION("""COMPUTED_VALUE"""),"MTLSZ002884A19")</f>
        <v>MTLSZ002884A19</v>
      </c>
      <c r="I2167" s="2">
        <f ca="1">IFERROR(__xludf.DUMMYFUNCTION("""COMPUTED_VALUE"""),43712)</f>
        <v>43712</v>
      </c>
      <c r="J2167" s="2">
        <f ca="1">IFERROR(__xludf.DUMMYFUNCTION("""COMPUTED_VALUE"""),44077)</f>
        <v>44077</v>
      </c>
    </row>
    <row r="2168" spans="1:10" x14ac:dyDescent="0.25">
      <c r="A2168" s="1" t="str">
        <f ca="1">IFERROR(__xludf.DUMMYFUNCTION("""COMPUTED_VALUE"""),"OSC")</f>
        <v>OSC</v>
      </c>
      <c r="B2168" s="1" t="str">
        <f ca="1">IFERROR(__xludf.DUMMYFUNCTION("""COMPUTED_VALUE"""),"Repei Petra")</f>
        <v>Repei Petra</v>
      </c>
      <c r="C2168" s="1"/>
      <c r="D2168" s="1" t="str">
        <f ca="1">IFERROR(__xludf.DUMMYFUNCTION("""COMPUTED_VALUE"""),"Nő")</f>
        <v>Nő</v>
      </c>
      <c r="E2168" s="1"/>
      <c r="F2168" s="1">
        <f ca="1">IFERROR(__xludf.DUMMYFUNCTION("""COMPUTED_VALUE"""),2006)</f>
        <v>2006</v>
      </c>
      <c r="G2168" s="1">
        <f ca="1">IFERROR(__xludf.DUMMYFUNCTION("""COMPUTED_VALUE"""),3163)</f>
        <v>3163</v>
      </c>
      <c r="H2168" s="1" t="str">
        <f ca="1">IFERROR(__xludf.DUMMYFUNCTION("""COMPUTED_VALUE"""),"MTLSZ003163A19")</f>
        <v>MTLSZ003163A19</v>
      </c>
      <c r="I2168" s="2">
        <f ca="1">IFERROR(__xludf.DUMMYFUNCTION("""COMPUTED_VALUE"""),43712)</f>
        <v>43712</v>
      </c>
      <c r="J2168" s="2">
        <f ca="1">IFERROR(__xludf.DUMMYFUNCTION("""COMPUTED_VALUE"""),44077)</f>
        <v>44077</v>
      </c>
    </row>
    <row r="2169" spans="1:10" x14ac:dyDescent="0.25">
      <c r="A2169" s="1" t="str">
        <f ca="1">IFERROR(__xludf.DUMMYFUNCTION("""COMPUTED_VALUE"""),"SZGYE SZE")</f>
        <v>SZGYE SZE</v>
      </c>
      <c r="B2169" s="1" t="str">
        <f ca="1">IFERROR(__xludf.DUMMYFUNCTION("""COMPUTED_VALUE"""),"Willner-Haring Dóra")</f>
        <v>Willner-Haring Dóra</v>
      </c>
      <c r="C2169" s="1"/>
      <c r="D2169" s="1" t="str">
        <f ca="1">IFERROR(__xludf.DUMMYFUNCTION("""COMPUTED_VALUE"""),"Nő")</f>
        <v>Nő</v>
      </c>
      <c r="E2169" s="1"/>
      <c r="F2169" s="1">
        <f ca="1">IFERROR(__xludf.DUMMYFUNCTION("""COMPUTED_VALUE"""),2008)</f>
        <v>2008</v>
      </c>
      <c r="G2169" s="1">
        <f ca="1">IFERROR(__xludf.DUMMYFUNCTION("""COMPUTED_VALUE"""),3000)</f>
        <v>3000</v>
      </c>
      <c r="H2169" s="1" t="str">
        <f ca="1">IFERROR(__xludf.DUMMYFUNCTION("""COMPUTED_VALUE"""),"MTLSZ003000A19")</f>
        <v>MTLSZ003000A19</v>
      </c>
      <c r="I2169" s="2">
        <f ca="1">IFERROR(__xludf.DUMMYFUNCTION("""COMPUTED_VALUE"""),43712)</f>
        <v>43712</v>
      </c>
      <c r="J2169" s="2">
        <f ca="1">IFERROR(__xludf.DUMMYFUNCTION("""COMPUTED_VALUE"""),44077)</f>
        <v>44077</v>
      </c>
    </row>
    <row r="2170" spans="1:10" x14ac:dyDescent="0.25">
      <c r="A2170" s="1" t="str">
        <f ca="1">IFERROR(__xludf.DUMMYFUNCTION("""COMPUTED_VALUE"""),"Tapolcai TFSE")</f>
        <v>Tapolcai TFSE</v>
      </c>
      <c r="B2170" s="1"/>
      <c r="C2170" s="1"/>
      <c r="D2170" s="1"/>
      <c r="E2170" s="1"/>
      <c r="F2170" s="1">
        <f ca="1">IFERROR(__xludf.DUMMYFUNCTION("""COMPUTED_VALUE"""),1899)</f>
        <v>1899</v>
      </c>
      <c r="G2170" s="1">
        <f ca="1">IFERROR(__xludf.DUMMYFUNCTION("""COMPUTED_VALUE"""),3366)</f>
        <v>3366</v>
      </c>
      <c r="H2170" s="1"/>
      <c r="I2170" s="2">
        <f ca="1">IFERROR(__xludf.DUMMYFUNCTION("""COMPUTED_VALUE"""),43700)</f>
        <v>43700</v>
      </c>
      <c r="J2170" s="2">
        <f ca="1">IFERROR(__xludf.DUMMYFUNCTION("""COMPUTED_VALUE"""),44065)</f>
        <v>44065</v>
      </c>
    </row>
    <row r="2171" spans="1:10" x14ac:dyDescent="0.25">
      <c r="A2171" s="1" t="str">
        <f ca="1">IFERROR(__xludf.DUMMYFUNCTION("""COMPUTED_VALUE"""),"T(r)ollas SE")</f>
        <v>T(r)ollas SE</v>
      </c>
      <c r="B2171" s="1" t="str">
        <f ca="1">IFERROR(__xludf.DUMMYFUNCTION("""COMPUTED_VALUE"""),"Mezei Anikó")</f>
        <v>Mezei Anikó</v>
      </c>
      <c r="C2171" s="1"/>
      <c r="D2171" s="1" t="str">
        <f ca="1">IFERROR(__xludf.DUMMYFUNCTION("""COMPUTED_VALUE"""),"Nő")</f>
        <v>Nő</v>
      </c>
      <c r="E2171" s="1"/>
      <c r="F2171" s="1">
        <f ca="1">IFERROR(__xludf.DUMMYFUNCTION("""COMPUTED_VALUE"""),1971)</f>
        <v>1971</v>
      </c>
      <c r="G2171" s="1">
        <f ca="1">IFERROR(__xludf.DUMMYFUNCTION("""COMPUTED_VALUE"""),3358)</f>
        <v>3358</v>
      </c>
      <c r="H2171" s="1" t="str">
        <f ca="1">IFERROR(__xludf.DUMMYFUNCTION("""COMPUTED_VALUE"""),"MTLSZ003358A19")</f>
        <v>MTLSZ003358A19</v>
      </c>
      <c r="I2171" s="2">
        <f ca="1">IFERROR(__xludf.DUMMYFUNCTION("""COMPUTED_VALUE"""),43627)</f>
        <v>43627</v>
      </c>
      <c r="J2171" s="2">
        <f ca="1">IFERROR(__xludf.DUMMYFUNCTION("""COMPUTED_VALUE"""),43992)</f>
        <v>43992</v>
      </c>
    </row>
    <row r="2172" spans="1:10" x14ac:dyDescent="0.25">
      <c r="A2172" s="1" t="str">
        <f ca="1">IFERROR(__xludf.DUMMYFUNCTION("""COMPUTED_VALUE"""),"MEAFC")</f>
        <v>MEAFC</v>
      </c>
      <c r="B2172" s="1" t="str">
        <f ca="1">IFERROR(__xludf.DUMMYFUNCTION("""COMPUTED_VALUE"""),"Vojtkó Bence")</f>
        <v>Vojtkó Bence</v>
      </c>
      <c r="C2172" s="1"/>
      <c r="D2172" s="1" t="str">
        <f ca="1">IFERROR(__xludf.DUMMYFUNCTION("""COMPUTED_VALUE"""),"Férfi")</f>
        <v>Férfi</v>
      </c>
      <c r="E2172" s="1"/>
      <c r="F2172" s="1">
        <f ca="1">IFERROR(__xludf.DUMMYFUNCTION("""COMPUTED_VALUE"""),2003)</f>
        <v>2003</v>
      </c>
      <c r="G2172" s="1">
        <f ca="1">IFERROR(__xludf.DUMMYFUNCTION("""COMPUTED_VALUE"""),3023)</f>
        <v>3023</v>
      </c>
      <c r="H2172" s="1" t="str">
        <f ca="1">IFERROR(__xludf.DUMMYFUNCTION("""COMPUTED_VALUE"""),"MTLSZ003023A19")</f>
        <v>MTLSZ003023A19</v>
      </c>
      <c r="I2172" s="2">
        <f ca="1">IFERROR(__xludf.DUMMYFUNCTION("""COMPUTED_VALUE"""),43594)</f>
        <v>43594</v>
      </c>
      <c r="J2172" s="2">
        <f ca="1">IFERROR(__xludf.DUMMYFUNCTION("""COMPUTED_VALUE"""),43959)</f>
        <v>43959</v>
      </c>
    </row>
    <row r="2173" spans="1:10" x14ac:dyDescent="0.25">
      <c r="A2173" s="1" t="str">
        <f ca="1">IFERROR(__xludf.DUMMYFUNCTION("""COMPUTED_VALUE"""),"Kék Sólymok SE")</f>
        <v>Kék Sólymok SE</v>
      </c>
      <c r="B2173" s="1" t="str">
        <f ca="1">IFERROR(__xludf.DUMMYFUNCTION("""COMPUTED_VALUE"""),"Mészáros Gergely")</f>
        <v>Mészáros Gergely</v>
      </c>
      <c r="C2173" s="1"/>
      <c r="D2173" s="1" t="str">
        <f ca="1">IFERROR(__xludf.DUMMYFUNCTION("""COMPUTED_VALUE"""),"Férfi")</f>
        <v>Férfi</v>
      </c>
      <c r="E2173" s="1"/>
      <c r="F2173" s="1">
        <f ca="1">IFERROR(__xludf.DUMMYFUNCTION("""COMPUTED_VALUE"""),2004)</f>
        <v>2004</v>
      </c>
      <c r="G2173" s="1">
        <f ca="1">IFERROR(__xludf.DUMMYFUNCTION("""COMPUTED_VALUE"""),3341)</f>
        <v>3341</v>
      </c>
      <c r="H2173" s="1" t="str">
        <f ca="1">IFERROR(__xludf.DUMMYFUNCTION("""COMPUTED_VALUE"""),"MTLSZ003341A19")</f>
        <v>MTLSZ003341A19</v>
      </c>
      <c r="I2173" s="2">
        <f ca="1">IFERROR(__xludf.DUMMYFUNCTION("""COMPUTED_VALUE"""),43587)</f>
        <v>43587</v>
      </c>
      <c r="J2173" s="2">
        <f ca="1">IFERROR(__xludf.DUMMYFUNCTION("""COMPUTED_VALUE"""),43952)</f>
        <v>43952</v>
      </c>
    </row>
    <row r="2174" spans="1:10" x14ac:dyDescent="0.25">
      <c r="A2174" s="1" t="str">
        <f ca="1">IFERROR(__xludf.DUMMYFUNCTION("""COMPUTED_VALUE"""),"Kék Sólymok SE")</f>
        <v>Kék Sólymok SE</v>
      </c>
      <c r="B2174" s="1" t="str">
        <f ca="1">IFERROR(__xludf.DUMMYFUNCTION("""COMPUTED_VALUE"""),"Parádi Anna")</f>
        <v>Parádi Anna</v>
      </c>
      <c r="C2174" s="1"/>
      <c r="D2174" s="1" t="str">
        <f ca="1">IFERROR(__xludf.DUMMYFUNCTION("""COMPUTED_VALUE"""),"Nő")</f>
        <v>Nő</v>
      </c>
      <c r="E2174" s="1"/>
      <c r="F2174" s="1">
        <f ca="1">IFERROR(__xludf.DUMMYFUNCTION("""COMPUTED_VALUE"""),2003)</f>
        <v>2003</v>
      </c>
      <c r="G2174" s="1">
        <f ca="1">IFERROR(__xludf.DUMMYFUNCTION("""COMPUTED_VALUE"""),3342)</f>
        <v>3342</v>
      </c>
      <c r="H2174" s="1" t="str">
        <f ca="1">IFERROR(__xludf.DUMMYFUNCTION("""COMPUTED_VALUE"""),"MTLSZ003342A19")</f>
        <v>MTLSZ003342A19</v>
      </c>
      <c r="I2174" s="2">
        <f ca="1">IFERROR(__xludf.DUMMYFUNCTION("""COMPUTED_VALUE"""),43587)</f>
        <v>43587</v>
      </c>
      <c r="J2174" s="2">
        <f ca="1">IFERROR(__xludf.DUMMYFUNCTION("""COMPUTED_VALUE"""),43952)</f>
        <v>43952</v>
      </c>
    </row>
    <row r="2175" spans="1:10" x14ac:dyDescent="0.25">
      <c r="A2175" s="1" t="str">
        <f ca="1">IFERROR(__xludf.DUMMYFUNCTION("""COMPUTED_VALUE"""),"FBSE")</f>
        <v>FBSE</v>
      </c>
      <c r="B2175" s="1" t="str">
        <f ca="1">IFERROR(__xludf.DUMMYFUNCTION("""COMPUTED_VALUE"""),"Kertai Emma")</f>
        <v>Kertai Emma</v>
      </c>
      <c r="C2175" s="1"/>
      <c r="D2175" s="1" t="str">
        <f ca="1">IFERROR(__xludf.DUMMYFUNCTION("""COMPUTED_VALUE"""),"Nő")</f>
        <v>Nő</v>
      </c>
      <c r="E2175" s="1"/>
      <c r="F2175" s="1">
        <f ca="1">IFERROR(__xludf.DUMMYFUNCTION("""COMPUTED_VALUE"""),2008)</f>
        <v>2008</v>
      </c>
      <c r="G2175" s="1">
        <f ca="1">IFERROR(__xludf.DUMMYFUNCTION("""COMPUTED_VALUE"""),3344)</f>
        <v>3344</v>
      </c>
      <c r="H2175" s="1" t="str">
        <f ca="1">IFERROR(__xludf.DUMMYFUNCTION("""COMPUTED_VALUE"""),"MTLSZ003344A19")</f>
        <v>MTLSZ003344A19</v>
      </c>
      <c r="I2175" s="2">
        <f ca="1">IFERROR(__xludf.DUMMYFUNCTION("""COMPUTED_VALUE"""),43585)</f>
        <v>43585</v>
      </c>
      <c r="J2175" s="2">
        <f ca="1">IFERROR(__xludf.DUMMYFUNCTION("""COMPUTED_VALUE"""),43950)</f>
        <v>43950</v>
      </c>
    </row>
    <row r="2176" spans="1:10" x14ac:dyDescent="0.25">
      <c r="A2176" s="1" t="str">
        <f ca="1">IFERROR(__xludf.DUMMYFUNCTION("""COMPUTED_VALUE"""),"MAFC")</f>
        <v>MAFC</v>
      </c>
      <c r="B2176" s="1" t="str">
        <f ca="1">IFERROR(__xludf.DUMMYFUNCTION("""COMPUTED_VALUE"""),"Gerendai Károly")</f>
        <v>Gerendai Károly</v>
      </c>
      <c r="C2176" s="1"/>
      <c r="D2176" s="1" t="str">
        <f ca="1">IFERROR(__xludf.DUMMYFUNCTION("""COMPUTED_VALUE"""),"Férfi")</f>
        <v>Férfi</v>
      </c>
      <c r="E2176" s="1"/>
      <c r="F2176" s="1">
        <f ca="1">IFERROR(__xludf.DUMMYFUNCTION("""COMPUTED_VALUE"""),1993)</f>
        <v>1993</v>
      </c>
      <c r="G2176" s="1">
        <f ca="1">IFERROR(__xludf.DUMMYFUNCTION("""COMPUTED_VALUE"""),1508)</f>
        <v>1508</v>
      </c>
      <c r="H2176" s="1" t="str">
        <f ca="1">IFERROR(__xludf.DUMMYFUNCTION("""COMPUTED_VALUE"""),"MTLSZ001508A19")</f>
        <v>MTLSZ001508A19</v>
      </c>
      <c r="I2176" s="2">
        <f ca="1">IFERROR(__xludf.DUMMYFUNCTION("""COMPUTED_VALUE"""),43579)</f>
        <v>43579</v>
      </c>
      <c r="J2176" s="2">
        <f ca="1">IFERROR(__xludf.DUMMYFUNCTION("""COMPUTED_VALUE"""),43944)</f>
        <v>43944</v>
      </c>
    </row>
    <row r="2177" spans="1:10" x14ac:dyDescent="0.25">
      <c r="A2177" s="1" t="str">
        <f ca="1">IFERROR(__xludf.DUMMYFUNCTION("""COMPUTED_VALUE"""),"Talentum TSE")</f>
        <v>Talentum TSE</v>
      </c>
      <c r="B2177" s="1" t="str">
        <f ca="1">IFERROR(__xludf.DUMMYFUNCTION("""COMPUTED_VALUE"""),"Kulcsár Levente")</f>
        <v>Kulcsár Levente</v>
      </c>
      <c r="C2177" s="1"/>
      <c r="D2177" s="1" t="str">
        <f ca="1">IFERROR(__xludf.DUMMYFUNCTION("""COMPUTED_VALUE"""),"Férfi")</f>
        <v>Férfi</v>
      </c>
      <c r="E2177" s="1"/>
      <c r="F2177" s="1">
        <f ca="1">IFERROR(__xludf.DUMMYFUNCTION("""COMPUTED_VALUE"""),2001)</f>
        <v>2001</v>
      </c>
      <c r="G2177" s="1">
        <f ca="1">IFERROR(__xludf.DUMMYFUNCTION("""COMPUTED_VALUE"""),2223)</f>
        <v>2223</v>
      </c>
      <c r="H2177" s="1" t="str">
        <f ca="1">IFERROR(__xludf.DUMMYFUNCTION("""COMPUTED_VALUE"""),"MTLSZ002223A19")</f>
        <v>MTLSZ002223A19</v>
      </c>
      <c r="I2177" s="2">
        <f ca="1">IFERROR(__xludf.DUMMYFUNCTION("""COMPUTED_VALUE"""),43572)</f>
        <v>43572</v>
      </c>
      <c r="J2177" s="2">
        <f ca="1">IFERROR(__xludf.DUMMYFUNCTION("""COMPUTED_VALUE"""),43937)</f>
        <v>43937</v>
      </c>
    </row>
    <row r="2178" spans="1:10" x14ac:dyDescent="0.25">
      <c r="A2178" s="1" t="str">
        <f ca="1">IFERROR(__xludf.DUMMYFUNCTION("""COMPUTED_VALUE"""),"T(r)ollas SE")</f>
        <v>T(r)ollas SE</v>
      </c>
      <c r="B2178" s="1" t="str">
        <f ca="1">IFERROR(__xludf.DUMMYFUNCTION("""COMPUTED_VALUE"""),"Kljaic Tamara")</f>
        <v>Kljaic Tamara</v>
      </c>
      <c r="C2178" s="1"/>
      <c r="D2178" s="1" t="str">
        <f ca="1">IFERROR(__xludf.DUMMYFUNCTION("""COMPUTED_VALUE"""),"Nő")</f>
        <v>Nő</v>
      </c>
      <c r="E2178" s="1"/>
      <c r="F2178" s="1">
        <f ca="1">IFERROR(__xludf.DUMMYFUNCTION("""COMPUTED_VALUE"""),1983)</f>
        <v>1983</v>
      </c>
      <c r="G2178" s="1">
        <f ca="1">IFERROR(__xludf.DUMMYFUNCTION("""COMPUTED_VALUE"""),3330)</f>
        <v>3330</v>
      </c>
      <c r="H2178" s="1" t="str">
        <f ca="1">IFERROR(__xludf.DUMMYFUNCTION("""COMPUTED_VALUE"""),"MTLSZ003330A19")</f>
        <v>MTLSZ003330A19</v>
      </c>
      <c r="I2178" s="2">
        <f ca="1">IFERROR(__xludf.DUMMYFUNCTION("""COMPUTED_VALUE"""),43559)</f>
        <v>43559</v>
      </c>
      <c r="J2178" s="2">
        <f ca="1">IFERROR(__xludf.DUMMYFUNCTION("""COMPUTED_VALUE"""),43924)</f>
        <v>43924</v>
      </c>
    </row>
    <row r="2179" spans="1:10" x14ac:dyDescent="0.25">
      <c r="A2179" s="1" t="str">
        <f ca="1">IFERROR(__xludf.DUMMYFUNCTION("""COMPUTED_VALUE"""),"FBSE")</f>
        <v>FBSE</v>
      </c>
      <c r="B2179" s="1"/>
      <c r="C2179" s="1"/>
      <c r="D2179" s="1"/>
      <c r="E2179" s="1"/>
      <c r="F2179" s="1">
        <f ca="1">IFERROR(__xludf.DUMMYFUNCTION("""COMPUTED_VALUE"""),1899)</f>
        <v>1899</v>
      </c>
      <c r="G2179" s="1">
        <f ca="1">IFERROR(__xludf.DUMMYFUNCTION("""COMPUTED_VALUE"""),3328)</f>
        <v>3328</v>
      </c>
      <c r="H2179" s="1"/>
      <c r="I2179" s="2">
        <f ca="1">IFERROR(__xludf.DUMMYFUNCTION("""COMPUTED_VALUE"""),43557)</f>
        <v>43557</v>
      </c>
      <c r="J2179" s="2">
        <f ca="1">IFERROR(__xludf.DUMMYFUNCTION("""COMPUTED_VALUE"""),43922)</f>
        <v>43922</v>
      </c>
    </row>
    <row r="2180" spans="1:10" x14ac:dyDescent="0.25">
      <c r="A2180" s="1" t="str">
        <f ca="1">IFERROR(__xludf.DUMMYFUNCTION("""COMPUTED_VALUE"""),"Verőcei DE")</f>
        <v>Verőcei DE</v>
      </c>
      <c r="B2180" s="1" t="str">
        <f ca="1">IFERROR(__xludf.DUMMYFUNCTION("""COMPUTED_VALUE"""),"Lengyel Vince")</f>
        <v>Lengyel Vince</v>
      </c>
      <c r="C2180" s="1"/>
      <c r="D2180" s="1" t="str">
        <f ca="1">IFERROR(__xludf.DUMMYFUNCTION("""COMPUTED_VALUE"""),"Férfi")</f>
        <v>Férfi</v>
      </c>
      <c r="E2180" s="1"/>
      <c r="F2180" s="1">
        <f ca="1">IFERROR(__xludf.DUMMYFUNCTION("""COMPUTED_VALUE"""),2010)</f>
        <v>2010</v>
      </c>
      <c r="G2180" s="1">
        <f ca="1">IFERROR(__xludf.DUMMYFUNCTION("""COMPUTED_VALUE"""),3327)</f>
        <v>3327</v>
      </c>
      <c r="H2180" s="1" t="str">
        <f ca="1">IFERROR(__xludf.DUMMYFUNCTION("""COMPUTED_VALUE"""),"MTLSZ003327A19")</f>
        <v>MTLSZ003327A19</v>
      </c>
      <c r="I2180" s="2">
        <f ca="1">IFERROR(__xludf.DUMMYFUNCTION("""COMPUTED_VALUE"""),43557)</f>
        <v>43557</v>
      </c>
      <c r="J2180" s="2">
        <f ca="1">IFERROR(__xludf.DUMMYFUNCTION("""COMPUTED_VALUE"""),43922)</f>
        <v>43922</v>
      </c>
    </row>
    <row r="2181" spans="1:10" x14ac:dyDescent="0.25">
      <c r="A2181" s="1" t="str">
        <f ca="1">IFERROR(__xludf.DUMMYFUNCTION("""COMPUTED_VALUE"""),"Talentum TSE")</f>
        <v>Talentum TSE</v>
      </c>
      <c r="B2181" s="1" t="str">
        <f ca="1">IFERROR(__xludf.DUMMYFUNCTION("""COMPUTED_VALUE"""),"Lepkó Dorottya")</f>
        <v>Lepkó Dorottya</v>
      </c>
      <c r="C2181" s="1"/>
      <c r="D2181" s="1" t="str">
        <f ca="1">IFERROR(__xludf.DUMMYFUNCTION("""COMPUTED_VALUE"""),"Nő")</f>
        <v>Nő</v>
      </c>
      <c r="E2181" s="1"/>
      <c r="F2181" s="1">
        <f ca="1">IFERROR(__xludf.DUMMYFUNCTION("""COMPUTED_VALUE"""),2006)</f>
        <v>2006</v>
      </c>
      <c r="G2181" s="1">
        <f ca="1">IFERROR(__xludf.DUMMYFUNCTION("""COMPUTED_VALUE"""),2895)</f>
        <v>2895</v>
      </c>
      <c r="H2181" s="1" t="str">
        <f ca="1">IFERROR(__xludf.DUMMYFUNCTION("""COMPUTED_VALUE"""),"MTLSZ002895A19")</f>
        <v>MTLSZ002895A19</v>
      </c>
      <c r="I2181" s="2">
        <f ca="1">IFERROR(__xludf.DUMMYFUNCTION("""COMPUTED_VALUE"""),43553)</f>
        <v>43553</v>
      </c>
      <c r="J2181" s="2">
        <f ca="1">IFERROR(__xludf.DUMMYFUNCTION("""COMPUTED_VALUE"""),43918)</f>
        <v>43918</v>
      </c>
    </row>
    <row r="2182" spans="1:10" x14ac:dyDescent="0.25">
      <c r="A2182" s="1" t="str">
        <f ca="1">IFERROR(__xludf.DUMMYFUNCTION("""COMPUTED_VALUE"""),"Újpest TSE")</f>
        <v>Újpest TSE</v>
      </c>
      <c r="B2182" s="1" t="str">
        <f ca="1">IFERROR(__xludf.DUMMYFUNCTION("""COMPUTED_VALUE"""),"Granát Kornél")</f>
        <v>Granát Kornél</v>
      </c>
      <c r="C2182" s="1"/>
      <c r="D2182" s="1" t="str">
        <f ca="1">IFERROR(__xludf.DUMMYFUNCTION("""COMPUTED_VALUE"""),"Férfi")</f>
        <v>Férfi</v>
      </c>
      <c r="E2182" s="1"/>
      <c r="F2182" s="1">
        <f ca="1">IFERROR(__xludf.DUMMYFUNCTION("""COMPUTED_VALUE"""),2004)</f>
        <v>2004</v>
      </c>
      <c r="G2182" s="1">
        <f ca="1">IFERROR(__xludf.DUMMYFUNCTION("""COMPUTED_VALUE"""),2890)</f>
        <v>2890</v>
      </c>
      <c r="H2182" s="1" t="str">
        <f ca="1">IFERROR(__xludf.DUMMYFUNCTION("""COMPUTED_VALUE"""),"MTLSZ002890A19")</f>
        <v>MTLSZ002890A19</v>
      </c>
      <c r="I2182" s="2">
        <f ca="1">IFERROR(__xludf.DUMMYFUNCTION("""COMPUTED_VALUE"""),43553)</f>
        <v>43553</v>
      </c>
      <c r="J2182" s="2">
        <f ca="1">IFERROR(__xludf.DUMMYFUNCTION("""COMPUTED_VALUE"""),43918)</f>
        <v>43918</v>
      </c>
    </row>
    <row r="2183" spans="1:10" x14ac:dyDescent="0.25">
      <c r="A2183" s="1" t="str">
        <f ca="1">IFERROR(__xludf.DUMMYFUNCTION("""COMPUTED_VALUE"""),"Újpest TSE")</f>
        <v>Újpest TSE</v>
      </c>
      <c r="B2183" s="1" t="str">
        <f ca="1">IFERROR(__xludf.DUMMYFUNCTION("""COMPUTED_VALUE"""),"Háló Rebeka")</f>
        <v>Háló Rebeka</v>
      </c>
      <c r="C2183" s="1"/>
      <c r="D2183" s="1" t="str">
        <f ca="1">IFERROR(__xludf.DUMMYFUNCTION("""COMPUTED_VALUE"""),"Nő")</f>
        <v>Nő</v>
      </c>
      <c r="E2183" s="1"/>
      <c r="F2183" s="1">
        <f ca="1">IFERROR(__xludf.DUMMYFUNCTION("""COMPUTED_VALUE"""),2003)</f>
        <v>2003</v>
      </c>
      <c r="G2183" s="1">
        <f ca="1">IFERROR(__xludf.DUMMYFUNCTION("""COMPUTED_VALUE"""),2887)</f>
        <v>2887</v>
      </c>
      <c r="H2183" s="1" t="str">
        <f ca="1">IFERROR(__xludf.DUMMYFUNCTION("""COMPUTED_VALUE"""),"MTLSZ002887A19")</f>
        <v>MTLSZ002887A19</v>
      </c>
      <c r="I2183" s="2">
        <f ca="1">IFERROR(__xludf.DUMMYFUNCTION("""COMPUTED_VALUE"""),43553)</f>
        <v>43553</v>
      </c>
      <c r="J2183" s="2">
        <f ca="1">IFERROR(__xludf.DUMMYFUNCTION("""COMPUTED_VALUE"""),43918)</f>
        <v>43918</v>
      </c>
    </row>
    <row r="2184" spans="1:10" x14ac:dyDescent="0.25">
      <c r="A2184" s="1" t="str">
        <f ca="1">IFERROR(__xludf.DUMMYFUNCTION("""COMPUTED_VALUE"""),"Seregélyesi PDSE")</f>
        <v>Seregélyesi PDSE</v>
      </c>
      <c r="B2184" s="1" t="str">
        <f ca="1">IFERROR(__xludf.DUMMYFUNCTION("""COMPUTED_VALUE"""),"Kovács László")</f>
        <v>Kovács László</v>
      </c>
      <c r="C2184" s="1"/>
      <c r="D2184" s="1" t="str">
        <f ca="1">IFERROR(__xludf.DUMMYFUNCTION("""COMPUTED_VALUE"""),"Férfi")</f>
        <v>Férfi</v>
      </c>
      <c r="E2184" s="1"/>
      <c r="F2184" s="1">
        <f ca="1">IFERROR(__xludf.DUMMYFUNCTION("""COMPUTED_VALUE"""),2006)</f>
        <v>2006</v>
      </c>
      <c r="G2184" s="1">
        <f ca="1">IFERROR(__xludf.DUMMYFUNCTION("""COMPUTED_VALUE"""),2861)</f>
        <v>2861</v>
      </c>
      <c r="H2184" s="1" t="str">
        <f ca="1">IFERROR(__xludf.DUMMYFUNCTION("""COMPUTED_VALUE"""),"MTLSZ002861A19")</f>
        <v>MTLSZ002861A19</v>
      </c>
      <c r="I2184" s="2">
        <f ca="1">IFERROR(__xludf.DUMMYFUNCTION("""COMPUTED_VALUE"""),43535)</f>
        <v>43535</v>
      </c>
      <c r="J2184" s="2">
        <f ca="1">IFERROR(__xludf.DUMMYFUNCTION("""COMPUTED_VALUE"""),43900)</f>
        <v>43900</v>
      </c>
    </row>
    <row r="2185" spans="1:10" x14ac:dyDescent="0.25">
      <c r="A2185" s="1" t="str">
        <f ca="1">IFERROR(__xludf.DUMMYFUNCTION("""COMPUTED_VALUE"""),"T(r)ollas SE")</f>
        <v>T(r)ollas SE</v>
      </c>
      <c r="B2185" s="1" t="str">
        <f ca="1">IFERROR(__xludf.DUMMYFUNCTION("""COMPUTED_VALUE"""),"Cseresznyés Ákos")</f>
        <v>Cseresznyés Ákos</v>
      </c>
      <c r="C2185" s="1"/>
      <c r="D2185" s="1" t="str">
        <f ca="1">IFERROR(__xludf.DUMMYFUNCTION("""COMPUTED_VALUE"""),"Férfi")</f>
        <v>Férfi</v>
      </c>
      <c r="E2185" s="1"/>
      <c r="F2185" s="1">
        <f ca="1">IFERROR(__xludf.DUMMYFUNCTION("""COMPUTED_VALUE"""),2009)</f>
        <v>2009</v>
      </c>
      <c r="G2185" s="1">
        <f ca="1">IFERROR(__xludf.DUMMYFUNCTION("""COMPUTED_VALUE"""),3316)</f>
        <v>3316</v>
      </c>
      <c r="H2185" s="1" t="str">
        <f ca="1">IFERROR(__xludf.DUMMYFUNCTION("""COMPUTED_VALUE"""),"MTLSZ003316A19")</f>
        <v>MTLSZ003316A19</v>
      </c>
      <c r="I2185" s="2">
        <f ca="1">IFERROR(__xludf.DUMMYFUNCTION("""COMPUTED_VALUE"""),43535)</f>
        <v>43535</v>
      </c>
      <c r="J2185" s="2">
        <f ca="1">IFERROR(__xludf.DUMMYFUNCTION("""COMPUTED_VALUE"""),43900)</f>
        <v>43900</v>
      </c>
    </row>
    <row r="2186" spans="1:10" x14ac:dyDescent="0.25">
      <c r="A2186" s="1" t="str">
        <f ca="1">IFERROR(__xludf.DUMMYFUNCTION("""COMPUTED_VALUE"""),"T(r)ollas SE")</f>
        <v>T(r)ollas SE</v>
      </c>
      <c r="B2186" s="1" t="str">
        <f ca="1">IFERROR(__xludf.DUMMYFUNCTION("""COMPUTED_VALUE"""),"Cseresznyés Zsolt")</f>
        <v>Cseresznyés Zsolt</v>
      </c>
      <c r="C2186" s="1"/>
      <c r="D2186" s="1" t="str">
        <f ca="1">IFERROR(__xludf.DUMMYFUNCTION("""COMPUTED_VALUE"""),"Férfi")</f>
        <v>Férfi</v>
      </c>
      <c r="E2186" s="1"/>
      <c r="F2186" s="1">
        <f ca="1">IFERROR(__xludf.DUMMYFUNCTION("""COMPUTED_VALUE"""),1977)</f>
        <v>1977</v>
      </c>
      <c r="G2186" s="1">
        <f ca="1">IFERROR(__xludf.DUMMYFUNCTION("""COMPUTED_VALUE"""),3004)</f>
        <v>3004</v>
      </c>
      <c r="H2186" s="1" t="str">
        <f ca="1">IFERROR(__xludf.DUMMYFUNCTION("""COMPUTED_VALUE"""),"MTLSZ003004A19")</f>
        <v>MTLSZ003004A19</v>
      </c>
      <c r="I2186" s="2">
        <f ca="1">IFERROR(__xludf.DUMMYFUNCTION("""COMPUTED_VALUE"""),43535)</f>
        <v>43535</v>
      </c>
      <c r="J2186" s="2">
        <f ca="1">IFERROR(__xludf.DUMMYFUNCTION("""COMPUTED_VALUE"""),43900)</f>
        <v>43900</v>
      </c>
    </row>
    <row r="2187" spans="1:10" x14ac:dyDescent="0.25">
      <c r="A2187" s="1" t="str">
        <f ca="1">IFERROR(__xludf.DUMMYFUNCTION("""COMPUTED_VALUE"""),"T(r)ollas SE")</f>
        <v>T(r)ollas SE</v>
      </c>
      <c r="B2187" s="1" t="str">
        <f ca="1">IFERROR(__xludf.DUMMYFUNCTION("""COMPUTED_VALUE"""),"Inakoti Satish")</f>
        <v>Inakoti Satish</v>
      </c>
      <c r="C2187" s="1"/>
      <c r="D2187" s="1" t="str">
        <f ca="1">IFERROR(__xludf.DUMMYFUNCTION("""COMPUTED_VALUE"""),"Férfi")</f>
        <v>Férfi</v>
      </c>
      <c r="E2187" s="1"/>
      <c r="F2187" s="1">
        <f ca="1">IFERROR(__xludf.DUMMYFUNCTION("""COMPUTED_VALUE"""),1989)</f>
        <v>1989</v>
      </c>
      <c r="G2187" s="1">
        <f ca="1">IFERROR(__xludf.DUMMYFUNCTION("""COMPUTED_VALUE"""),3321)</f>
        <v>3321</v>
      </c>
      <c r="H2187" s="1" t="str">
        <f ca="1">IFERROR(__xludf.DUMMYFUNCTION("""COMPUTED_VALUE"""),"MTLSZ003321A19")</f>
        <v>MTLSZ003321A19</v>
      </c>
      <c r="I2187" s="2">
        <f ca="1">IFERROR(__xludf.DUMMYFUNCTION("""COMPUTED_VALUE"""),43535)</f>
        <v>43535</v>
      </c>
      <c r="J2187" s="2">
        <f ca="1">IFERROR(__xludf.DUMMYFUNCTION("""COMPUTED_VALUE"""),43900)</f>
        <v>43900</v>
      </c>
    </row>
    <row r="2188" spans="1:10" x14ac:dyDescent="0.25">
      <c r="A2188" s="1" t="str">
        <f ca="1">IFERROR(__xludf.DUMMYFUNCTION("""COMPUTED_VALUE"""),"T(r)ollas SE")</f>
        <v>T(r)ollas SE</v>
      </c>
      <c r="B2188" s="1" t="str">
        <f ca="1">IFERROR(__xludf.DUMMYFUNCTION("""COMPUTED_VALUE"""),"Kolli Lingappa Bharath Kumar")</f>
        <v>Kolli Lingappa Bharath Kumar</v>
      </c>
      <c r="C2188" s="1"/>
      <c r="D2188" s="1" t="str">
        <f ca="1">IFERROR(__xludf.DUMMYFUNCTION("""COMPUTED_VALUE"""),"Férfi")</f>
        <v>Férfi</v>
      </c>
      <c r="E2188" s="1"/>
      <c r="F2188" s="1">
        <f ca="1">IFERROR(__xludf.DUMMYFUNCTION("""COMPUTED_VALUE"""),1983)</f>
        <v>1983</v>
      </c>
      <c r="G2188" s="1">
        <f ca="1">IFERROR(__xludf.DUMMYFUNCTION("""COMPUTED_VALUE"""),3320)</f>
        <v>3320</v>
      </c>
      <c r="H2188" s="1" t="str">
        <f ca="1">IFERROR(__xludf.DUMMYFUNCTION("""COMPUTED_VALUE"""),"MTLSZ003320A19")</f>
        <v>MTLSZ003320A19</v>
      </c>
      <c r="I2188" s="2">
        <f ca="1">IFERROR(__xludf.DUMMYFUNCTION("""COMPUTED_VALUE"""),43535)</f>
        <v>43535</v>
      </c>
      <c r="J2188" s="2">
        <f ca="1">IFERROR(__xludf.DUMMYFUNCTION("""COMPUTED_VALUE"""),43900)</f>
        <v>43900</v>
      </c>
    </row>
    <row r="2189" spans="1:10" x14ac:dyDescent="0.25">
      <c r="A2189" s="1" t="str">
        <f ca="1">IFERROR(__xludf.DUMMYFUNCTION("""COMPUTED_VALUE"""),"T(r)ollas SE")</f>
        <v>T(r)ollas SE</v>
      </c>
      <c r="B2189" s="1" t="str">
        <f ca="1">IFERROR(__xludf.DUMMYFUNCTION("""COMPUTED_VALUE"""),"Ruisz Balázs")</f>
        <v>Ruisz Balázs</v>
      </c>
      <c r="C2189" s="1"/>
      <c r="D2189" s="1" t="str">
        <f ca="1">IFERROR(__xludf.DUMMYFUNCTION("""COMPUTED_VALUE"""),"Férfi")</f>
        <v>Férfi</v>
      </c>
      <c r="E2189" s="1"/>
      <c r="F2189" s="1">
        <f ca="1">IFERROR(__xludf.DUMMYFUNCTION("""COMPUTED_VALUE"""),2006)</f>
        <v>2006</v>
      </c>
      <c r="G2189" s="1">
        <f ca="1">IFERROR(__xludf.DUMMYFUNCTION("""COMPUTED_VALUE"""),3317)</f>
        <v>3317</v>
      </c>
      <c r="H2189" s="1" t="str">
        <f ca="1">IFERROR(__xludf.DUMMYFUNCTION("""COMPUTED_VALUE"""),"MTLSZ003317A19")</f>
        <v>MTLSZ003317A19</v>
      </c>
      <c r="I2189" s="2">
        <f ca="1">IFERROR(__xludf.DUMMYFUNCTION("""COMPUTED_VALUE"""),43535)</f>
        <v>43535</v>
      </c>
      <c r="J2189" s="2">
        <f ca="1">IFERROR(__xludf.DUMMYFUNCTION("""COMPUTED_VALUE"""),43900)</f>
        <v>43900</v>
      </c>
    </row>
    <row r="2190" spans="1:10" x14ac:dyDescent="0.25">
      <c r="A2190" s="1" t="str">
        <f ca="1">IFERROR(__xludf.DUMMYFUNCTION("""COMPUTED_VALUE"""),"Életmód SE")</f>
        <v>Életmód SE</v>
      </c>
      <c r="B2190" s="1" t="str">
        <f ca="1">IFERROR(__xludf.DUMMYFUNCTION("""COMPUTED_VALUE"""),"Topjánszki László")</f>
        <v>Topjánszki László</v>
      </c>
      <c r="C2190" s="1"/>
      <c r="D2190" s="1" t="str">
        <f ca="1">IFERROR(__xludf.DUMMYFUNCTION("""COMPUTED_VALUE"""),"Férfi")</f>
        <v>Férfi</v>
      </c>
      <c r="E2190" s="1"/>
      <c r="F2190" s="1">
        <f ca="1">IFERROR(__xludf.DUMMYFUNCTION("""COMPUTED_VALUE"""),2002)</f>
        <v>2002</v>
      </c>
      <c r="G2190" s="1">
        <f ca="1">IFERROR(__xludf.DUMMYFUNCTION("""COMPUTED_VALUE"""),3314)</f>
        <v>3314</v>
      </c>
      <c r="H2190" s="1" t="str">
        <f ca="1">IFERROR(__xludf.DUMMYFUNCTION("""COMPUTED_VALUE"""),"MTLSZ003314A19")</f>
        <v>MTLSZ003314A19</v>
      </c>
      <c r="I2190" s="2">
        <f ca="1">IFERROR(__xludf.DUMMYFUNCTION("""COMPUTED_VALUE"""),43530)</f>
        <v>43530</v>
      </c>
      <c r="J2190" s="2">
        <f ca="1">IFERROR(__xludf.DUMMYFUNCTION("""COMPUTED_VALUE"""),43895)</f>
        <v>43895</v>
      </c>
    </row>
    <row r="2191" spans="1:10" x14ac:dyDescent="0.25">
      <c r="A2191" s="1" t="str">
        <f ca="1">IFERROR(__xludf.DUMMYFUNCTION("""COMPUTED_VALUE"""),"Klébi DSE")</f>
        <v>Klébi DSE</v>
      </c>
      <c r="B2191" s="1" t="str">
        <f ca="1">IFERROR(__xludf.DUMMYFUNCTION("""COMPUTED_VALUE"""),"Fan Allen Edwin")</f>
        <v>Fan Allen Edwin</v>
      </c>
      <c r="C2191" s="1"/>
      <c r="D2191" s="1" t="str">
        <f ca="1">IFERROR(__xludf.DUMMYFUNCTION("""COMPUTED_VALUE"""),"Férfi")</f>
        <v>Férfi</v>
      </c>
      <c r="E2191" s="1"/>
      <c r="F2191" s="1">
        <f ca="1">IFERROR(__xludf.DUMMYFUNCTION("""COMPUTED_VALUE"""),2001)</f>
        <v>2001</v>
      </c>
      <c r="G2191" s="1">
        <f ca="1">IFERROR(__xludf.DUMMYFUNCTION("""COMPUTED_VALUE"""),2929)</f>
        <v>2929</v>
      </c>
      <c r="H2191" s="1" t="str">
        <f ca="1">IFERROR(__xludf.DUMMYFUNCTION("""COMPUTED_VALUE"""),"MTLSZ002929A19")</f>
        <v>MTLSZ002929A19</v>
      </c>
      <c r="I2191" s="2">
        <f ca="1">IFERROR(__xludf.DUMMYFUNCTION("""COMPUTED_VALUE"""),43530)</f>
        <v>43530</v>
      </c>
      <c r="J2191" s="2">
        <f ca="1">IFERROR(__xludf.DUMMYFUNCTION("""COMPUTED_VALUE"""),43895)</f>
        <v>43895</v>
      </c>
    </row>
    <row r="2192" spans="1:10" x14ac:dyDescent="0.25">
      <c r="A2192" s="1" t="str">
        <f ca="1">IFERROR(__xludf.DUMMYFUNCTION("""COMPUTED_VALUE"""),"Újpest TSE")</f>
        <v>Újpest TSE</v>
      </c>
      <c r="B2192" s="1" t="str">
        <f ca="1">IFERROR(__xludf.DUMMYFUNCTION("""COMPUTED_VALUE"""),"Tolvaj Bence")</f>
        <v>Tolvaj Bence</v>
      </c>
      <c r="C2192" s="1"/>
      <c r="D2192" s="1" t="str">
        <f ca="1">IFERROR(__xludf.DUMMYFUNCTION("""COMPUTED_VALUE"""),"Férfi")</f>
        <v>Férfi</v>
      </c>
      <c r="E2192" s="1"/>
      <c r="F2192" s="1">
        <f ca="1">IFERROR(__xludf.DUMMYFUNCTION("""COMPUTED_VALUE"""),2007)</f>
        <v>2007</v>
      </c>
      <c r="G2192" s="1">
        <f ca="1">IFERROR(__xludf.DUMMYFUNCTION("""COMPUTED_VALUE"""),3307)</f>
        <v>3307</v>
      </c>
      <c r="H2192" s="1" t="str">
        <f ca="1">IFERROR(__xludf.DUMMYFUNCTION("""COMPUTED_VALUE"""),"MTLSZ003307A19")</f>
        <v>MTLSZ003307A19</v>
      </c>
      <c r="I2192" s="2">
        <f ca="1">IFERROR(__xludf.DUMMYFUNCTION("""COMPUTED_VALUE"""),43530)</f>
        <v>43530</v>
      </c>
      <c r="J2192" s="2">
        <f ca="1">IFERROR(__xludf.DUMMYFUNCTION("""COMPUTED_VALUE"""),43895)</f>
        <v>43895</v>
      </c>
    </row>
    <row r="2193" spans="1:10" x14ac:dyDescent="0.25">
      <c r="A2193" s="1" t="str">
        <f ca="1">IFERROR(__xludf.DUMMYFUNCTION("""COMPUTED_VALUE"""),"T(r)ollas SE")</f>
        <v>T(r)ollas SE</v>
      </c>
      <c r="B2193" s="1" t="str">
        <f ca="1">IFERROR(__xludf.DUMMYFUNCTION("""COMPUTED_VALUE"""),"Csorba Gergely")</f>
        <v>Csorba Gergely</v>
      </c>
      <c r="C2193" s="1"/>
      <c r="D2193" s="1" t="str">
        <f ca="1">IFERROR(__xludf.DUMMYFUNCTION("""COMPUTED_VALUE"""),"Férfi")</f>
        <v>Férfi</v>
      </c>
      <c r="E2193" s="1"/>
      <c r="F2193" s="1">
        <f ca="1">IFERROR(__xludf.DUMMYFUNCTION("""COMPUTED_VALUE"""),2005)</f>
        <v>2005</v>
      </c>
      <c r="G2193" s="1">
        <f ca="1">IFERROR(__xludf.DUMMYFUNCTION("""COMPUTED_VALUE"""),3310)</f>
        <v>3310</v>
      </c>
      <c r="H2193" s="1" t="str">
        <f ca="1">IFERROR(__xludf.DUMMYFUNCTION("""COMPUTED_VALUE"""),"MTLSZ003310A19")</f>
        <v>MTLSZ003310A19</v>
      </c>
      <c r="I2193" s="2">
        <f ca="1">IFERROR(__xludf.DUMMYFUNCTION("""COMPUTED_VALUE"""),43529)</f>
        <v>43529</v>
      </c>
      <c r="J2193" s="2">
        <f ca="1">IFERROR(__xludf.DUMMYFUNCTION("""COMPUTED_VALUE"""),43894)</f>
        <v>43894</v>
      </c>
    </row>
    <row r="2194" spans="1:10" x14ac:dyDescent="0.25">
      <c r="A2194" s="1" t="str">
        <f ca="1">IFERROR(__xludf.DUMMYFUNCTION("""COMPUTED_VALUE"""),"Talentum TSE")</f>
        <v>Talentum TSE</v>
      </c>
      <c r="B2194" s="1" t="str">
        <f ca="1">IFERROR(__xludf.DUMMYFUNCTION("""COMPUTED_VALUE"""),"Fábián Szonja Lili")</f>
        <v>Fábián Szonja Lili</v>
      </c>
      <c r="C2194" s="1"/>
      <c r="D2194" s="1" t="str">
        <f ca="1">IFERROR(__xludf.DUMMYFUNCTION("""COMPUTED_VALUE"""),"Nő")</f>
        <v>Nő</v>
      </c>
      <c r="E2194" s="1"/>
      <c r="F2194" s="1">
        <f ca="1">IFERROR(__xludf.DUMMYFUNCTION("""COMPUTED_VALUE"""),2004)</f>
        <v>2004</v>
      </c>
      <c r="G2194" s="1">
        <f ca="1">IFERROR(__xludf.DUMMYFUNCTION("""COMPUTED_VALUE"""),3306)</f>
        <v>3306</v>
      </c>
      <c r="H2194" s="1" t="str">
        <f ca="1">IFERROR(__xludf.DUMMYFUNCTION("""COMPUTED_VALUE"""),"MTLSZ003306A19")</f>
        <v>MTLSZ003306A19</v>
      </c>
      <c r="I2194" s="2">
        <f ca="1">IFERROR(__xludf.DUMMYFUNCTION("""COMPUTED_VALUE"""),43528)</f>
        <v>43528</v>
      </c>
      <c r="J2194" s="2">
        <f ca="1">IFERROR(__xludf.DUMMYFUNCTION("""COMPUTED_VALUE"""),43893)</f>
        <v>43893</v>
      </c>
    </row>
    <row r="2195" spans="1:10" x14ac:dyDescent="0.25">
      <c r="A2195" s="1" t="str">
        <f ca="1">IFERROR(__xludf.DUMMYFUNCTION("""COMPUTED_VALUE"""),"Multi Alarm SE")</f>
        <v>Multi Alarm SE</v>
      </c>
      <c r="B2195" s="1" t="str">
        <f ca="1">IFERROR(__xludf.DUMMYFUNCTION("""COMPUTED_VALUE"""),"Aladics Péter Zoltán")</f>
        <v>Aladics Péter Zoltán</v>
      </c>
      <c r="C2195" s="1"/>
      <c r="D2195" s="1" t="str">
        <f ca="1">IFERROR(__xludf.DUMMYFUNCTION("""COMPUTED_VALUE"""),"Férfi")</f>
        <v>Férfi</v>
      </c>
      <c r="E2195" s="1"/>
      <c r="F2195" s="1">
        <f ca="1">IFERROR(__xludf.DUMMYFUNCTION("""COMPUTED_VALUE"""),2007)</f>
        <v>2007</v>
      </c>
      <c r="G2195" s="1">
        <f ca="1">IFERROR(__xludf.DUMMYFUNCTION("""COMPUTED_VALUE"""),3301)</f>
        <v>3301</v>
      </c>
      <c r="H2195" s="1" t="str">
        <f ca="1">IFERROR(__xludf.DUMMYFUNCTION("""COMPUTED_VALUE"""),"MTLSZ003301A19")</f>
        <v>MTLSZ003301A19</v>
      </c>
      <c r="I2195" s="2">
        <f ca="1">IFERROR(__xludf.DUMMYFUNCTION("""COMPUTED_VALUE"""),43524)</f>
        <v>43524</v>
      </c>
      <c r="J2195" s="2">
        <f ca="1">IFERROR(__xludf.DUMMYFUNCTION("""COMPUTED_VALUE"""),43888)</f>
        <v>43888</v>
      </c>
    </row>
    <row r="2196" spans="1:10" x14ac:dyDescent="0.25">
      <c r="A2196" s="1" t="str">
        <f ca="1">IFERROR(__xludf.DUMMYFUNCTION("""COMPUTED_VALUE"""),"Multi Alarm SE")</f>
        <v>Multi Alarm SE</v>
      </c>
      <c r="B2196" s="1" t="str">
        <f ca="1">IFERROR(__xludf.DUMMYFUNCTION("""COMPUTED_VALUE"""),"Balogh Csongor")</f>
        <v>Balogh Csongor</v>
      </c>
      <c r="C2196" s="1"/>
      <c r="D2196" s="1" t="str">
        <f ca="1">IFERROR(__xludf.DUMMYFUNCTION("""COMPUTED_VALUE"""),"Férfi")</f>
        <v>Férfi</v>
      </c>
      <c r="E2196" s="1"/>
      <c r="F2196" s="1">
        <f ca="1">IFERROR(__xludf.DUMMYFUNCTION("""COMPUTED_VALUE"""),2007)</f>
        <v>2007</v>
      </c>
      <c r="G2196" s="1">
        <f ca="1">IFERROR(__xludf.DUMMYFUNCTION("""COMPUTED_VALUE"""),3303)</f>
        <v>3303</v>
      </c>
      <c r="H2196" s="1" t="str">
        <f ca="1">IFERROR(__xludf.DUMMYFUNCTION("""COMPUTED_VALUE"""),"MTLSZ003303A19")</f>
        <v>MTLSZ003303A19</v>
      </c>
      <c r="I2196" s="2">
        <f ca="1">IFERROR(__xludf.DUMMYFUNCTION("""COMPUTED_VALUE"""),43524)</f>
        <v>43524</v>
      </c>
      <c r="J2196" s="2">
        <f ca="1">IFERROR(__xludf.DUMMYFUNCTION("""COMPUTED_VALUE"""),43888)</f>
        <v>43888</v>
      </c>
    </row>
    <row r="2197" spans="1:10" x14ac:dyDescent="0.25">
      <c r="A2197" s="1" t="str">
        <f ca="1">IFERROR(__xludf.DUMMYFUNCTION("""COMPUTED_VALUE"""),"Multi Alarm SE")</f>
        <v>Multi Alarm SE</v>
      </c>
      <c r="B2197" s="1" t="str">
        <f ca="1">IFERROR(__xludf.DUMMYFUNCTION("""COMPUTED_VALUE"""),"Borbély Eszter")</f>
        <v>Borbély Eszter</v>
      </c>
      <c r="C2197" s="1"/>
      <c r="D2197" s="1" t="str">
        <f ca="1">IFERROR(__xludf.DUMMYFUNCTION("""COMPUTED_VALUE"""),"Nő")</f>
        <v>Nő</v>
      </c>
      <c r="E2197" s="1"/>
      <c r="F2197" s="1">
        <f ca="1">IFERROR(__xludf.DUMMYFUNCTION("""COMPUTED_VALUE"""),2006)</f>
        <v>2006</v>
      </c>
      <c r="G2197" s="1">
        <f ca="1">IFERROR(__xludf.DUMMYFUNCTION("""COMPUTED_VALUE"""),3302)</f>
        <v>3302</v>
      </c>
      <c r="H2197" s="1" t="str">
        <f ca="1">IFERROR(__xludf.DUMMYFUNCTION("""COMPUTED_VALUE"""),"MTLSZ003302A19")</f>
        <v>MTLSZ003302A19</v>
      </c>
      <c r="I2197" s="2">
        <f ca="1">IFERROR(__xludf.DUMMYFUNCTION("""COMPUTED_VALUE"""),43524)</f>
        <v>43524</v>
      </c>
      <c r="J2197" s="2">
        <f ca="1">IFERROR(__xludf.DUMMYFUNCTION("""COMPUTED_VALUE"""),43888)</f>
        <v>43888</v>
      </c>
    </row>
    <row r="2198" spans="1:10" x14ac:dyDescent="0.25">
      <c r="A2198" s="1" t="str">
        <f ca="1">IFERROR(__xludf.DUMMYFUNCTION("""COMPUTED_VALUE"""),"Multi Alarm SE")</f>
        <v>Multi Alarm SE</v>
      </c>
      <c r="B2198" s="1" t="str">
        <f ca="1">IFERROR(__xludf.DUMMYFUNCTION("""COMPUTED_VALUE"""),"Golobics Lili")</f>
        <v>Golobics Lili</v>
      </c>
      <c r="C2198" s="1"/>
      <c r="D2198" s="1" t="str">
        <f ca="1">IFERROR(__xludf.DUMMYFUNCTION("""COMPUTED_VALUE"""),"Nő")</f>
        <v>Nő</v>
      </c>
      <c r="E2198" s="1"/>
      <c r="F2198" s="1">
        <f ca="1">IFERROR(__xludf.DUMMYFUNCTION("""COMPUTED_VALUE"""),2009)</f>
        <v>2009</v>
      </c>
      <c r="G2198" s="1">
        <f ca="1">IFERROR(__xludf.DUMMYFUNCTION("""COMPUTED_VALUE"""),3300)</f>
        <v>3300</v>
      </c>
      <c r="H2198" s="1" t="str">
        <f ca="1">IFERROR(__xludf.DUMMYFUNCTION("""COMPUTED_VALUE"""),"MTLSZ003300A19")</f>
        <v>MTLSZ003300A19</v>
      </c>
      <c r="I2198" s="2">
        <f ca="1">IFERROR(__xludf.DUMMYFUNCTION("""COMPUTED_VALUE"""),43524)</f>
        <v>43524</v>
      </c>
      <c r="J2198" s="2">
        <f ca="1">IFERROR(__xludf.DUMMYFUNCTION("""COMPUTED_VALUE"""),43888)</f>
        <v>43888</v>
      </c>
    </row>
    <row r="2199" spans="1:10" x14ac:dyDescent="0.25">
      <c r="A2199" s="1" t="str">
        <f ca="1">IFERROR(__xludf.DUMMYFUNCTION("""COMPUTED_VALUE"""),"T(r)ollas SE")</f>
        <v>T(r)ollas SE</v>
      </c>
      <c r="B2199" s="1" t="str">
        <f ca="1">IFERROR(__xludf.DUMMYFUNCTION("""COMPUTED_VALUE"""),"Abhilash Radhakrishnan")</f>
        <v>Abhilash Radhakrishnan</v>
      </c>
      <c r="C2199" s="1"/>
      <c r="D2199" s="1" t="str">
        <f ca="1">IFERROR(__xludf.DUMMYFUNCTION("""COMPUTED_VALUE"""),"Férfi")</f>
        <v>Férfi</v>
      </c>
      <c r="E2199" s="1"/>
      <c r="F2199" s="1">
        <f ca="1">IFERROR(__xludf.DUMMYFUNCTION("""COMPUTED_VALUE"""),1978)</f>
        <v>1978</v>
      </c>
      <c r="G2199" s="1">
        <f ca="1">IFERROR(__xludf.DUMMYFUNCTION("""COMPUTED_VALUE"""),3294)</f>
        <v>3294</v>
      </c>
      <c r="H2199" s="1" t="str">
        <f ca="1">IFERROR(__xludf.DUMMYFUNCTION("""COMPUTED_VALUE"""),"MTLSZ003294A19")</f>
        <v>MTLSZ003294A19</v>
      </c>
      <c r="I2199" s="2">
        <f ca="1">IFERROR(__xludf.DUMMYFUNCTION("""COMPUTED_VALUE"""),43514)</f>
        <v>43514</v>
      </c>
      <c r="J2199" s="2">
        <f ca="1">IFERROR(__xludf.DUMMYFUNCTION("""COMPUTED_VALUE"""),43878)</f>
        <v>43878</v>
      </c>
    </row>
    <row r="2200" spans="1:10" x14ac:dyDescent="0.25">
      <c r="A2200" s="1" t="str">
        <f ca="1">IFERROR(__xludf.DUMMYFUNCTION("""COMPUTED_VALUE"""),"T(r)ollas SE")</f>
        <v>T(r)ollas SE</v>
      </c>
      <c r="B2200" s="1" t="str">
        <f ca="1">IFERROR(__xludf.DUMMYFUNCTION("""COMPUTED_VALUE"""),"Majancsik Gábor")</f>
        <v>Majancsik Gábor</v>
      </c>
      <c r="C2200" s="1"/>
      <c r="D2200" s="1" t="str">
        <f ca="1">IFERROR(__xludf.DUMMYFUNCTION("""COMPUTED_VALUE"""),"Férfi")</f>
        <v>Férfi</v>
      </c>
      <c r="E2200" s="1"/>
      <c r="F2200" s="1">
        <f ca="1">IFERROR(__xludf.DUMMYFUNCTION("""COMPUTED_VALUE"""),1976)</f>
        <v>1976</v>
      </c>
      <c r="G2200" s="1">
        <f ca="1">IFERROR(__xludf.DUMMYFUNCTION("""COMPUTED_VALUE"""),3293)</f>
        <v>3293</v>
      </c>
      <c r="H2200" s="1" t="str">
        <f ca="1">IFERROR(__xludf.DUMMYFUNCTION("""COMPUTED_VALUE"""),"MTLSZ003293A19")</f>
        <v>MTLSZ003293A19</v>
      </c>
      <c r="I2200" s="2">
        <f ca="1">IFERROR(__xludf.DUMMYFUNCTION("""COMPUTED_VALUE"""),43514)</f>
        <v>43514</v>
      </c>
      <c r="J2200" s="2">
        <f ca="1">IFERROR(__xludf.DUMMYFUNCTION("""COMPUTED_VALUE"""),43878)</f>
        <v>43878</v>
      </c>
    </row>
    <row r="2201" spans="1:10" x14ac:dyDescent="0.25">
      <c r="A2201" s="1" t="str">
        <f ca="1">IFERROR(__xludf.DUMMYFUNCTION("""COMPUTED_VALUE"""),"T(r)ollas SE")</f>
        <v>T(r)ollas SE</v>
      </c>
      <c r="B2201" s="1" t="str">
        <f ca="1">IFERROR(__xludf.DUMMYFUNCTION("""COMPUTED_VALUE"""),"Kovács Katalin")</f>
        <v>Kovács Katalin</v>
      </c>
      <c r="C2201" s="1"/>
      <c r="D2201" s="1" t="str">
        <f ca="1">IFERROR(__xludf.DUMMYFUNCTION("""COMPUTED_VALUE"""),"Nő")</f>
        <v>Nő</v>
      </c>
      <c r="E2201" s="1"/>
      <c r="F2201" s="1">
        <f ca="1">IFERROR(__xludf.DUMMYFUNCTION("""COMPUTED_VALUE"""),1984)</f>
        <v>1984</v>
      </c>
      <c r="G2201" s="1">
        <f ca="1">IFERROR(__xludf.DUMMYFUNCTION("""COMPUTED_VALUE"""),2952)</f>
        <v>2952</v>
      </c>
      <c r="H2201" s="1" t="str">
        <f ca="1">IFERROR(__xludf.DUMMYFUNCTION("""COMPUTED_VALUE"""),"MTLSZ002952A19")</f>
        <v>MTLSZ002952A19</v>
      </c>
      <c r="I2201" s="2">
        <f ca="1">IFERROR(__xludf.DUMMYFUNCTION("""COMPUTED_VALUE"""),43490)</f>
        <v>43490</v>
      </c>
      <c r="J2201" s="2">
        <f ca="1">IFERROR(__xludf.DUMMYFUNCTION("""COMPUTED_VALUE"""),43854)</f>
        <v>43854</v>
      </c>
    </row>
    <row r="2202" spans="1:10" x14ac:dyDescent="0.25">
      <c r="A2202" s="1" t="str">
        <f ca="1">IFERROR(__xludf.DUMMYFUNCTION("""COMPUTED_VALUE"""),"FBSE")</f>
        <v>FBSE</v>
      </c>
      <c r="B2202" s="1" t="str">
        <f ca="1">IFERROR(__xludf.DUMMYFUNCTION("""COMPUTED_VALUE"""),"Monos Gábor")</f>
        <v>Monos Gábor</v>
      </c>
      <c r="C2202" s="1"/>
      <c r="D2202" s="1" t="str">
        <f ca="1">IFERROR(__xludf.DUMMYFUNCTION("""COMPUTED_VALUE"""),"Férfi")</f>
        <v>Férfi</v>
      </c>
      <c r="E2202" s="1"/>
      <c r="F2202" s="1">
        <f ca="1">IFERROR(__xludf.DUMMYFUNCTION("""COMPUTED_VALUE"""),1980)</f>
        <v>1980</v>
      </c>
      <c r="G2202" s="1">
        <f ca="1">IFERROR(__xludf.DUMMYFUNCTION("""COMPUTED_VALUE"""),2857)</f>
        <v>2857</v>
      </c>
      <c r="H2202" s="1" t="str">
        <f ca="1">IFERROR(__xludf.DUMMYFUNCTION("""COMPUTED_VALUE"""),"MTLSZ002857A19")</f>
        <v>MTLSZ002857A19</v>
      </c>
      <c r="I2202" s="2">
        <f ca="1">IFERROR(__xludf.DUMMYFUNCTION("""COMPUTED_VALUE"""),43487)</f>
        <v>43487</v>
      </c>
      <c r="J2202" s="2">
        <f ca="1">IFERROR(__xludf.DUMMYFUNCTION("""COMPUTED_VALUE"""),43851)</f>
        <v>43851</v>
      </c>
    </row>
    <row r="2203" spans="1:10" x14ac:dyDescent="0.25">
      <c r="A2203" s="1" t="str">
        <f ca="1">IFERROR(__xludf.DUMMYFUNCTION("""COMPUTED_VALUE"""),"Danubius KSE")</f>
        <v>Danubius KSE</v>
      </c>
      <c r="B2203" s="1" t="str">
        <f ca="1">IFERROR(__xludf.DUMMYFUNCTION("""COMPUTED_VALUE"""),"Nemoda Zsuzsanna")</f>
        <v>Nemoda Zsuzsanna</v>
      </c>
      <c r="C2203" s="1"/>
      <c r="D2203" s="1" t="str">
        <f ca="1">IFERROR(__xludf.DUMMYFUNCTION("""COMPUTED_VALUE"""),"Nő")</f>
        <v>Nő</v>
      </c>
      <c r="E2203" s="1"/>
      <c r="F2203" s="1">
        <f ca="1">IFERROR(__xludf.DUMMYFUNCTION("""COMPUTED_VALUE"""),1996)</f>
        <v>1996</v>
      </c>
      <c r="G2203" s="1">
        <f ca="1">IFERROR(__xludf.DUMMYFUNCTION("""COMPUTED_VALUE"""),2157)</f>
        <v>2157</v>
      </c>
      <c r="H2203" s="1" t="str">
        <f ca="1">IFERROR(__xludf.DUMMYFUNCTION("""COMPUTED_VALUE"""),"MTLSZ002157A19")</f>
        <v>MTLSZ002157A19</v>
      </c>
      <c r="I2203" s="2">
        <f ca="1">IFERROR(__xludf.DUMMYFUNCTION("""COMPUTED_VALUE"""),43483)</f>
        <v>43483</v>
      </c>
      <c r="J2203" s="2">
        <f ca="1">IFERROR(__xludf.DUMMYFUNCTION("""COMPUTED_VALUE"""),43847)</f>
        <v>43847</v>
      </c>
    </row>
    <row r="2204" spans="1:10" x14ac:dyDescent="0.25">
      <c r="A2204" s="1" t="str">
        <f ca="1">IFERROR(__xludf.DUMMYFUNCTION("""COMPUTED_VALUE"""),"Danubius KSE")</f>
        <v>Danubius KSE</v>
      </c>
      <c r="B2204" s="1" t="str">
        <f ca="1">IFERROR(__xludf.DUMMYFUNCTION("""COMPUTED_VALUE"""),"Tóth Réka")</f>
        <v>Tóth Réka</v>
      </c>
      <c r="C2204" s="1"/>
      <c r="D2204" s="1" t="str">
        <f ca="1">IFERROR(__xludf.DUMMYFUNCTION("""COMPUTED_VALUE"""),"Nő")</f>
        <v>Nő</v>
      </c>
      <c r="E2204" s="1"/>
      <c r="F2204" s="1">
        <f ca="1">IFERROR(__xludf.DUMMYFUNCTION("""COMPUTED_VALUE"""),2000)</f>
        <v>2000</v>
      </c>
      <c r="G2204" s="1">
        <f ca="1">IFERROR(__xludf.DUMMYFUNCTION("""COMPUTED_VALUE"""),2158)</f>
        <v>2158</v>
      </c>
      <c r="H2204" s="1" t="str">
        <f ca="1">IFERROR(__xludf.DUMMYFUNCTION("""COMPUTED_VALUE"""),"MTLSZ002158A19")</f>
        <v>MTLSZ002158A19</v>
      </c>
      <c r="I2204" s="2">
        <f ca="1">IFERROR(__xludf.DUMMYFUNCTION("""COMPUTED_VALUE"""),43483)</f>
        <v>43483</v>
      </c>
      <c r="J2204" s="2">
        <f ca="1">IFERROR(__xludf.DUMMYFUNCTION("""COMPUTED_VALUE"""),43847)</f>
        <v>43847</v>
      </c>
    </row>
    <row r="2205" spans="1:10" x14ac:dyDescent="0.25">
      <c r="A2205" s="1" t="str">
        <f ca="1">IFERROR(__xludf.DUMMYFUNCTION("""COMPUTED_VALUE"""),"OSC")</f>
        <v>OSC</v>
      </c>
      <c r="B2205" s="1" t="str">
        <f ca="1">IFERROR(__xludf.DUMMYFUNCTION("""COMPUTED_VALUE"""),"Tihanyi Barnabás")</f>
        <v>Tihanyi Barnabás</v>
      </c>
      <c r="C2205" s="1"/>
      <c r="D2205" s="1" t="str">
        <f ca="1">IFERROR(__xludf.DUMMYFUNCTION("""COMPUTED_VALUE"""),"Férfi")</f>
        <v>Férfi</v>
      </c>
      <c r="E2205" s="1"/>
      <c r="F2205" s="1">
        <f ca="1">IFERROR(__xludf.DUMMYFUNCTION("""COMPUTED_VALUE"""),2003)</f>
        <v>2003</v>
      </c>
      <c r="G2205" s="1">
        <f ca="1">IFERROR(__xludf.DUMMYFUNCTION("""COMPUTED_VALUE"""),2429)</f>
        <v>2429</v>
      </c>
      <c r="H2205" s="1" t="str">
        <f ca="1">IFERROR(__xludf.DUMMYFUNCTION("""COMPUTED_VALUE"""),"MTLSZ002429A19")</f>
        <v>MTLSZ002429A19</v>
      </c>
      <c r="I2205" s="2">
        <f ca="1">IFERROR(__xludf.DUMMYFUNCTION("""COMPUTED_VALUE"""),43482)</f>
        <v>43482</v>
      </c>
      <c r="J2205" s="2">
        <f ca="1">IFERROR(__xludf.DUMMYFUNCTION("""COMPUTED_VALUE"""),43846)</f>
        <v>43846</v>
      </c>
    </row>
    <row r="2206" spans="1:10" x14ac:dyDescent="0.25">
      <c r="A2206" s="1" t="str">
        <f ca="1">IFERROR(__xludf.DUMMYFUNCTION("""COMPUTED_VALUE"""),"T(r)ollas SE")</f>
        <v>T(r)ollas SE</v>
      </c>
      <c r="B2206" s="1" t="str">
        <f ca="1">IFERROR(__xludf.DUMMYFUNCTION("""COMPUTED_VALUE"""),"Hoksza Panna Mia")</f>
        <v>Hoksza Panna Mia</v>
      </c>
      <c r="C2206" s="1"/>
      <c r="D2206" s="1" t="str">
        <f ca="1">IFERROR(__xludf.DUMMYFUNCTION("""COMPUTED_VALUE"""),"Nő")</f>
        <v>Nő</v>
      </c>
      <c r="E2206" s="1"/>
      <c r="F2206" s="1">
        <f ca="1">IFERROR(__xludf.DUMMYFUNCTION("""COMPUTED_VALUE"""),2004)</f>
        <v>2004</v>
      </c>
      <c r="G2206" s="1">
        <f ca="1">IFERROR(__xludf.DUMMYFUNCTION("""COMPUTED_VALUE"""),3286)</f>
        <v>3286</v>
      </c>
      <c r="H2206" s="1" t="str">
        <f ca="1">IFERROR(__xludf.DUMMYFUNCTION("""COMPUTED_VALUE"""),"MTLSZ003286A19")</f>
        <v>MTLSZ003286A19</v>
      </c>
      <c r="I2206" s="2">
        <f ca="1">IFERROR(__xludf.DUMMYFUNCTION("""COMPUTED_VALUE"""),43482)</f>
        <v>43482</v>
      </c>
      <c r="J2206" s="2">
        <f ca="1">IFERROR(__xludf.DUMMYFUNCTION("""COMPUTED_VALUE"""),43846)</f>
        <v>43846</v>
      </c>
    </row>
    <row r="2207" spans="1:10" x14ac:dyDescent="0.25">
      <c r="A2207" s="1" t="str">
        <f ca="1">IFERROR(__xludf.DUMMYFUNCTION("""COMPUTED_VALUE"""),"Életmód SE")</f>
        <v>Életmód SE</v>
      </c>
      <c r="B2207" s="1" t="str">
        <f ca="1">IFERROR(__xludf.DUMMYFUNCTION("""COMPUTED_VALUE"""),"Kodi Dániel")</f>
        <v>Kodi Dániel</v>
      </c>
      <c r="C2207" s="1"/>
      <c r="D2207" s="1" t="str">
        <f ca="1">IFERROR(__xludf.DUMMYFUNCTION("""COMPUTED_VALUE"""),"Férfi")</f>
        <v>Férfi</v>
      </c>
      <c r="E2207" s="1"/>
      <c r="F2207" s="1">
        <f ca="1">IFERROR(__xludf.DUMMYFUNCTION("""COMPUTED_VALUE"""),2005)</f>
        <v>2005</v>
      </c>
      <c r="G2207" s="1">
        <f ca="1">IFERROR(__xludf.DUMMYFUNCTION("""COMPUTED_VALUE"""),3283)</f>
        <v>3283</v>
      </c>
      <c r="H2207" s="1" t="str">
        <f ca="1">IFERROR(__xludf.DUMMYFUNCTION("""COMPUTED_VALUE"""),"MTLSZ003283A19")</f>
        <v>MTLSZ003283A19</v>
      </c>
      <c r="I2207" s="2">
        <f ca="1">IFERROR(__xludf.DUMMYFUNCTION("""COMPUTED_VALUE"""),43480)</f>
        <v>43480</v>
      </c>
      <c r="J2207" s="2">
        <f ca="1">IFERROR(__xludf.DUMMYFUNCTION("""COMPUTED_VALUE"""),43844)</f>
        <v>43844</v>
      </c>
    </row>
    <row r="2208" spans="1:10" x14ac:dyDescent="0.25">
      <c r="A2208" s="1" t="str">
        <f ca="1">IFERROR(__xludf.DUMMYFUNCTION("""COMPUTED_VALUE"""),"Életmód SE")</f>
        <v>Életmód SE</v>
      </c>
      <c r="B2208" s="1" t="str">
        <f ca="1">IFERROR(__xludf.DUMMYFUNCTION("""COMPUTED_VALUE"""),"Kodi Krisztián")</f>
        <v>Kodi Krisztián</v>
      </c>
      <c r="C2208" s="1"/>
      <c r="D2208" s="1" t="str">
        <f ca="1">IFERROR(__xludf.DUMMYFUNCTION("""COMPUTED_VALUE"""),"Férfi")</f>
        <v>Férfi</v>
      </c>
      <c r="E2208" s="1"/>
      <c r="F2208" s="1">
        <f ca="1">IFERROR(__xludf.DUMMYFUNCTION("""COMPUTED_VALUE"""),2002)</f>
        <v>2002</v>
      </c>
      <c r="G2208" s="1">
        <f ca="1">IFERROR(__xludf.DUMMYFUNCTION("""COMPUTED_VALUE"""),3278)</f>
        <v>3278</v>
      </c>
      <c r="H2208" s="1" t="str">
        <f ca="1">IFERROR(__xludf.DUMMYFUNCTION("""COMPUTED_VALUE"""),"MTLSZ003278A19")</f>
        <v>MTLSZ003278A19</v>
      </c>
      <c r="I2208" s="2">
        <f ca="1">IFERROR(__xludf.DUMMYFUNCTION("""COMPUTED_VALUE"""),43480)</f>
        <v>43480</v>
      </c>
      <c r="J2208" s="2">
        <f ca="1">IFERROR(__xludf.DUMMYFUNCTION("""COMPUTED_VALUE"""),43844)</f>
        <v>43844</v>
      </c>
    </row>
    <row r="2209" spans="1:10" x14ac:dyDescent="0.25">
      <c r="A2209" s="1" t="str">
        <f ca="1">IFERROR(__xludf.DUMMYFUNCTION("""COMPUTED_VALUE"""),"Gődi SE")</f>
        <v>Gődi SE</v>
      </c>
      <c r="B2209" s="1" t="str">
        <f ca="1">IFERROR(__xludf.DUMMYFUNCTION("""COMPUTED_VALUE"""),"Rákos Gergely")</f>
        <v>Rákos Gergely</v>
      </c>
      <c r="C2209" s="1"/>
      <c r="D2209" s="1" t="str">
        <f ca="1">IFERROR(__xludf.DUMMYFUNCTION("""COMPUTED_VALUE"""),"Férfi")</f>
        <v>Férfi</v>
      </c>
      <c r="E2209" s="1"/>
      <c r="F2209" s="1">
        <f ca="1">IFERROR(__xludf.DUMMYFUNCTION("""COMPUTED_VALUE"""),2004)</f>
        <v>2004</v>
      </c>
      <c r="G2209" s="1">
        <f ca="1">IFERROR(__xludf.DUMMYFUNCTION("""COMPUTED_VALUE"""),3273)</f>
        <v>3273</v>
      </c>
      <c r="H2209" s="1" t="str">
        <f ca="1">IFERROR(__xludf.DUMMYFUNCTION("""COMPUTED_VALUE"""),"MTLSZ003273A19")</f>
        <v>MTLSZ003273A19</v>
      </c>
      <c r="I2209" s="2">
        <f ca="1">IFERROR(__xludf.DUMMYFUNCTION("""COMPUTED_VALUE"""),43472)</f>
        <v>43472</v>
      </c>
      <c r="J2209" s="2">
        <f ca="1">IFERROR(__xludf.DUMMYFUNCTION("""COMPUTED_VALUE"""),43836)</f>
        <v>43836</v>
      </c>
    </row>
    <row r="2210" spans="1:10" x14ac:dyDescent="0.25">
      <c r="A2210" s="1" t="str">
        <f ca="1">IFERROR(__xludf.DUMMYFUNCTION("""COMPUTED_VALUE"""),"Érdi VSE")</f>
        <v>Érdi VSE</v>
      </c>
      <c r="B2210" s="1" t="str">
        <f ca="1">IFERROR(__xludf.DUMMYFUNCTION("""COMPUTED_VALUE"""),"Flórián Tamás")</f>
        <v>Flórián Tamás</v>
      </c>
      <c r="C2210" s="1"/>
      <c r="D2210" s="1" t="str">
        <f ca="1">IFERROR(__xludf.DUMMYFUNCTION("""COMPUTED_VALUE"""),"Férfi")</f>
        <v>Férfi</v>
      </c>
      <c r="E2210" s="1"/>
      <c r="F2210" s="1">
        <f ca="1">IFERROR(__xludf.DUMMYFUNCTION("""COMPUTED_VALUE"""),2005)</f>
        <v>2005</v>
      </c>
      <c r="G2210" s="1">
        <f ca="1">IFERROR(__xludf.DUMMYFUNCTION("""COMPUTED_VALUE"""),2798)</f>
        <v>2798</v>
      </c>
      <c r="H2210" s="1" t="str">
        <f ca="1">IFERROR(__xludf.DUMMYFUNCTION("""COMPUTED_VALUE"""),"MTLSZ002798A18")</f>
        <v>MTLSZ002798A18</v>
      </c>
      <c r="I2210" s="2">
        <f ca="1">IFERROR(__xludf.DUMMYFUNCTION("""COMPUTED_VALUE"""),43447)</f>
        <v>43447</v>
      </c>
      <c r="J2210" s="2">
        <f ca="1">IFERROR(__xludf.DUMMYFUNCTION("""COMPUTED_VALUE"""),43811)</f>
        <v>43811</v>
      </c>
    </row>
    <row r="2211" spans="1:10" x14ac:dyDescent="0.25">
      <c r="A2211" s="1" t="str">
        <f ca="1">IFERROR(__xludf.DUMMYFUNCTION("""COMPUTED_VALUE"""),"Érdi VSE")</f>
        <v>Érdi VSE</v>
      </c>
      <c r="B2211" s="1" t="str">
        <f ca="1">IFERROR(__xludf.DUMMYFUNCTION("""COMPUTED_VALUE"""),"Harmos Boldizsár")</f>
        <v>Harmos Boldizsár</v>
      </c>
      <c r="C2211" s="1"/>
      <c r="D2211" s="1" t="str">
        <f ca="1">IFERROR(__xludf.DUMMYFUNCTION("""COMPUTED_VALUE"""),"Férfi")</f>
        <v>Férfi</v>
      </c>
      <c r="E2211" s="1"/>
      <c r="F2211" s="1">
        <f ca="1">IFERROR(__xludf.DUMMYFUNCTION("""COMPUTED_VALUE"""),2009)</f>
        <v>2009</v>
      </c>
      <c r="G2211" s="1">
        <f ca="1">IFERROR(__xludf.DUMMYFUNCTION("""COMPUTED_VALUE"""),2910)</f>
        <v>2910</v>
      </c>
      <c r="H2211" s="1" t="str">
        <f ca="1">IFERROR(__xludf.DUMMYFUNCTION("""COMPUTED_VALUE"""),"MTLSZ002910A18")</f>
        <v>MTLSZ002910A18</v>
      </c>
      <c r="I2211" s="2">
        <f ca="1">IFERROR(__xludf.DUMMYFUNCTION("""COMPUTED_VALUE"""),43447)</f>
        <v>43447</v>
      </c>
      <c r="J2211" s="2">
        <f ca="1">IFERROR(__xludf.DUMMYFUNCTION("""COMPUTED_VALUE"""),43811)</f>
        <v>43811</v>
      </c>
    </row>
    <row r="2212" spans="1:10" x14ac:dyDescent="0.25">
      <c r="A2212" s="1" t="str">
        <f ca="1">IFERROR(__xludf.DUMMYFUNCTION("""COMPUTED_VALUE"""),"Érdi VSE")</f>
        <v>Érdi VSE</v>
      </c>
      <c r="B2212" s="1" t="str">
        <f ca="1">IFERROR(__xludf.DUMMYFUNCTION("""COMPUTED_VALUE"""),"Horváth Barnabás")</f>
        <v>Horváth Barnabás</v>
      </c>
      <c r="C2212" s="1"/>
      <c r="D2212" s="1" t="str">
        <f ca="1">IFERROR(__xludf.DUMMYFUNCTION("""COMPUTED_VALUE"""),"Férfi")</f>
        <v>Férfi</v>
      </c>
      <c r="E2212" s="1"/>
      <c r="F2212" s="1">
        <f ca="1">IFERROR(__xludf.DUMMYFUNCTION("""COMPUTED_VALUE"""),2005)</f>
        <v>2005</v>
      </c>
      <c r="G2212" s="1">
        <f ca="1">IFERROR(__xludf.DUMMYFUNCTION("""COMPUTED_VALUE"""),2796)</f>
        <v>2796</v>
      </c>
      <c r="H2212" s="1" t="str">
        <f ca="1">IFERROR(__xludf.DUMMYFUNCTION("""COMPUTED_VALUE"""),"MTLSZ002796A18")</f>
        <v>MTLSZ002796A18</v>
      </c>
      <c r="I2212" s="2">
        <f ca="1">IFERROR(__xludf.DUMMYFUNCTION("""COMPUTED_VALUE"""),43447)</f>
        <v>43447</v>
      </c>
      <c r="J2212" s="2">
        <f ca="1">IFERROR(__xludf.DUMMYFUNCTION("""COMPUTED_VALUE"""),43811)</f>
        <v>43811</v>
      </c>
    </row>
    <row r="2213" spans="1:10" x14ac:dyDescent="0.25">
      <c r="A2213" s="1" t="str">
        <f ca="1">IFERROR(__xludf.DUMMYFUNCTION("""COMPUTED_VALUE"""),"Érdi VSE")</f>
        <v>Érdi VSE</v>
      </c>
      <c r="B2213" s="1" t="str">
        <f ca="1">IFERROR(__xludf.DUMMYFUNCTION("""COMPUTED_VALUE"""),"Horváth Levente")</f>
        <v>Horváth Levente</v>
      </c>
      <c r="C2213" s="1"/>
      <c r="D2213" s="1" t="str">
        <f ca="1">IFERROR(__xludf.DUMMYFUNCTION("""COMPUTED_VALUE"""),"Férfi")</f>
        <v>Férfi</v>
      </c>
      <c r="E2213" s="1"/>
      <c r="F2213" s="1">
        <f ca="1">IFERROR(__xludf.DUMMYFUNCTION("""COMPUTED_VALUE"""),2007)</f>
        <v>2007</v>
      </c>
      <c r="G2213" s="1">
        <f ca="1">IFERROR(__xludf.DUMMYFUNCTION("""COMPUTED_VALUE"""),2797)</f>
        <v>2797</v>
      </c>
      <c r="H2213" s="1" t="str">
        <f ca="1">IFERROR(__xludf.DUMMYFUNCTION("""COMPUTED_VALUE"""),"MTLSZ002797A18")</f>
        <v>MTLSZ002797A18</v>
      </c>
      <c r="I2213" s="2">
        <f ca="1">IFERROR(__xludf.DUMMYFUNCTION("""COMPUTED_VALUE"""),43447)</f>
        <v>43447</v>
      </c>
      <c r="J2213" s="2">
        <f ca="1">IFERROR(__xludf.DUMMYFUNCTION("""COMPUTED_VALUE"""),43811)</f>
        <v>43811</v>
      </c>
    </row>
    <row r="2214" spans="1:10" x14ac:dyDescent="0.25">
      <c r="A2214" s="1" t="str">
        <f ca="1">IFERROR(__xludf.DUMMYFUNCTION("""COMPUTED_VALUE"""),"Érdi VSE")</f>
        <v>Érdi VSE</v>
      </c>
      <c r="B2214" s="1" t="str">
        <f ca="1">IFERROR(__xludf.DUMMYFUNCTION("""COMPUTED_VALUE"""),"Nikolics Dominik")</f>
        <v>Nikolics Dominik</v>
      </c>
      <c r="C2214" s="1"/>
      <c r="D2214" s="1" t="str">
        <f ca="1">IFERROR(__xludf.DUMMYFUNCTION("""COMPUTED_VALUE"""),"Férfi")</f>
        <v>Férfi</v>
      </c>
      <c r="E2214" s="1"/>
      <c r="F2214" s="1">
        <f ca="1">IFERROR(__xludf.DUMMYFUNCTION("""COMPUTED_VALUE"""),2004)</f>
        <v>2004</v>
      </c>
      <c r="G2214" s="1">
        <f ca="1">IFERROR(__xludf.DUMMYFUNCTION("""COMPUTED_VALUE"""),2746)</f>
        <v>2746</v>
      </c>
      <c r="H2214" s="1" t="str">
        <f ca="1">IFERROR(__xludf.DUMMYFUNCTION("""COMPUTED_VALUE"""),"MTLSZ002746A18")</f>
        <v>MTLSZ002746A18</v>
      </c>
      <c r="I2214" s="2">
        <f ca="1">IFERROR(__xludf.DUMMYFUNCTION("""COMPUTED_VALUE"""),43447)</f>
        <v>43447</v>
      </c>
      <c r="J2214" s="2">
        <f ca="1">IFERROR(__xludf.DUMMYFUNCTION("""COMPUTED_VALUE"""),43811)</f>
        <v>43811</v>
      </c>
    </row>
    <row r="2215" spans="1:10" x14ac:dyDescent="0.25">
      <c r="A2215" s="1" t="str">
        <f ca="1">IFERROR(__xludf.DUMMYFUNCTION("""COMPUTED_VALUE"""),"Érdi VSE")</f>
        <v>Érdi VSE</v>
      </c>
      <c r="B2215" s="1" t="str">
        <f ca="1">IFERROR(__xludf.DUMMYFUNCTION("""COMPUTED_VALUE"""),"Udvardi Vivien")</f>
        <v>Udvardi Vivien</v>
      </c>
      <c r="C2215" s="1"/>
      <c r="D2215" s="1" t="str">
        <f ca="1">IFERROR(__xludf.DUMMYFUNCTION("""COMPUTED_VALUE"""),"Nő")</f>
        <v>Nő</v>
      </c>
      <c r="E2215" s="1"/>
      <c r="F2215" s="1">
        <f ca="1">IFERROR(__xludf.DUMMYFUNCTION("""COMPUTED_VALUE"""),2005)</f>
        <v>2005</v>
      </c>
      <c r="G2215" s="1">
        <f ca="1">IFERROR(__xludf.DUMMYFUNCTION("""COMPUTED_VALUE"""),3271)</f>
        <v>3271</v>
      </c>
      <c r="H2215" s="1" t="str">
        <f ca="1">IFERROR(__xludf.DUMMYFUNCTION("""COMPUTED_VALUE"""),"MTLSZ003271A18")</f>
        <v>MTLSZ003271A18</v>
      </c>
      <c r="I2215" s="2">
        <f ca="1">IFERROR(__xludf.DUMMYFUNCTION("""COMPUTED_VALUE"""),43447)</f>
        <v>43447</v>
      </c>
      <c r="J2215" s="2">
        <f ca="1">IFERROR(__xludf.DUMMYFUNCTION("""COMPUTED_VALUE"""),43811)</f>
        <v>43811</v>
      </c>
    </row>
    <row r="2216" spans="1:10" x14ac:dyDescent="0.25">
      <c r="A2216" s="1" t="str">
        <f ca="1">IFERROR(__xludf.DUMMYFUNCTION("""COMPUTED_VALUE"""),"DSC-SI")</f>
        <v>DSC-SI</v>
      </c>
      <c r="B2216" s="1" t="str">
        <f ca="1">IFERROR(__xludf.DUMMYFUNCTION("""COMPUTED_VALUE"""),"Breitenbach Fruzsina")</f>
        <v>Breitenbach Fruzsina</v>
      </c>
      <c r="C2216" s="1"/>
      <c r="D2216" s="1" t="str">
        <f ca="1">IFERROR(__xludf.DUMMYFUNCTION("""COMPUTED_VALUE"""),"Nő")</f>
        <v>Nő</v>
      </c>
      <c r="E2216" s="1"/>
      <c r="F2216" s="1">
        <f ca="1">IFERROR(__xludf.DUMMYFUNCTION("""COMPUTED_VALUE"""),2006)</f>
        <v>2006</v>
      </c>
      <c r="G2216" s="1">
        <f ca="1">IFERROR(__xludf.DUMMYFUNCTION("""COMPUTED_VALUE"""),3037)</f>
        <v>3037</v>
      </c>
      <c r="H2216" s="1" t="str">
        <f ca="1">IFERROR(__xludf.DUMMYFUNCTION("""COMPUTED_VALUE"""),"MTLSZ003037A18")</f>
        <v>MTLSZ003037A18</v>
      </c>
      <c r="I2216" s="2">
        <f ca="1">IFERROR(__xludf.DUMMYFUNCTION("""COMPUTED_VALUE"""),43434)</f>
        <v>43434</v>
      </c>
      <c r="J2216" s="2">
        <f ca="1">IFERROR(__xludf.DUMMYFUNCTION("""COMPUTED_VALUE"""),43798)</f>
        <v>43798</v>
      </c>
    </row>
    <row r="2217" spans="1:10" x14ac:dyDescent="0.25">
      <c r="A2217" s="1" t="str">
        <f ca="1">IFERROR(__xludf.DUMMYFUNCTION("""COMPUTED_VALUE"""),"DSC-SI")</f>
        <v>DSC-SI</v>
      </c>
      <c r="B2217" s="1" t="str">
        <f ca="1">IFERROR(__xludf.DUMMYFUNCTION("""COMPUTED_VALUE"""),"Dobos Dóra")</f>
        <v>Dobos Dóra</v>
      </c>
      <c r="C2217" s="1"/>
      <c r="D2217" s="1" t="str">
        <f ca="1">IFERROR(__xludf.DUMMYFUNCTION("""COMPUTED_VALUE"""),"Nő")</f>
        <v>Nő</v>
      </c>
      <c r="E2217" s="1"/>
      <c r="F2217" s="1">
        <f ca="1">IFERROR(__xludf.DUMMYFUNCTION("""COMPUTED_VALUE"""),2006)</f>
        <v>2006</v>
      </c>
      <c r="G2217" s="1">
        <f ca="1">IFERROR(__xludf.DUMMYFUNCTION("""COMPUTED_VALUE"""),3039)</f>
        <v>3039</v>
      </c>
      <c r="H2217" s="1" t="str">
        <f ca="1">IFERROR(__xludf.DUMMYFUNCTION("""COMPUTED_VALUE"""),"MTLSZ003039A18")</f>
        <v>MTLSZ003039A18</v>
      </c>
      <c r="I2217" s="2">
        <f ca="1">IFERROR(__xludf.DUMMYFUNCTION("""COMPUTED_VALUE"""),43434)</f>
        <v>43434</v>
      </c>
      <c r="J2217" s="2">
        <f ca="1">IFERROR(__xludf.DUMMYFUNCTION("""COMPUTED_VALUE"""),43798)</f>
        <v>43798</v>
      </c>
    </row>
    <row r="2218" spans="1:10" x14ac:dyDescent="0.25">
      <c r="A2218" s="1" t="str">
        <f ca="1">IFERROR(__xludf.DUMMYFUNCTION("""COMPUTED_VALUE"""),"DSC-SI")</f>
        <v>DSC-SI</v>
      </c>
      <c r="B2218" s="1" t="str">
        <f ca="1">IFERROR(__xludf.DUMMYFUNCTION("""COMPUTED_VALUE"""),"Kertész Viktória")</f>
        <v>Kertész Viktória</v>
      </c>
      <c r="C2218" s="1"/>
      <c r="D2218" s="1" t="str">
        <f ca="1">IFERROR(__xludf.DUMMYFUNCTION("""COMPUTED_VALUE"""),"Nő")</f>
        <v>Nő</v>
      </c>
      <c r="E2218" s="1"/>
      <c r="F2218" s="1">
        <f ca="1">IFERROR(__xludf.DUMMYFUNCTION("""COMPUTED_VALUE"""),2006)</f>
        <v>2006</v>
      </c>
      <c r="G2218" s="1">
        <f ca="1">IFERROR(__xludf.DUMMYFUNCTION("""COMPUTED_VALUE"""),3042)</f>
        <v>3042</v>
      </c>
      <c r="H2218" s="1" t="str">
        <f ca="1">IFERROR(__xludf.DUMMYFUNCTION("""COMPUTED_VALUE"""),"MTLSZ003042A18")</f>
        <v>MTLSZ003042A18</v>
      </c>
      <c r="I2218" s="2">
        <f ca="1">IFERROR(__xludf.DUMMYFUNCTION("""COMPUTED_VALUE"""),43434)</f>
        <v>43434</v>
      </c>
      <c r="J2218" s="2">
        <f ca="1">IFERROR(__xludf.DUMMYFUNCTION("""COMPUTED_VALUE"""),43798)</f>
        <v>43798</v>
      </c>
    </row>
    <row r="2219" spans="1:10" x14ac:dyDescent="0.25">
      <c r="A2219" s="1" t="str">
        <f ca="1">IFERROR(__xludf.DUMMYFUNCTION("""COMPUTED_VALUE"""),"DSC-SI")</f>
        <v>DSC-SI</v>
      </c>
      <c r="B2219" s="1" t="str">
        <f ca="1">IFERROR(__xludf.DUMMYFUNCTION("""COMPUTED_VALUE"""),"Ötvös-Tóth Zétény")</f>
        <v>Ötvös-Tóth Zétény</v>
      </c>
      <c r="C2219" s="1"/>
      <c r="D2219" s="1" t="str">
        <f ca="1">IFERROR(__xludf.DUMMYFUNCTION("""COMPUTED_VALUE"""),"Férfi")</f>
        <v>Férfi</v>
      </c>
      <c r="E2219" s="1"/>
      <c r="F2219" s="1">
        <f ca="1">IFERROR(__xludf.DUMMYFUNCTION("""COMPUTED_VALUE"""),2009)</f>
        <v>2009</v>
      </c>
      <c r="G2219" s="1">
        <f ca="1">IFERROR(__xludf.DUMMYFUNCTION("""COMPUTED_VALUE"""),3046)</f>
        <v>3046</v>
      </c>
      <c r="H2219" s="1" t="str">
        <f ca="1">IFERROR(__xludf.DUMMYFUNCTION("""COMPUTED_VALUE"""),"MTLSZ003046A18")</f>
        <v>MTLSZ003046A18</v>
      </c>
      <c r="I2219" s="2">
        <f ca="1">IFERROR(__xludf.DUMMYFUNCTION("""COMPUTED_VALUE"""),43434)</f>
        <v>43434</v>
      </c>
      <c r="J2219" s="2">
        <f ca="1">IFERROR(__xludf.DUMMYFUNCTION("""COMPUTED_VALUE"""),43798)</f>
        <v>43798</v>
      </c>
    </row>
    <row r="2220" spans="1:10" x14ac:dyDescent="0.25">
      <c r="A2220" s="1" t="str">
        <f ca="1">IFERROR(__xludf.DUMMYFUNCTION("""COMPUTED_VALUE"""),"DSC-SI")</f>
        <v>DSC-SI</v>
      </c>
      <c r="B2220" s="1" t="str">
        <f ca="1">IFERROR(__xludf.DUMMYFUNCTION("""COMPUTED_VALUE"""),"Szentpéteri Eszter")</f>
        <v>Szentpéteri Eszter</v>
      </c>
      <c r="C2220" s="1"/>
      <c r="D2220" s="1" t="str">
        <f ca="1">IFERROR(__xludf.DUMMYFUNCTION("""COMPUTED_VALUE"""),"Nő")</f>
        <v>Nő</v>
      </c>
      <c r="E2220" s="1"/>
      <c r="F2220" s="1">
        <f ca="1">IFERROR(__xludf.DUMMYFUNCTION("""COMPUTED_VALUE"""),2008)</f>
        <v>2008</v>
      </c>
      <c r="G2220" s="1">
        <f ca="1">IFERROR(__xludf.DUMMYFUNCTION("""COMPUTED_VALUE"""),3050)</f>
        <v>3050</v>
      </c>
      <c r="H2220" s="1" t="str">
        <f ca="1">IFERROR(__xludf.DUMMYFUNCTION("""COMPUTED_VALUE"""),"MTLSZ003050A18")</f>
        <v>MTLSZ003050A18</v>
      </c>
      <c r="I2220" s="2">
        <f ca="1">IFERROR(__xludf.DUMMYFUNCTION("""COMPUTED_VALUE"""),43434)</f>
        <v>43434</v>
      </c>
      <c r="J2220" s="2">
        <f ca="1">IFERROR(__xludf.DUMMYFUNCTION("""COMPUTED_VALUE"""),43798)</f>
        <v>43798</v>
      </c>
    </row>
    <row r="2221" spans="1:10" x14ac:dyDescent="0.25">
      <c r="A2221" s="1" t="str">
        <f ca="1">IFERROR(__xludf.DUMMYFUNCTION("""COMPUTED_VALUE"""),"DSC-SI")</f>
        <v>DSC-SI</v>
      </c>
      <c r="B2221" s="1" t="str">
        <f ca="1">IFERROR(__xludf.DUMMYFUNCTION("""COMPUTED_VALUE"""),"Tacsi Zalán Tengisz")</f>
        <v>Tacsi Zalán Tengisz</v>
      </c>
      <c r="C2221" s="1"/>
      <c r="D2221" s="1" t="str">
        <f ca="1">IFERROR(__xludf.DUMMYFUNCTION("""COMPUTED_VALUE"""),"Férfi")</f>
        <v>Férfi</v>
      </c>
      <c r="E2221" s="1"/>
      <c r="F2221" s="1">
        <f ca="1">IFERROR(__xludf.DUMMYFUNCTION("""COMPUTED_VALUE"""),2009)</f>
        <v>2009</v>
      </c>
      <c r="G2221" s="1">
        <f ca="1">IFERROR(__xludf.DUMMYFUNCTION("""COMPUTED_VALUE"""),3051)</f>
        <v>3051</v>
      </c>
      <c r="H2221" s="1" t="str">
        <f ca="1">IFERROR(__xludf.DUMMYFUNCTION("""COMPUTED_VALUE"""),"MTLSZ003051A18")</f>
        <v>MTLSZ003051A18</v>
      </c>
      <c r="I2221" s="2">
        <f ca="1">IFERROR(__xludf.DUMMYFUNCTION("""COMPUTED_VALUE"""),43434)</f>
        <v>43434</v>
      </c>
      <c r="J2221" s="2">
        <f ca="1">IFERROR(__xludf.DUMMYFUNCTION("""COMPUTED_VALUE"""),43798)</f>
        <v>43798</v>
      </c>
    </row>
    <row r="2222" spans="1:10" x14ac:dyDescent="0.25">
      <c r="A2222" s="1" t="str">
        <f ca="1">IFERROR(__xludf.DUMMYFUNCTION("""COMPUTED_VALUE"""),"FBSE")</f>
        <v>FBSE</v>
      </c>
      <c r="B2222" s="1" t="str">
        <f ca="1">IFERROR(__xludf.DUMMYFUNCTION("""COMPUTED_VALUE"""),"Nagy Ádám Dávid")</f>
        <v>Nagy Ádám Dávid</v>
      </c>
      <c r="C2222" s="1"/>
      <c r="D2222" s="1" t="str">
        <f ca="1">IFERROR(__xludf.DUMMYFUNCTION("""COMPUTED_VALUE"""),"Férfi")</f>
        <v>Férfi</v>
      </c>
      <c r="E2222" s="1"/>
      <c r="F2222" s="1">
        <f ca="1">IFERROR(__xludf.DUMMYFUNCTION("""COMPUTED_VALUE"""),2001)</f>
        <v>2001</v>
      </c>
      <c r="G2222" s="1">
        <f ca="1">IFERROR(__xludf.DUMMYFUNCTION("""COMPUTED_VALUE"""),2622)</f>
        <v>2622</v>
      </c>
      <c r="H2222" s="1" t="str">
        <f ca="1">IFERROR(__xludf.DUMMYFUNCTION("""COMPUTED_VALUE"""),"MTLSZ002622A18")</f>
        <v>MTLSZ002622A18</v>
      </c>
      <c r="I2222" s="2">
        <f ca="1">IFERROR(__xludf.DUMMYFUNCTION("""COMPUTED_VALUE"""),43431)</f>
        <v>43431</v>
      </c>
      <c r="J2222" s="2">
        <f ca="1">IFERROR(__xludf.DUMMYFUNCTION("""COMPUTED_VALUE"""),43795)</f>
        <v>43795</v>
      </c>
    </row>
    <row r="2223" spans="1:10" x14ac:dyDescent="0.25">
      <c r="A2223" s="1" t="str">
        <f ca="1">IFERROR(__xludf.DUMMYFUNCTION("""COMPUTED_VALUE"""),"MEAFC")</f>
        <v>MEAFC</v>
      </c>
      <c r="B2223" s="1" t="str">
        <f ca="1">IFERROR(__xludf.DUMMYFUNCTION("""COMPUTED_VALUE"""),"Oláh Gábor")</f>
        <v>Oláh Gábor</v>
      </c>
      <c r="C2223" s="1"/>
      <c r="D2223" s="1" t="str">
        <f ca="1">IFERROR(__xludf.DUMMYFUNCTION("""COMPUTED_VALUE"""),"Férfi")</f>
        <v>Férfi</v>
      </c>
      <c r="E2223" s="1"/>
      <c r="F2223" s="1">
        <f ca="1">IFERROR(__xludf.DUMMYFUNCTION("""COMPUTED_VALUE"""),1976)</f>
        <v>1976</v>
      </c>
      <c r="G2223" s="1">
        <f ca="1">IFERROR(__xludf.DUMMYFUNCTION("""COMPUTED_VALUE"""),2656)</f>
        <v>2656</v>
      </c>
      <c r="H2223" s="1" t="str">
        <f ca="1">IFERROR(__xludf.DUMMYFUNCTION("""COMPUTED_VALUE"""),"MTLSZ002656A18")</f>
        <v>MTLSZ002656A18</v>
      </c>
      <c r="I2223" s="2">
        <f ca="1">IFERROR(__xludf.DUMMYFUNCTION("""COMPUTED_VALUE"""),43426)</f>
        <v>43426</v>
      </c>
      <c r="J2223" s="2">
        <f ca="1">IFERROR(__xludf.DUMMYFUNCTION("""COMPUTED_VALUE"""),43790)</f>
        <v>43790</v>
      </c>
    </row>
    <row r="2224" spans="1:10" x14ac:dyDescent="0.25">
      <c r="A2224" s="1" t="str">
        <f ca="1">IFERROR(__xludf.DUMMYFUNCTION("""COMPUTED_VALUE"""),"Győri TSE")</f>
        <v>Győri TSE</v>
      </c>
      <c r="B2224" s="1" t="str">
        <f ca="1">IFERROR(__xludf.DUMMYFUNCTION("""COMPUTED_VALUE"""),"Rapkay Tamás")</f>
        <v>Rapkay Tamás</v>
      </c>
      <c r="C2224" s="1"/>
      <c r="D2224" s="1" t="str">
        <f ca="1">IFERROR(__xludf.DUMMYFUNCTION("""COMPUTED_VALUE"""),"Férfi")</f>
        <v>Férfi</v>
      </c>
      <c r="E2224" s="1"/>
      <c r="F2224" s="1">
        <f ca="1">IFERROR(__xludf.DUMMYFUNCTION("""COMPUTED_VALUE"""),1967)</f>
        <v>1967</v>
      </c>
      <c r="G2224" s="1">
        <f ca="1">IFERROR(__xludf.DUMMYFUNCTION("""COMPUTED_VALUE"""),2309)</f>
        <v>2309</v>
      </c>
      <c r="H2224" s="1" t="str">
        <f ca="1">IFERROR(__xludf.DUMMYFUNCTION("""COMPUTED_VALUE"""),"MTLSZ002309A18")</f>
        <v>MTLSZ002309A18</v>
      </c>
      <c r="I2224" s="2">
        <f ca="1">IFERROR(__xludf.DUMMYFUNCTION("""COMPUTED_VALUE"""),43424)</f>
        <v>43424</v>
      </c>
      <c r="J2224" s="2">
        <f ca="1">IFERROR(__xludf.DUMMYFUNCTION("""COMPUTED_VALUE"""),43788)</f>
        <v>43788</v>
      </c>
    </row>
    <row r="2225" spans="1:10" x14ac:dyDescent="0.25">
      <c r="A2225" s="1" t="str">
        <f ca="1">IFERROR(__xludf.DUMMYFUNCTION("""COMPUTED_VALUE"""),"Pedagógus Fáklya SE")</f>
        <v>Pedagógus Fáklya SE</v>
      </c>
      <c r="B2225" s="1" t="str">
        <f ca="1">IFERROR(__xludf.DUMMYFUNCTION("""COMPUTED_VALUE"""),"Karika Attila")</f>
        <v>Karika Attila</v>
      </c>
      <c r="C2225" s="1"/>
      <c r="D2225" s="1" t="str">
        <f ca="1">IFERROR(__xludf.DUMMYFUNCTION("""COMPUTED_VALUE"""),"Férfi")</f>
        <v>Férfi</v>
      </c>
      <c r="E2225" s="1"/>
      <c r="F2225" s="1">
        <f ca="1">IFERROR(__xludf.DUMMYFUNCTION("""COMPUTED_VALUE"""),1970)</f>
        <v>1970</v>
      </c>
      <c r="G2225" s="1">
        <f ca="1">IFERROR(__xludf.DUMMYFUNCTION("""COMPUTED_VALUE"""),437)</f>
        <v>437</v>
      </c>
      <c r="H2225" s="1" t="str">
        <f ca="1">IFERROR(__xludf.DUMMYFUNCTION("""COMPUTED_VALUE"""),"MTLSZ000437A18")</f>
        <v>MTLSZ000437A18</v>
      </c>
      <c r="I2225" s="2">
        <f ca="1">IFERROR(__xludf.DUMMYFUNCTION("""COMPUTED_VALUE"""),43424)</f>
        <v>43424</v>
      </c>
      <c r="J2225" s="2">
        <f ca="1">IFERROR(__xludf.DUMMYFUNCTION("""COMPUTED_VALUE"""),43788)</f>
        <v>43788</v>
      </c>
    </row>
    <row r="2226" spans="1:10" x14ac:dyDescent="0.25">
      <c r="A2226" s="1" t="str">
        <f ca="1">IFERROR(__xludf.DUMMYFUNCTION("""COMPUTED_VALUE"""),"ZKSE")</f>
        <v>ZKSE</v>
      </c>
      <c r="B2226" s="1" t="str">
        <f ca="1">IFERROR(__xludf.DUMMYFUNCTION("""COMPUTED_VALUE"""),"Tombor Attila Dr.")</f>
        <v>Tombor Attila Dr.</v>
      </c>
      <c r="C2226" s="1"/>
      <c r="D2226" s="1" t="str">
        <f ca="1">IFERROR(__xludf.DUMMYFUNCTION("""COMPUTED_VALUE"""),"Férfi")</f>
        <v>Férfi</v>
      </c>
      <c r="E2226" s="1"/>
      <c r="F2226" s="1">
        <f ca="1">IFERROR(__xludf.DUMMYFUNCTION("""COMPUTED_VALUE"""),1957)</f>
        <v>1957</v>
      </c>
      <c r="G2226" s="1">
        <f ca="1">IFERROR(__xludf.DUMMYFUNCTION("""COMPUTED_VALUE"""),1017)</f>
        <v>1017</v>
      </c>
      <c r="H2226" s="1" t="str">
        <f ca="1">IFERROR(__xludf.DUMMYFUNCTION("""COMPUTED_VALUE"""),"MTLSZ001017A18")</f>
        <v>MTLSZ001017A18</v>
      </c>
      <c r="I2226" s="2">
        <f ca="1">IFERROR(__xludf.DUMMYFUNCTION("""COMPUTED_VALUE"""),43424)</f>
        <v>43424</v>
      </c>
      <c r="J2226" s="2">
        <f ca="1">IFERROR(__xludf.DUMMYFUNCTION("""COMPUTED_VALUE"""),43788)</f>
        <v>43788</v>
      </c>
    </row>
    <row r="2227" spans="1:10" x14ac:dyDescent="0.25">
      <c r="A2227" s="1" t="str">
        <f ca="1">IFERROR(__xludf.DUMMYFUNCTION("""COMPUTED_VALUE"""),"Formás SE")</f>
        <v>Formás SE</v>
      </c>
      <c r="B2227" s="1" t="str">
        <f ca="1">IFERROR(__xludf.DUMMYFUNCTION("""COMPUTED_VALUE"""),"Oberlander Sándor")</f>
        <v>Oberlander Sándor</v>
      </c>
      <c r="C2227" s="1"/>
      <c r="D2227" s="1" t="str">
        <f ca="1">IFERROR(__xludf.DUMMYFUNCTION("""COMPUTED_VALUE"""),"Férfi")</f>
        <v>Férfi</v>
      </c>
      <c r="E2227" s="1"/>
      <c r="F2227" s="1">
        <f ca="1">IFERROR(__xludf.DUMMYFUNCTION("""COMPUTED_VALUE"""),1967)</f>
        <v>1967</v>
      </c>
      <c r="G2227" s="1">
        <f ca="1">IFERROR(__xludf.DUMMYFUNCTION("""COMPUTED_VALUE"""),1566)</f>
        <v>1566</v>
      </c>
      <c r="H2227" s="1" t="str">
        <f ca="1">IFERROR(__xludf.DUMMYFUNCTION("""COMPUTED_VALUE"""),"MTLSZ001566A18")</f>
        <v>MTLSZ001566A18</v>
      </c>
      <c r="I2227" s="2">
        <f ca="1">IFERROR(__xludf.DUMMYFUNCTION("""COMPUTED_VALUE"""),43423)</f>
        <v>43423</v>
      </c>
      <c r="J2227" s="2">
        <f ca="1">IFERROR(__xludf.DUMMYFUNCTION("""COMPUTED_VALUE"""),43787)</f>
        <v>43787</v>
      </c>
    </row>
    <row r="2228" spans="1:10" x14ac:dyDescent="0.25">
      <c r="A2228" s="1" t="str">
        <f ca="1">IFERROR(__xludf.DUMMYFUNCTION("""COMPUTED_VALUE"""),"Klébi DSE")</f>
        <v>Klébi DSE</v>
      </c>
      <c r="B2228" s="1" t="str">
        <f ca="1">IFERROR(__xludf.DUMMYFUNCTION("""COMPUTED_VALUE"""),"Kotán Géza")</f>
        <v>Kotán Géza</v>
      </c>
      <c r="C2228" s="1"/>
      <c r="D2228" s="1" t="str">
        <f ca="1">IFERROR(__xludf.DUMMYFUNCTION("""COMPUTED_VALUE"""),"Férfi")</f>
        <v>Férfi</v>
      </c>
      <c r="E2228" s="1"/>
      <c r="F2228" s="1">
        <f ca="1">IFERROR(__xludf.DUMMYFUNCTION("""COMPUTED_VALUE"""),1962)</f>
        <v>1962</v>
      </c>
      <c r="G2228" s="1">
        <f ca="1">IFERROR(__xludf.DUMMYFUNCTION("""COMPUTED_VALUE"""),1889)</f>
        <v>1889</v>
      </c>
      <c r="H2228" s="1" t="str">
        <f ca="1">IFERROR(__xludf.DUMMYFUNCTION("""COMPUTED_VALUE"""),"MTLSZ001889A18")</f>
        <v>MTLSZ001889A18</v>
      </c>
      <c r="I2228" s="2">
        <f ca="1">IFERROR(__xludf.DUMMYFUNCTION("""COMPUTED_VALUE"""),43423)</f>
        <v>43423</v>
      </c>
      <c r="J2228" s="2">
        <f ca="1">IFERROR(__xludf.DUMMYFUNCTION("""COMPUTED_VALUE"""),43787)</f>
        <v>43787</v>
      </c>
    </row>
    <row r="2229" spans="1:10" x14ac:dyDescent="0.25">
      <c r="A2229" s="1" t="str">
        <f ca="1">IFERROR(__xludf.DUMMYFUNCTION("""COMPUTED_VALUE"""),"NYVSC")</f>
        <v>NYVSC</v>
      </c>
      <c r="B2229" s="1" t="str">
        <f ca="1">IFERROR(__xludf.DUMMYFUNCTION("""COMPUTED_VALUE"""),"Gombai Gergely")</f>
        <v>Gombai Gergely</v>
      </c>
      <c r="C2229" s="1"/>
      <c r="D2229" s="1" t="str">
        <f ca="1">IFERROR(__xludf.DUMMYFUNCTION("""COMPUTED_VALUE"""),"Férfi")</f>
        <v>Férfi</v>
      </c>
      <c r="E2229" s="1"/>
      <c r="F2229" s="1">
        <f ca="1">IFERROR(__xludf.DUMMYFUNCTION("""COMPUTED_VALUE"""),2008)</f>
        <v>2008</v>
      </c>
      <c r="G2229" s="1">
        <f ca="1">IFERROR(__xludf.DUMMYFUNCTION("""COMPUTED_VALUE"""),3261)</f>
        <v>3261</v>
      </c>
      <c r="H2229" s="1" t="str">
        <f ca="1">IFERROR(__xludf.DUMMYFUNCTION("""COMPUTED_VALUE"""),"MTLSZ003261A18")</f>
        <v>MTLSZ003261A18</v>
      </c>
      <c r="I2229" s="2">
        <f ca="1">IFERROR(__xludf.DUMMYFUNCTION("""COMPUTED_VALUE"""),43423)</f>
        <v>43423</v>
      </c>
      <c r="J2229" s="2">
        <f ca="1">IFERROR(__xludf.DUMMYFUNCTION("""COMPUTED_VALUE"""),43787)</f>
        <v>43787</v>
      </c>
    </row>
    <row r="2230" spans="1:10" x14ac:dyDescent="0.25">
      <c r="A2230" s="1" t="str">
        <f ca="1">IFERROR(__xludf.DUMMYFUNCTION("""COMPUTED_VALUE"""),"NYVSC")</f>
        <v>NYVSC</v>
      </c>
      <c r="B2230" s="1" t="str">
        <f ca="1">IFERROR(__xludf.DUMMYFUNCTION("""COMPUTED_VALUE"""),"Koczka Dorina")</f>
        <v>Koczka Dorina</v>
      </c>
      <c r="C2230" s="1"/>
      <c r="D2230" s="1" t="str">
        <f ca="1">IFERROR(__xludf.DUMMYFUNCTION("""COMPUTED_VALUE"""),"Nő")</f>
        <v>Nő</v>
      </c>
      <c r="E2230" s="1"/>
      <c r="F2230" s="1">
        <f ca="1">IFERROR(__xludf.DUMMYFUNCTION("""COMPUTED_VALUE"""),2009)</f>
        <v>2009</v>
      </c>
      <c r="G2230" s="1">
        <f ca="1">IFERROR(__xludf.DUMMYFUNCTION("""COMPUTED_VALUE"""),3259)</f>
        <v>3259</v>
      </c>
      <c r="H2230" s="1" t="str">
        <f ca="1">IFERROR(__xludf.DUMMYFUNCTION("""COMPUTED_VALUE"""),"MTLSZ003259A18")</f>
        <v>MTLSZ003259A18</v>
      </c>
      <c r="I2230" s="2">
        <f ca="1">IFERROR(__xludf.DUMMYFUNCTION("""COMPUTED_VALUE"""),43423)</f>
        <v>43423</v>
      </c>
      <c r="J2230" s="2">
        <f ca="1">IFERROR(__xludf.DUMMYFUNCTION("""COMPUTED_VALUE"""),43787)</f>
        <v>43787</v>
      </c>
    </row>
    <row r="2231" spans="1:10" x14ac:dyDescent="0.25">
      <c r="A2231" s="1" t="str">
        <f ca="1">IFERROR(__xludf.DUMMYFUNCTION("""COMPUTED_VALUE"""),"NYVSC")</f>
        <v>NYVSC</v>
      </c>
      <c r="B2231" s="1" t="str">
        <f ca="1">IFERROR(__xludf.DUMMYFUNCTION("""COMPUTED_VALUE"""),"Mucsi Kincső")</f>
        <v>Mucsi Kincső</v>
      </c>
      <c r="C2231" s="1"/>
      <c r="D2231" s="1" t="str">
        <f ca="1">IFERROR(__xludf.DUMMYFUNCTION("""COMPUTED_VALUE"""),"Nő")</f>
        <v>Nő</v>
      </c>
      <c r="E2231" s="1"/>
      <c r="F2231" s="1">
        <f ca="1">IFERROR(__xludf.DUMMYFUNCTION("""COMPUTED_VALUE"""),2010)</f>
        <v>2010</v>
      </c>
      <c r="G2231" s="1">
        <f ca="1">IFERROR(__xludf.DUMMYFUNCTION("""COMPUTED_VALUE"""),3258)</f>
        <v>3258</v>
      </c>
      <c r="H2231" s="1" t="str">
        <f ca="1">IFERROR(__xludf.DUMMYFUNCTION("""COMPUTED_VALUE"""),"MTLSZ003258A18")</f>
        <v>MTLSZ003258A18</v>
      </c>
      <c r="I2231" s="2">
        <f ca="1">IFERROR(__xludf.DUMMYFUNCTION("""COMPUTED_VALUE"""),43423)</f>
        <v>43423</v>
      </c>
      <c r="J2231" s="2">
        <f ca="1">IFERROR(__xludf.DUMMYFUNCTION("""COMPUTED_VALUE"""),43787)</f>
        <v>43787</v>
      </c>
    </row>
    <row r="2232" spans="1:10" x14ac:dyDescent="0.25">
      <c r="A2232" s="1" t="str">
        <f ca="1">IFERROR(__xludf.DUMMYFUNCTION("""COMPUTED_VALUE"""),"MEAFC")</f>
        <v>MEAFC</v>
      </c>
      <c r="B2232" s="1" t="str">
        <f ca="1">IFERROR(__xludf.DUMMYFUNCTION("""COMPUTED_VALUE"""),"Blága Csaba dr.")</f>
        <v>Blága Csaba dr.</v>
      </c>
      <c r="C2232" s="1"/>
      <c r="D2232" s="1" t="str">
        <f ca="1">IFERROR(__xludf.DUMMYFUNCTION("""COMPUTED_VALUE"""),"Férfi")</f>
        <v>Férfi</v>
      </c>
      <c r="E2232" s="1"/>
      <c r="F2232" s="1">
        <f ca="1">IFERROR(__xludf.DUMMYFUNCTION("""COMPUTED_VALUE"""),1965)</f>
        <v>1965</v>
      </c>
      <c r="G2232" s="1">
        <f ca="1">IFERROR(__xludf.DUMMYFUNCTION("""COMPUTED_VALUE"""),2325)</f>
        <v>2325</v>
      </c>
      <c r="H2232" s="1" t="str">
        <f ca="1">IFERROR(__xludf.DUMMYFUNCTION("""COMPUTED_VALUE"""),"MTLSZ002325A18")</f>
        <v>MTLSZ002325A18</v>
      </c>
      <c r="I2232" s="2">
        <f ca="1">IFERROR(__xludf.DUMMYFUNCTION("""COMPUTED_VALUE"""),43419)</f>
        <v>43419</v>
      </c>
      <c r="J2232" s="2">
        <f ca="1">IFERROR(__xludf.DUMMYFUNCTION("""COMPUTED_VALUE"""),43783)</f>
        <v>43783</v>
      </c>
    </row>
    <row r="2233" spans="1:10" x14ac:dyDescent="0.25">
      <c r="A2233" s="1" t="str">
        <f ca="1">IFERROR(__xludf.DUMMYFUNCTION("""COMPUTED_VALUE"""),"MEAFC")</f>
        <v>MEAFC</v>
      </c>
      <c r="B2233" s="1" t="str">
        <f ca="1">IFERROR(__xludf.DUMMYFUNCTION("""COMPUTED_VALUE"""),"Blága Izabella dr.")</f>
        <v>Blága Izabella dr.</v>
      </c>
      <c r="C2233" s="1"/>
      <c r="D2233" s="1" t="str">
        <f ca="1">IFERROR(__xludf.DUMMYFUNCTION("""COMPUTED_VALUE"""),"Nő")</f>
        <v>Nő</v>
      </c>
      <c r="E2233" s="1"/>
      <c r="F2233" s="1">
        <f ca="1">IFERROR(__xludf.DUMMYFUNCTION("""COMPUTED_VALUE"""),1963)</f>
        <v>1963</v>
      </c>
      <c r="G2233" s="1">
        <f ca="1">IFERROR(__xludf.DUMMYFUNCTION("""COMPUTED_VALUE"""),2326)</f>
        <v>2326</v>
      </c>
      <c r="H2233" s="1" t="str">
        <f ca="1">IFERROR(__xludf.DUMMYFUNCTION("""COMPUTED_VALUE"""),"MTLSZ002326A18")</f>
        <v>MTLSZ002326A18</v>
      </c>
      <c r="I2233" s="2">
        <f ca="1">IFERROR(__xludf.DUMMYFUNCTION("""COMPUTED_VALUE"""),43419)</f>
        <v>43419</v>
      </c>
      <c r="J2233" s="2">
        <f ca="1">IFERROR(__xludf.DUMMYFUNCTION("""COMPUTED_VALUE"""),43783)</f>
        <v>43783</v>
      </c>
    </row>
    <row r="2234" spans="1:10" x14ac:dyDescent="0.25">
      <c r="A2234" s="1" t="str">
        <f ca="1">IFERROR(__xludf.DUMMYFUNCTION("""COMPUTED_VALUE"""),"Talentum TSE")</f>
        <v>Talentum TSE</v>
      </c>
      <c r="B2234" s="1" t="str">
        <f ca="1">IFERROR(__xludf.DUMMYFUNCTION("""COMPUTED_VALUE"""),"Szántó Eszter Lídia")</f>
        <v>Szántó Eszter Lídia</v>
      </c>
      <c r="C2234" s="1"/>
      <c r="D2234" s="1" t="str">
        <f ca="1">IFERROR(__xludf.DUMMYFUNCTION("""COMPUTED_VALUE"""),"Nő")</f>
        <v>Nő</v>
      </c>
      <c r="E2234" s="1"/>
      <c r="F2234" s="1">
        <f ca="1">IFERROR(__xludf.DUMMYFUNCTION("""COMPUTED_VALUE"""),2001)</f>
        <v>2001</v>
      </c>
      <c r="G2234" s="1">
        <f ca="1">IFERROR(__xludf.DUMMYFUNCTION("""COMPUTED_VALUE"""),3181)</f>
        <v>3181</v>
      </c>
      <c r="H2234" s="1" t="str">
        <f ca="1">IFERROR(__xludf.DUMMYFUNCTION("""COMPUTED_VALUE"""),"MTLSZ003181A18")</f>
        <v>MTLSZ003181A18</v>
      </c>
      <c r="I2234" s="2">
        <f ca="1">IFERROR(__xludf.DUMMYFUNCTION("""COMPUTED_VALUE"""),43416)</f>
        <v>43416</v>
      </c>
      <c r="J2234" s="2">
        <f ca="1">IFERROR(__xludf.DUMMYFUNCTION("""COMPUTED_VALUE"""),43780)</f>
        <v>43780</v>
      </c>
    </row>
    <row r="2235" spans="1:10" x14ac:dyDescent="0.25">
      <c r="A2235" s="1" t="str">
        <f ca="1">IFERROR(__xludf.DUMMYFUNCTION("""COMPUTED_VALUE"""),"MAFC")</f>
        <v>MAFC</v>
      </c>
      <c r="B2235" s="1" t="str">
        <f ca="1">IFERROR(__xludf.DUMMYFUNCTION("""COMPUTED_VALUE"""),"Katona Mátyás")</f>
        <v>Katona Mátyás</v>
      </c>
      <c r="C2235" s="1"/>
      <c r="D2235" s="1" t="str">
        <f ca="1">IFERROR(__xludf.DUMMYFUNCTION("""COMPUTED_VALUE"""),"Férfi")</f>
        <v>Férfi</v>
      </c>
      <c r="E2235" s="1"/>
      <c r="F2235" s="1">
        <f ca="1">IFERROR(__xludf.DUMMYFUNCTION("""COMPUTED_VALUE"""),2010)</f>
        <v>2010</v>
      </c>
      <c r="G2235" s="1">
        <f ca="1">IFERROR(__xludf.DUMMYFUNCTION("""COMPUTED_VALUE"""),3248)</f>
        <v>3248</v>
      </c>
      <c r="H2235" s="1" t="str">
        <f ca="1">IFERROR(__xludf.DUMMYFUNCTION("""COMPUTED_VALUE"""),"MTLSZ003248A18")</f>
        <v>MTLSZ003248A18</v>
      </c>
      <c r="I2235" s="2">
        <f ca="1">IFERROR(__xludf.DUMMYFUNCTION("""COMPUTED_VALUE"""),43409)</f>
        <v>43409</v>
      </c>
      <c r="J2235" s="2">
        <f ca="1">IFERROR(__xludf.DUMMYFUNCTION("""COMPUTED_VALUE"""),43773)</f>
        <v>43773</v>
      </c>
    </row>
    <row r="2236" spans="1:10" x14ac:dyDescent="0.25">
      <c r="A2236" s="1" t="str">
        <f ca="1">IFERROR(__xludf.DUMMYFUNCTION("""COMPUTED_VALUE"""),"Tisza TSE")</f>
        <v>Tisza TSE</v>
      </c>
      <c r="B2236" s="1" t="str">
        <f ca="1">IFERROR(__xludf.DUMMYFUNCTION("""COMPUTED_VALUE"""),"Kövecs Kevin")</f>
        <v>Kövecs Kevin</v>
      </c>
      <c r="C2236" s="1"/>
      <c r="D2236" s="1" t="str">
        <f ca="1">IFERROR(__xludf.DUMMYFUNCTION("""COMPUTED_VALUE"""),"Férfi")</f>
        <v>Férfi</v>
      </c>
      <c r="E2236" s="1"/>
      <c r="F2236" s="1">
        <f ca="1">IFERROR(__xludf.DUMMYFUNCTION("""COMPUTED_VALUE"""),2002)</f>
        <v>2002</v>
      </c>
      <c r="G2236" s="1">
        <f ca="1">IFERROR(__xludf.DUMMYFUNCTION("""COMPUTED_VALUE"""),2566)</f>
        <v>2566</v>
      </c>
      <c r="H2236" s="1" t="str">
        <f ca="1">IFERROR(__xludf.DUMMYFUNCTION("""COMPUTED_VALUE"""),"MTLSZ002566A18")</f>
        <v>MTLSZ002566A18</v>
      </c>
      <c r="I2236" s="2">
        <f ca="1">IFERROR(__xludf.DUMMYFUNCTION("""COMPUTED_VALUE"""),43409)</f>
        <v>43409</v>
      </c>
      <c r="J2236" s="2">
        <f ca="1">IFERROR(__xludf.DUMMYFUNCTION("""COMPUTED_VALUE"""),43773)</f>
        <v>43773</v>
      </c>
    </row>
    <row r="2237" spans="1:10" x14ac:dyDescent="0.25">
      <c r="A2237" s="1" t="str">
        <f ca="1">IFERROR(__xludf.DUMMYFUNCTION("""COMPUTED_VALUE"""),"Multi Alarm SE")</f>
        <v>Multi Alarm SE</v>
      </c>
      <c r="B2237" s="1" t="str">
        <f ca="1">IFERROR(__xludf.DUMMYFUNCTION("""COMPUTED_VALUE"""),"Jakab Lili Róza")</f>
        <v>Jakab Lili Róza</v>
      </c>
      <c r="C2237" s="1"/>
      <c r="D2237" s="1" t="str">
        <f ca="1">IFERROR(__xludf.DUMMYFUNCTION("""COMPUTED_VALUE"""),"Nő")</f>
        <v>Nő</v>
      </c>
      <c r="E2237" s="1"/>
      <c r="F2237" s="1">
        <f ca="1">IFERROR(__xludf.DUMMYFUNCTION("""COMPUTED_VALUE"""),2009)</f>
        <v>2009</v>
      </c>
      <c r="G2237" s="1">
        <f ca="1">IFERROR(__xludf.DUMMYFUNCTION("""COMPUTED_VALUE"""),3247)</f>
        <v>3247</v>
      </c>
      <c r="H2237" s="1" t="str">
        <f ca="1">IFERROR(__xludf.DUMMYFUNCTION("""COMPUTED_VALUE"""),"MTLSZ003247A18")</f>
        <v>MTLSZ003247A18</v>
      </c>
      <c r="I2237" s="2">
        <f ca="1">IFERROR(__xludf.DUMMYFUNCTION("""COMPUTED_VALUE"""),43399)</f>
        <v>43399</v>
      </c>
      <c r="J2237" s="2">
        <f ca="1">IFERROR(__xludf.DUMMYFUNCTION("""COMPUTED_VALUE"""),43763)</f>
        <v>43763</v>
      </c>
    </row>
    <row r="2238" spans="1:10" x14ac:dyDescent="0.25">
      <c r="A2238" s="1" t="str">
        <f ca="1">IFERROR(__xludf.DUMMYFUNCTION("""COMPUTED_VALUE"""),"OSC")</f>
        <v>OSC</v>
      </c>
      <c r="B2238" s="1" t="str">
        <f ca="1">IFERROR(__xludf.DUMMYFUNCTION("""COMPUTED_VALUE"""),"Mizsák Benjamin")</f>
        <v>Mizsák Benjamin</v>
      </c>
      <c r="C2238" s="1"/>
      <c r="D2238" s="1" t="str">
        <f ca="1">IFERROR(__xludf.DUMMYFUNCTION("""COMPUTED_VALUE"""),"Férfi")</f>
        <v>Férfi</v>
      </c>
      <c r="E2238" s="1"/>
      <c r="F2238" s="1">
        <f ca="1">IFERROR(__xludf.DUMMYFUNCTION("""COMPUTED_VALUE"""),2000)</f>
        <v>2000</v>
      </c>
      <c r="G2238" s="1">
        <f ca="1">IFERROR(__xludf.DUMMYFUNCTION("""COMPUTED_VALUE"""),2793)</f>
        <v>2793</v>
      </c>
      <c r="H2238" s="1" t="str">
        <f ca="1">IFERROR(__xludf.DUMMYFUNCTION("""COMPUTED_VALUE"""),"MTLSZ002793A18")</f>
        <v>MTLSZ002793A18</v>
      </c>
      <c r="I2238" s="2">
        <f ca="1">IFERROR(__xludf.DUMMYFUNCTION("""COMPUTED_VALUE"""),43398)</f>
        <v>43398</v>
      </c>
      <c r="J2238" s="2">
        <f ca="1">IFERROR(__xludf.DUMMYFUNCTION("""COMPUTED_VALUE"""),43762)</f>
        <v>43762</v>
      </c>
    </row>
    <row r="2239" spans="1:10" x14ac:dyDescent="0.25">
      <c r="A2239" s="1" t="str">
        <f ca="1">IFERROR(__xludf.DUMMYFUNCTION("""COMPUTED_VALUE"""),"Seregélyesi PDSE")</f>
        <v>Seregélyesi PDSE</v>
      </c>
      <c r="B2239" s="1" t="str">
        <f ca="1">IFERROR(__xludf.DUMMYFUNCTION("""COMPUTED_VALUE"""),"Fekete Nóra")</f>
        <v>Fekete Nóra</v>
      </c>
      <c r="C2239" s="1"/>
      <c r="D2239" s="1" t="str">
        <f ca="1">IFERROR(__xludf.DUMMYFUNCTION("""COMPUTED_VALUE"""),"Nő")</f>
        <v>Nő</v>
      </c>
      <c r="E2239" s="1"/>
      <c r="F2239" s="1">
        <f ca="1">IFERROR(__xludf.DUMMYFUNCTION("""COMPUTED_VALUE"""),2006)</f>
        <v>2006</v>
      </c>
      <c r="G2239" s="1">
        <f ca="1">IFERROR(__xludf.DUMMYFUNCTION("""COMPUTED_VALUE"""),3016)</f>
        <v>3016</v>
      </c>
      <c r="H2239" s="1" t="str">
        <f ca="1">IFERROR(__xludf.DUMMYFUNCTION("""COMPUTED_VALUE"""),"MTLSZ003016A18")</f>
        <v>MTLSZ003016A18</v>
      </c>
      <c r="I2239" s="2">
        <f ca="1">IFERROR(__xludf.DUMMYFUNCTION("""COMPUTED_VALUE"""),43398)</f>
        <v>43398</v>
      </c>
      <c r="J2239" s="2">
        <f ca="1">IFERROR(__xludf.DUMMYFUNCTION("""COMPUTED_VALUE"""),43762)</f>
        <v>43762</v>
      </c>
    </row>
    <row r="2240" spans="1:10" x14ac:dyDescent="0.25">
      <c r="A2240" s="1" t="str">
        <f ca="1">IFERROR(__xludf.DUMMYFUNCTION("""COMPUTED_VALUE"""),"Seregélyesi PDSE")</f>
        <v>Seregélyesi PDSE</v>
      </c>
      <c r="B2240" s="1" t="str">
        <f ca="1">IFERROR(__xludf.DUMMYFUNCTION("""COMPUTED_VALUE"""),"Helbig Nick")</f>
        <v>Helbig Nick</v>
      </c>
      <c r="C2240" s="1"/>
      <c r="D2240" s="1" t="str">
        <f ca="1">IFERROR(__xludf.DUMMYFUNCTION("""COMPUTED_VALUE"""),"Férfi")</f>
        <v>Férfi</v>
      </c>
      <c r="E2240" s="1"/>
      <c r="F2240" s="1">
        <f ca="1">IFERROR(__xludf.DUMMYFUNCTION("""COMPUTED_VALUE"""),2002)</f>
        <v>2002</v>
      </c>
      <c r="G2240" s="1">
        <f ca="1">IFERROR(__xludf.DUMMYFUNCTION("""COMPUTED_VALUE"""),2379)</f>
        <v>2379</v>
      </c>
      <c r="H2240" s="1" t="str">
        <f ca="1">IFERROR(__xludf.DUMMYFUNCTION("""COMPUTED_VALUE"""),"MTLSZ002379A18")</f>
        <v>MTLSZ002379A18</v>
      </c>
      <c r="I2240" s="2">
        <f ca="1">IFERROR(__xludf.DUMMYFUNCTION("""COMPUTED_VALUE"""),43398)</f>
        <v>43398</v>
      </c>
      <c r="J2240" s="2">
        <f ca="1">IFERROR(__xludf.DUMMYFUNCTION("""COMPUTED_VALUE"""),43762)</f>
        <v>43762</v>
      </c>
    </row>
    <row r="2241" spans="1:10" x14ac:dyDescent="0.25">
      <c r="A2241" s="1" t="str">
        <f ca="1">IFERROR(__xludf.DUMMYFUNCTION("""COMPUTED_VALUE"""),"Érdi VSE")</f>
        <v>Érdi VSE</v>
      </c>
      <c r="B2241" s="1" t="str">
        <f ca="1">IFERROR(__xludf.DUMMYFUNCTION("""COMPUTED_VALUE"""),"Borbás Dávid")</f>
        <v>Borbás Dávid</v>
      </c>
      <c r="C2241" s="1"/>
      <c r="D2241" s="1" t="str">
        <f ca="1">IFERROR(__xludf.DUMMYFUNCTION("""COMPUTED_VALUE"""),"Férfi")</f>
        <v>Férfi</v>
      </c>
      <c r="E2241" s="1"/>
      <c r="F2241" s="1">
        <f ca="1">IFERROR(__xludf.DUMMYFUNCTION("""COMPUTED_VALUE"""),2009)</f>
        <v>2009</v>
      </c>
      <c r="G2241" s="1">
        <f ca="1">IFERROR(__xludf.DUMMYFUNCTION("""COMPUTED_VALUE"""),3242)</f>
        <v>3242</v>
      </c>
      <c r="H2241" s="1" t="str">
        <f ca="1">IFERROR(__xludf.DUMMYFUNCTION("""COMPUTED_VALUE"""),"MTLSZ003242A18")</f>
        <v>MTLSZ003242A18</v>
      </c>
      <c r="I2241" s="2">
        <f ca="1">IFERROR(__xludf.DUMMYFUNCTION("""COMPUTED_VALUE"""),43397)</f>
        <v>43397</v>
      </c>
      <c r="J2241" s="2">
        <f ca="1">IFERROR(__xludf.DUMMYFUNCTION("""COMPUTED_VALUE"""),43761)</f>
        <v>43761</v>
      </c>
    </row>
    <row r="2242" spans="1:10" x14ac:dyDescent="0.25">
      <c r="A2242" s="1" t="str">
        <f ca="1">IFERROR(__xludf.DUMMYFUNCTION("""COMPUTED_VALUE"""),"Vízművek SK")</f>
        <v>Vízművek SK</v>
      </c>
      <c r="B2242" s="1" t="str">
        <f ca="1">IFERROR(__xludf.DUMMYFUNCTION("""COMPUTED_VALUE"""),"Rohály Tamás Kornél")</f>
        <v>Rohály Tamás Kornél</v>
      </c>
      <c r="C2242" s="1"/>
      <c r="D2242" s="1" t="str">
        <f ca="1">IFERROR(__xludf.DUMMYFUNCTION("""COMPUTED_VALUE"""),"Férfi")</f>
        <v>Férfi</v>
      </c>
      <c r="E2242" s="1"/>
      <c r="F2242" s="1">
        <f ca="1">IFERROR(__xludf.DUMMYFUNCTION("""COMPUTED_VALUE"""),2000)</f>
        <v>2000</v>
      </c>
      <c r="G2242" s="1">
        <f ca="1">IFERROR(__xludf.DUMMYFUNCTION("""COMPUTED_VALUE"""),2339)</f>
        <v>2339</v>
      </c>
      <c r="H2242" s="1" t="str">
        <f ca="1">IFERROR(__xludf.DUMMYFUNCTION("""COMPUTED_VALUE"""),"MTLSZ002339A18")</f>
        <v>MTLSZ002339A18</v>
      </c>
      <c r="I2242" s="2">
        <f ca="1">IFERROR(__xludf.DUMMYFUNCTION("""COMPUTED_VALUE"""),43397)</f>
        <v>43397</v>
      </c>
      <c r="J2242" s="2">
        <f ca="1">IFERROR(__xludf.DUMMYFUNCTION("""COMPUTED_VALUE"""),43761)</f>
        <v>43761</v>
      </c>
    </row>
    <row r="2243" spans="1:10" x14ac:dyDescent="0.25">
      <c r="A2243" s="1" t="str">
        <f ca="1">IFERROR(__xludf.DUMMYFUNCTION("""COMPUTED_VALUE"""),"Multi Alarm SE")</f>
        <v>Multi Alarm SE</v>
      </c>
      <c r="B2243" s="1" t="str">
        <f ca="1">IFERROR(__xludf.DUMMYFUNCTION("""COMPUTED_VALUE"""),"Rátkai Fruzsina")</f>
        <v>Rátkai Fruzsina</v>
      </c>
      <c r="C2243" s="1"/>
      <c r="D2243" s="1" t="str">
        <f ca="1">IFERROR(__xludf.DUMMYFUNCTION("""COMPUTED_VALUE"""),"Nő")</f>
        <v>Nő</v>
      </c>
      <c r="E2243" s="1"/>
      <c r="F2243" s="1">
        <f ca="1">IFERROR(__xludf.DUMMYFUNCTION("""COMPUTED_VALUE"""),2008)</f>
        <v>2008</v>
      </c>
      <c r="G2243" s="1">
        <f ca="1">IFERROR(__xludf.DUMMYFUNCTION("""COMPUTED_VALUE"""),3241)</f>
        <v>3241</v>
      </c>
      <c r="H2243" s="1" t="str">
        <f ca="1">IFERROR(__xludf.DUMMYFUNCTION("""COMPUTED_VALUE"""),"MTLSZ003241A18")</f>
        <v>MTLSZ003241A18</v>
      </c>
      <c r="I2243" s="2">
        <f ca="1">IFERROR(__xludf.DUMMYFUNCTION("""COMPUTED_VALUE"""),43397)</f>
        <v>43397</v>
      </c>
      <c r="J2243" s="2">
        <f ca="1">IFERROR(__xludf.DUMMYFUNCTION("""COMPUTED_VALUE"""),43761)</f>
        <v>43761</v>
      </c>
    </row>
    <row r="2244" spans="1:10" x14ac:dyDescent="0.25">
      <c r="A2244" s="1" t="str">
        <f ca="1">IFERROR(__xludf.DUMMYFUNCTION("""COMPUTED_VALUE"""),"Seregélyesi PDSE")</f>
        <v>Seregélyesi PDSE</v>
      </c>
      <c r="B2244" s="1" t="str">
        <f ca="1">IFERROR(__xludf.DUMMYFUNCTION("""COMPUTED_VALUE"""),"Deák Barnabás")</f>
        <v>Deák Barnabás</v>
      </c>
      <c r="C2244" s="1"/>
      <c r="D2244" s="1" t="str">
        <f ca="1">IFERROR(__xludf.DUMMYFUNCTION("""COMPUTED_VALUE"""),"Férfi")</f>
        <v>Férfi</v>
      </c>
      <c r="E2244" s="1"/>
      <c r="F2244" s="1">
        <f ca="1">IFERROR(__xludf.DUMMYFUNCTION("""COMPUTED_VALUE"""),2002)</f>
        <v>2002</v>
      </c>
      <c r="G2244" s="1">
        <f ca="1">IFERROR(__xludf.DUMMYFUNCTION("""COMPUTED_VALUE"""),2380)</f>
        <v>2380</v>
      </c>
      <c r="H2244" s="1" t="str">
        <f ca="1">IFERROR(__xludf.DUMMYFUNCTION("""COMPUTED_VALUE"""),"MTLSZ002380A18")</f>
        <v>MTLSZ002380A18</v>
      </c>
      <c r="I2244" s="2">
        <f ca="1">IFERROR(__xludf.DUMMYFUNCTION("""COMPUTED_VALUE"""),43391)</f>
        <v>43391</v>
      </c>
      <c r="J2244" s="2">
        <f ca="1">IFERROR(__xludf.DUMMYFUNCTION("""COMPUTED_VALUE"""),43755)</f>
        <v>43755</v>
      </c>
    </row>
    <row r="2245" spans="1:10" x14ac:dyDescent="0.25">
      <c r="A2245" s="1" t="str">
        <f ca="1">IFERROR(__xludf.DUMMYFUNCTION("""COMPUTED_VALUE"""),"Seregélyesi PDSE")</f>
        <v>Seregélyesi PDSE</v>
      </c>
      <c r="B2245" s="1" t="str">
        <f ca="1">IFERROR(__xludf.DUMMYFUNCTION("""COMPUTED_VALUE"""),"Németh Zsófia")</f>
        <v>Németh Zsófia</v>
      </c>
      <c r="C2245" s="1"/>
      <c r="D2245" s="1" t="str">
        <f ca="1">IFERROR(__xludf.DUMMYFUNCTION("""COMPUTED_VALUE"""),"Nő")</f>
        <v>Nő</v>
      </c>
      <c r="E2245" s="1"/>
      <c r="F2245" s="1">
        <f ca="1">IFERROR(__xludf.DUMMYFUNCTION("""COMPUTED_VALUE"""),2005)</f>
        <v>2005</v>
      </c>
      <c r="G2245" s="1">
        <f ca="1">IFERROR(__xludf.DUMMYFUNCTION("""COMPUTED_VALUE"""),3130)</f>
        <v>3130</v>
      </c>
      <c r="H2245" s="1" t="str">
        <f ca="1">IFERROR(__xludf.DUMMYFUNCTION("""COMPUTED_VALUE"""),"MTLSZ003130A18")</f>
        <v>MTLSZ003130A18</v>
      </c>
      <c r="I2245" s="2">
        <f ca="1">IFERROR(__xludf.DUMMYFUNCTION("""COMPUTED_VALUE"""),43391)</f>
        <v>43391</v>
      </c>
      <c r="J2245" s="2">
        <f ca="1">IFERROR(__xludf.DUMMYFUNCTION("""COMPUTED_VALUE"""),43755)</f>
        <v>43755</v>
      </c>
    </row>
    <row r="2246" spans="1:10" x14ac:dyDescent="0.25">
      <c r="A2246" s="1" t="str">
        <f ca="1">IFERROR(__xludf.DUMMYFUNCTION("""COMPUTED_VALUE"""),"Seregélyesi PDSE")</f>
        <v>Seregélyesi PDSE</v>
      </c>
      <c r="B2246" s="1" t="str">
        <f ca="1">IFERROR(__xludf.DUMMYFUNCTION("""COMPUTED_VALUE"""),"Varga István")</f>
        <v>Varga István</v>
      </c>
      <c r="C2246" s="1"/>
      <c r="D2246" s="1" t="str">
        <f ca="1">IFERROR(__xludf.DUMMYFUNCTION("""COMPUTED_VALUE"""),"Férfi")</f>
        <v>Férfi</v>
      </c>
      <c r="E2246" s="1"/>
      <c r="F2246" s="1">
        <f ca="1">IFERROR(__xludf.DUMMYFUNCTION("""COMPUTED_VALUE"""),2005)</f>
        <v>2005</v>
      </c>
      <c r="G2246" s="1">
        <f ca="1">IFERROR(__xludf.DUMMYFUNCTION("""COMPUTED_VALUE"""),2841)</f>
        <v>2841</v>
      </c>
      <c r="H2246" s="1" t="str">
        <f ca="1">IFERROR(__xludf.DUMMYFUNCTION("""COMPUTED_VALUE"""),"MTLSZ002841A18")</f>
        <v>MTLSZ002841A18</v>
      </c>
      <c r="I2246" s="2">
        <f ca="1">IFERROR(__xludf.DUMMYFUNCTION("""COMPUTED_VALUE"""),43391)</f>
        <v>43391</v>
      </c>
      <c r="J2246" s="2">
        <f ca="1">IFERROR(__xludf.DUMMYFUNCTION("""COMPUTED_VALUE"""),43755)</f>
        <v>43755</v>
      </c>
    </row>
    <row r="2247" spans="1:10" x14ac:dyDescent="0.25">
      <c r="A2247" s="1" t="str">
        <f ca="1">IFERROR(__xludf.DUMMYFUNCTION("""COMPUTED_VALUE"""),"BEAC")</f>
        <v>BEAC</v>
      </c>
      <c r="B2247" s="1" t="str">
        <f ca="1">IFERROR(__xludf.DUMMYFUNCTION("""COMPUTED_VALUE"""),"Szirmai Ágnes")</f>
        <v>Szirmai Ágnes</v>
      </c>
      <c r="C2247" s="1"/>
      <c r="D2247" s="1" t="str">
        <f ca="1">IFERROR(__xludf.DUMMYFUNCTION("""COMPUTED_VALUE"""),"Nő")</f>
        <v>Nő</v>
      </c>
      <c r="E2247" s="1"/>
      <c r="F2247" s="1">
        <f ca="1">IFERROR(__xludf.DUMMYFUNCTION("""COMPUTED_VALUE"""),1994)</f>
        <v>1994</v>
      </c>
      <c r="G2247" s="1">
        <f ca="1">IFERROR(__xludf.DUMMYFUNCTION("""COMPUTED_VALUE"""),1386)</f>
        <v>1386</v>
      </c>
      <c r="H2247" s="1" t="str">
        <f ca="1">IFERROR(__xludf.DUMMYFUNCTION("""COMPUTED_VALUE"""),"MTLSZ001386A18")</f>
        <v>MTLSZ001386A18</v>
      </c>
      <c r="I2247" s="2">
        <f ca="1">IFERROR(__xludf.DUMMYFUNCTION("""COMPUTED_VALUE"""),43390)</f>
        <v>43390</v>
      </c>
      <c r="J2247" s="2">
        <f ca="1">IFERROR(__xludf.DUMMYFUNCTION("""COMPUTED_VALUE"""),43754)</f>
        <v>43754</v>
      </c>
    </row>
    <row r="2248" spans="1:10" x14ac:dyDescent="0.25">
      <c r="A2248" s="1" t="str">
        <f ca="1">IFERROR(__xludf.DUMMYFUNCTION("""COMPUTED_VALUE"""),"Verőcei DE")</f>
        <v>Verőcei DE</v>
      </c>
      <c r="B2248" s="1" t="str">
        <f ca="1">IFERROR(__xludf.DUMMYFUNCTION("""COMPUTED_VALUE"""),"Bartha Sára Boróka")</f>
        <v>Bartha Sára Boróka</v>
      </c>
      <c r="C2248" s="1"/>
      <c r="D2248" s="1" t="str">
        <f ca="1">IFERROR(__xludf.DUMMYFUNCTION("""COMPUTED_VALUE"""),"Nő")</f>
        <v>Nő</v>
      </c>
      <c r="E2248" s="1"/>
      <c r="F2248" s="1">
        <f ca="1">IFERROR(__xludf.DUMMYFUNCTION("""COMPUTED_VALUE"""),2006)</f>
        <v>2006</v>
      </c>
      <c r="G2248" s="1">
        <f ca="1">IFERROR(__xludf.DUMMYFUNCTION("""COMPUTED_VALUE"""),2739)</f>
        <v>2739</v>
      </c>
      <c r="H2248" s="1" t="str">
        <f ca="1">IFERROR(__xludf.DUMMYFUNCTION("""COMPUTED_VALUE"""),"MTLSZ002739A18")</f>
        <v>MTLSZ002739A18</v>
      </c>
      <c r="I2248" s="2">
        <f ca="1">IFERROR(__xludf.DUMMYFUNCTION("""COMPUTED_VALUE"""),43390)</f>
        <v>43390</v>
      </c>
      <c r="J2248" s="2">
        <f ca="1">IFERROR(__xludf.DUMMYFUNCTION("""COMPUTED_VALUE"""),43754)</f>
        <v>43754</v>
      </c>
    </row>
    <row r="2249" spans="1:10" x14ac:dyDescent="0.25">
      <c r="A2249" s="1" t="str">
        <f ca="1">IFERROR(__xludf.DUMMYFUNCTION("""COMPUTED_VALUE"""),"Verőcei DE")</f>
        <v>Verőcei DE</v>
      </c>
      <c r="B2249" s="1" t="str">
        <f ca="1">IFERROR(__xludf.DUMMYFUNCTION("""COMPUTED_VALUE"""),"Lengyel Flóra")</f>
        <v>Lengyel Flóra</v>
      </c>
      <c r="C2249" s="1"/>
      <c r="D2249" s="1" t="str">
        <f ca="1">IFERROR(__xludf.DUMMYFUNCTION("""COMPUTED_VALUE"""),"Nő")</f>
        <v>Nő</v>
      </c>
      <c r="E2249" s="1"/>
      <c r="F2249" s="1">
        <f ca="1">IFERROR(__xludf.DUMMYFUNCTION("""COMPUTED_VALUE"""),2008)</f>
        <v>2008</v>
      </c>
      <c r="G2249" s="1">
        <f ca="1">IFERROR(__xludf.DUMMYFUNCTION("""COMPUTED_VALUE"""),3007)</f>
        <v>3007</v>
      </c>
      <c r="H2249" s="1" t="str">
        <f ca="1">IFERROR(__xludf.DUMMYFUNCTION("""COMPUTED_VALUE"""),"MTLSZ003007A18")</f>
        <v>MTLSZ003007A18</v>
      </c>
      <c r="I2249" s="2">
        <f ca="1">IFERROR(__xludf.DUMMYFUNCTION("""COMPUTED_VALUE"""),43390)</f>
        <v>43390</v>
      </c>
      <c r="J2249" s="2">
        <f ca="1">IFERROR(__xludf.DUMMYFUNCTION("""COMPUTED_VALUE"""),43754)</f>
        <v>43754</v>
      </c>
    </row>
    <row r="2250" spans="1:10" x14ac:dyDescent="0.25">
      <c r="A2250" s="1" t="str">
        <f ca="1">IFERROR(__xludf.DUMMYFUNCTION("""COMPUTED_VALUE"""),"Ludovika SE")</f>
        <v>Ludovika SE</v>
      </c>
      <c r="B2250" s="1" t="str">
        <f ca="1">IFERROR(__xludf.DUMMYFUNCTION("""COMPUTED_VALUE"""),"Karsai Anett")</f>
        <v>Karsai Anett</v>
      </c>
      <c r="C2250" s="1"/>
      <c r="D2250" s="1" t="str">
        <f ca="1">IFERROR(__xludf.DUMMYFUNCTION("""COMPUTED_VALUE"""),"Nő")</f>
        <v>Nő</v>
      </c>
      <c r="E2250" s="1"/>
      <c r="F2250" s="1">
        <f ca="1">IFERROR(__xludf.DUMMYFUNCTION("""COMPUTED_VALUE"""),1999)</f>
        <v>1999</v>
      </c>
      <c r="G2250" s="1">
        <f ca="1">IFERROR(__xludf.DUMMYFUNCTION("""COMPUTED_VALUE"""),1979)</f>
        <v>1979</v>
      </c>
      <c r="H2250" s="1" t="str">
        <f ca="1">IFERROR(__xludf.DUMMYFUNCTION("""COMPUTED_VALUE"""),"MTLSZ001979A18")</f>
        <v>MTLSZ001979A18</v>
      </c>
      <c r="I2250" s="2">
        <f ca="1">IFERROR(__xludf.DUMMYFUNCTION("""COMPUTED_VALUE"""),43386)</f>
        <v>43386</v>
      </c>
      <c r="J2250" s="2">
        <f ca="1">IFERROR(__xludf.DUMMYFUNCTION("""COMPUTED_VALUE"""),43750)</f>
        <v>43750</v>
      </c>
    </row>
    <row r="2251" spans="1:10" x14ac:dyDescent="0.25">
      <c r="A2251" s="1" t="str">
        <f ca="1">IFERROR(__xludf.DUMMYFUNCTION("""COMPUTED_VALUE"""),"Multi Alarm SE")</f>
        <v>Multi Alarm SE</v>
      </c>
      <c r="B2251" s="1" t="str">
        <f ca="1">IFERROR(__xludf.DUMMYFUNCTION("""COMPUTED_VALUE"""),"Radó Gyöngyvér")</f>
        <v>Radó Gyöngyvér</v>
      </c>
      <c r="C2251" s="1"/>
      <c r="D2251" s="1" t="str">
        <f ca="1">IFERROR(__xludf.DUMMYFUNCTION("""COMPUTED_VALUE"""),"Nő")</f>
        <v>Nő</v>
      </c>
      <c r="E2251" s="1"/>
      <c r="F2251" s="1">
        <f ca="1">IFERROR(__xludf.DUMMYFUNCTION("""COMPUTED_VALUE"""),2005)</f>
        <v>2005</v>
      </c>
      <c r="G2251" s="1">
        <f ca="1">IFERROR(__xludf.DUMMYFUNCTION("""COMPUTED_VALUE"""),2611)</f>
        <v>2611</v>
      </c>
      <c r="H2251" s="1" t="str">
        <f ca="1">IFERROR(__xludf.DUMMYFUNCTION("""COMPUTED_VALUE"""),"MTLSZ002611A18")</f>
        <v>MTLSZ002611A18</v>
      </c>
      <c r="I2251" s="2">
        <f ca="1">IFERROR(__xludf.DUMMYFUNCTION("""COMPUTED_VALUE"""),43385)</f>
        <v>43385</v>
      </c>
      <c r="J2251" s="2">
        <f ca="1">IFERROR(__xludf.DUMMYFUNCTION("""COMPUTED_VALUE"""),43749)</f>
        <v>43749</v>
      </c>
    </row>
    <row r="2252" spans="1:10" x14ac:dyDescent="0.25">
      <c r="A2252" s="1" t="str">
        <f ca="1">IFERROR(__xludf.DUMMYFUNCTION("""COMPUTED_VALUE"""),"Multi Alarm SE")</f>
        <v>Multi Alarm SE</v>
      </c>
      <c r="B2252" s="1" t="str">
        <f ca="1">IFERROR(__xludf.DUMMYFUNCTION("""COMPUTED_VALUE"""),"Radó Sebestyén")</f>
        <v>Radó Sebestyén</v>
      </c>
      <c r="C2252" s="1"/>
      <c r="D2252" s="1" t="str">
        <f ca="1">IFERROR(__xludf.DUMMYFUNCTION("""COMPUTED_VALUE"""),"Férfi")</f>
        <v>Férfi</v>
      </c>
      <c r="E2252" s="1"/>
      <c r="F2252" s="1">
        <f ca="1">IFERROR(__xludf.DUMMYFUNCTION("""COMPUTED_VALUE"""),2008)</f>
        <v>2008</v>
      </c>
      <c r="G2252" s="1">
        <f ca="1">IFERROR(__xludf.DUMMYFUNCTION("""COMPUTED_VALUE"""),2971)</f>
        <v>2971</v>
      </c>
      <c r="H2252" s="1" t="str">
        <f ca="1">IFERROR(__xludf.DUMMYFUNCTION("""COMPUTED_VALUE"""),"MTLSZ002971A18")</f>
        <v>MTLSZ002971A18</v>
      </c>
      <c r="I2252" s="2">
        <f ca="1">IFERROR(__xludf.DUMMYFUNCTION("""COMPUTED_VALUE"""),43385)</f>
        <v>43385</v>
      </c>
      <c r="J2252" s="2">
        <f ca="1">IFERROR(__xludf.DUMMYFUNCTION("""COMPUTED_VALUE"""),43749)</f>
        <v>43749</v>
      </c>
    </row>
    <row r="2253" spans="1:10" x14ac:dyDescent="0.25">
      <c r="A2253" s="1" t="str">
        <f ca="1">IFERROR(__xludf.DUMMYFUNCTION("""COMPUTED_VALUE"""),"Danubius KSE")</f>
        <v>Danubius KSE</v>
      </c>
      <c r="B2253" s="1" t="str">
        <f ca="1">IFERROR(__xludf.DUMMYFUNCTION("""COMPUTED_VALUE"""),"Dóber Krisztián Tibor")</f>
        <v>Dóber Krisztián Tibor</v>
      </c>
      <c r="C2253" s="1"/>
      <c r="D2253" s="1" t="str">
        <f ca="1">IFERROR(__xludf.DUMMYFUNCTION("""COMPUTED_VALUE"""),"Férfi")</f>
        <v>Férfi</v>
      </c>
      <c r="E2253" s="1"/>
      <c r="F2253" s="1">
        <f ca="1">IFERROR(__xludf.DUMMYFUNCTION("""COMPUTED_VALUE"""),1980)</f>
        <v>1980</v>
      </c>
      <c r="G2253" s="1">
        <f ca="1">IFERROR(__xludf.DUMMYFUNCTION("""COMPUTED_VALUE"""),2819)</f>
        <v>2819</v>
      </c>
      <c r="H2253" s="1" t="str">
        <f ca="1">IFERROR(__xludf.DUMMYFUNCTION("""COMPUTED_VALUE"""),"MTLSZ002819A18")</f>
        <v>MTLSZ002819A18</v>
      </c>
      <c r="I2253" s="2">
        <f ca="1">IFERROR(__xludf.DUMMYFUNCTION("""COMPUTED_VALUE"""),43383)</f>
        <v>43383</v>
      </c>
      <c r="J2253" s="2">
        <f ca="1">IFERROR(__xludf.DUMMYFUNCTION("""COMPUTED_VALUE"""),43747)</f>
        <v>43747</v>
      </c>
    </row>
    <row r="2254" spans="1:10" x14ac:dyDescent="0.25">
      <c r="A2254" s="1" t="str">
        <f ca="1">IFERROR(__xludf.DUMMYFUNCTION("""COMPUTED_VALUE"""),"Danubius KSE")</f>
        <v>Danubius KSE</v>
      </c>
      <c r="B2254" s="1" t="str">
        <f ca="1">IFERROR(__xludf.DUMMYFUNCTION("""COMPUTED_VALUE"""),"Dóber-Fülöp Anita")</f>
        <v>Dóber-Fülöp Anita</v>
      </c>
      <c r="C2254" s="1"/>
      <c r="D2254" s="1" t="str">
        <f ca="1">IFERROR(__xludf.DUMMYFUNCTION("""COMPUTED_VALUE"""),"Nő")</f>
        <v>Nő</v>
      </c>
      <c r="E2254" s="1"/>
      <c r="F2254" s="1">
        <f ca="1">IFERROR(__xludf.DUMMYFUNCTION("""COMPUTED_VALUE"""),1981)</f>
        <v>1981</v>
      </c>
      <c r="G2254" s="1">
        <f ca="1">IFERROR(__xludf.DUMMYFUNCTION("""COMPUTED_VALUE"""),2648)</f>
        <v>2648</v>
      </c>
      <c r="H2254" s="1" t="str">
        <f ca="1">IFERROR(__xludf.DUMMYFUNCTION("""COMPUTED_VALUE"""),"MTLSZ002648A18")</f>
        <v>MTLSZ002648A18</v>
      </c>
      <c r="I2254" s="2">
        <f ca="1">IFERROR(__xludf.DUMMYFUNCTION("""COMPUTED_VALUE"""),43383)</f>
        <v>43383</v>
      </c>
      <c r="J2254" s="2">
        <f ca="1">IFERROR(__xludf.DUMMYFUNCTION("""COMPUTED_VALUE"""),43747)</f>
        <v>43747</v>
      </c>
    </row>
    <row r="2255" spans="1:10" x14ac:dyDescent="0.25">
      <c r="A2255" s="1" t="str">
        <f ca="1">IFERROR(__xludf.DUMMYFUNCTION("""COMPUTED_VALUE"""),"Danubius KSE")</f>
        <v>Danubius KSE</v>
      </c>
      <c r="B2255" s="1" t="str">
        <f ca="1">IFERROR(__xludf.DUMMYFUNCTION("""COMPUTED_VALUE"""),"Sója Angéla Judit")</f>
        <v>Sója Angéla Judit</v>
      </c>
      <c r="C2255" s="1"/>
      <c r="D2255" s="1" t="str">
        <f ca="1">IFERROR(__xludf.DUMMYFUNCTION("""COMPUTED_VALUE"""),"Nő")</f>
        <v>Nő</v>
      </c>
      <c r="E2255" s="1"/>
      <c r="F2255" s="1">
        <f ca="1">IFERROR(__xludf.DUMMYFUNCTION("""COMPUTED_VALUE"""),1990)</f>
        <v>1990</v>
      </c>
      <c r="G2255" s="1">
        <f ca="1">IFERROR(__xludf.DUMMYFUNCTION("""COMPUTED_VALUE"""),1621)</f>
        <v>1621</v>
      </c>
      <c r="H2255" s="1" t="str">
        <f ca="1">IFERROR(__xludf.DUMMYFUNCTION("""COMPUTED_VALUE"""),"MTLSZ001621A18")</f>
        <v>MTLSZ001621A18</v>
      </c>
      <c r="I2255" s="2">
        <f ca="1">IFERROR(__xludf.DUMMYFUNCTION("""COMPUTED_VALUE"""),43383)</f>
        <v>43383</v>
      </c>
      <c r="J2255" s="2">
        <f ca="1">IFERROR(__xludf.DUMMYFUNCTION("""COMPUTED_VALUE"""),43747)</f>
        <v>43747</v>
      </c>
    </row>
    <row r="2256" spans="1:10" x14ac:dyDescent="0.25">
      <c r="A2256" s="1" t="str">
        <f ca="1">IFERROR(__xludf.DUMMYFUNCTION("""COMPUTED_VALUE"""),"Győri TSE")</f>
        <v>Győri TSE</v>
      </c>
      <c r="B2256" s="1" t="str">
        <f ca="1">IFERROR(__xludf.DUMMYFUNCTION("""COMPUTED_VALUE"""),"Pádár Rebeka")</f>
        <v>Pádár Rebeka</v>
      </c>
      <c r="C2256" s="1"/>
      <c r="D2256" s="1" t="str">
        <f ca="1">IFERROR(__xludf.DUMMYFUNCTION("""COMPUTED_VALUE"""),"Nő")</f>
        <v>Nő</v>
      </c>
      <c r="E2256" s="1"/>
      <c r="F2256" s="1">
        <f ca="1">IFERROR(__xludf.DUMMYFUNCTION("""COMPUTED_VALUE"""),2001)</f>
        <v>2001</v>
      </c>
      <c r="G2256" s="1">
        <f ca="1">IFERROR(__xludf.DUMMYFUNCTION("""COMPUTED_VALUE"""),3230)</f>
        <v>3230</v>
      </c>
      <c r="H2256" s="1" t="str">
        <f ca="1">IFERROR(__xludf.DUMMYFUNCTION("""COMPUTED_VALUE"""),"MTLSZ003230A18")</f>
        <v>MTLSZ003230A18</v>
      </c>
      <c r="I2256" s="2">
        <f ca="1">IFERROR(__xludf.DUMMYFUNCTION("""COMPUTED_VALUE"""),43383)</f>
        <v>43383</v>
      </c>
      <c r="J2256" s="2">
        <f ca="1">IFERROR(__xludf.DUMMYFUNCTION("""COMPUTED_VALUE"""),43747)</f>
        <v>43747</v>
      </c>
    </row>
    <row r="2257" spans="1:10" x14ac:dyDescent="0.25">
      <c r="A2257" s="1" t="str">
        <f ca="1">IFERROR(__xludf.DUMMYFUNCTION("""COMPUTED_VALUE"""),"Segesi DE")</f>
        <v>Segesi DE</v>
      </c>
      <c r="B2257" s="1" t="str">
        <f ca="1">IFERROR(__xludf.DUMMYFUNCTION("""COMPUTED_VALUE"""),"Németh Péter")</f>
        <v>Németh Péter</v>
      </c>
      <c r="C2257" s="1"/>
      <c r="D2257" s="1" t="str">
        <f ca="1">IFERROR(__xludf.DUMMYFUNCTION("""COMPUTED_VALUE"""),"Férfi")</f>
        <v>Férfi</v>
      </c>
      <c r="E2257" s="1"/>
      <c r="F2257" s="1">
        <f ca="1">IFERROR(__xludf.DUMMYFUNCTION("""COMPUTED_VALUE"""),2001)</f>
        <v>2001</v>
      </c>
      <c r="G2257" s="1">
        <f ca="1">IFERROR(__xludf.DUMMYFUNCTION("""COMPUTED_VALUE"""),2238)</f>
        <v>2238</v>
      </c>
      <c r="H2257" s="1" t="str">
        <f ca="1">IFERROR(__xludf.DUMMYFUNCTION("""COMPUTED_VALUE"""),"MTLSZ002238A18")</f>
        <v>MTLSZ002238A18</v>
      </c>
      <c r="I2257" s="2">
        <f ca="1">IFERROR(__xludf.DUMMYFUNCTION("""COMPUTED_VALUE"""),43383)</f>
        <v>43383</v>
      </c>
      <c r="J2257" s="2">
        <f ca="1">IFERROR(__xludf.DUMMYFUNCTION("""COMPUTED_VALUE"""),43747)</f>
        <v>43747</v>
      </c>
    </row>
    <row r="2258" spans="1:10" x14ac:dyDescent="0.25">
      <c r="A2258" s="1" t="str">
        <f ca="1">IFERROR(__xludf.DUMMYFUNCTION("""COMPUTED_VALUE"""),"Talentum TSE")</f>
        <v>Talentum TSE</v>
      </c>
      <c r="B2258" s="1" t="str">
        <f ca="1">IFERROR(__xludf.DUMMYFUNCTION("""COMPUTED_VALUE"""),"Kulcsár Gergő")</f>
        <v>Kulcsár Gergő</v>
      </c>
      <c r="C2258" s="1"/>
      <c r="D2258" s="1" t="str">
        <f ca="1">IFERROR(__xludf.DUMMYFUNCTION("""COMPUTED_VALUE"""),"Férfi")</f>
        <v>Férfi</v>
      </c>
      <c r="E2258" s="1"/>
      <c r="F2258" s="1">
        <f ca="1">IFERROR(__xludf.DUMMYFUNCTION("""COMPUTED_VALUE"""),1999)</f>
        <v>1999</v>
      </c>
      <c r="G2258" s="1">
        <f ca="1">IFERROR(__xludf.DUMMYFUNCTION("""COMPUTED_VALUE"""),2222)</f>
        <v>2222</v>
      </c>
      <c r="H2258" s="1" t="str">
        <f ca="1">IFERROR(__xludf.DUMMYFUNCTION("""COMPUTED_VALUE"""),"MTLSZ002222A18")</f>
        <v>MTLSZ002222A18</v>
      </c>
      <c r="I2258" s="2">
        <f ca="1">IFERROR(__xludf.DUMMYFUNCTION("""COMPUTED_VALUE"""),43383)</f>
        <v>43383</v>
      </c>
      <c r="J2258" s="2">
        <f ca="1">IFERROR(__xludf.DUMMYFUNCTION("""COMPUTED_VALUE"""),43747)</f>
        <v>43747</v>
      </c>
    </row>
    <row r="2259" spans="1:10" x14ac:dyDescent="0.25">
      <c r="A2259" s="1" t="str">
        <f ca="1">IFERROR(__xludf.DUMMYFUNCTION("""COMPUTED_VALUE"""),"Veszprémi TE")</f>
        <v>Veszprémi TE</v>
      </c>
      <c r="B2259" s="1" t="str">
        <f ca="1">IFERROR(__xludf.DUMMYFUNCTION("""COMPUTED_VALUE"""),"Gyenge Dániel")</f>
        <v>Gyenge Dániel</v>
      </c>
      <c r="C2259" s="1"/>
      <c r="D2259" s="1" t="str">
        <f ca="1">IFERROR(__xludf.DUMMYFUNCTION("""COMPUTED_VALUE"""),"Férfi")</f>
        <v>Férfi</v>
      </c>
      <c r="E2259" s="1"/>
      <c r="F2259" s="1">
        <f ca="1">IFERROR(__xludf.DUMMYFUNCTION("""COMPUTED_VALUE"""),1987)</f>
        <v>1987</v>
      </c>
      <c r="G2259" s="1">
        <f ca="1">IFERROR(__xludf.DUMMYFUNCTION("""COMPUTED_VALUE"""),2984)</f>
        <v>2984</v>
      </c>
      <c r="H2259" s="1" t="str">
        <f ca="1">IFERROR(__xludf.DUMMYFUNCTION("""COMPUTED_VALUE"""),"MTLSZ002984A18")</f>
        <v>MTLSZ002984A18</v>
      </c>
      <c r="I2259" s="2">
        <f ca="1">IFERROR(__xludf.DUMMYFUNCTION("""COMPUTED_VALUE"""),43383)</f>
        <v>43383</v>
      </c>
      <c r="J2259" s="2">
        <f ca="1">IFERROR(__xludf.DUMMYFUNCTION("""COMPUTED_VALUE"""),43747)</f>
        <v>43747</v>
      </c>
    </row>
    <row r="2260" spans="1:10" x14ac:dyDescent="0.25">
      <c r="A2260" s="1" t="str">
        <f ca="1">IFERROR(__xludf.DUMMYFUNCTION("""COMPUTED_VALUE"""),"Hajdú TSE")</f>
        <v>Hajdú TSE</v>
      </c>
      <c r="B2260" s="1" t="str">
        <f ca="1">IFERROR(__xludf.DUMMYFUNCTION("""COMPUTED_VALUE"""),"Fecskovics Mike")</f>
        <v>Fecskovics Mike</v>
      </c>
      <c r="C2260" s="1"/>
      <c r="D2260" s="1" t="str">
        <f ca="1">IFERROR(__xludf.DUMMYFUNCTION("""COMPUTED_VALUE"""),"Férfi")</f>
        <v>Férfi</v>
      </c>
      <c r="E2260" s="1"/>
      <c r="F2260" s="1">
        <f ca="1">IFERROR(__xludf.DUMMYFUNCTION("""COMPUTED_VALUE"""),2004)</f>
        <v>2004</v>
      </c>
      <c r="G2260" s="1">
        <f ca="1">IFERROR(__xludf.DUMMYFUNCTION("""COMPUTED_VALUE"""),2987)</f>
        <v>2987</v>
      </c>
      <c r="H2260" s="1" t="str">
        <f ca="1">IFERROR(__xludf.DUMMYFUNCTION("""COMPUTED_VALUE"""),"MTLSZ002987A18")</f>
        <v>MTLSZ002987A18</v>
      </c>
      <c r="I2260" s="2">
        <f ca="1">IFERROR(__xludf.DUMMYFUNCTION("""COMPUTED_VALUE"""),43382)</f>
        <v>43382</v>
      </c>
      <c r="J2260" s="2">
        <f ca="1">IFERROR(__xludf.DUMMYFUNCTION("""COMPUTED_VALUE"""),43746)</f>
        <v>43746</v>
      </c>
    </row>
    <row r="2261" spans="1:10" x14ac:dyDescent="0.25">
      <c r="A2261" s="1" t="str">
        <f ca="1">IFERROR(__xludf.DUMMYFUNCTION("""COMPUTED_VALUE"""),"Hajdú TSE")</f>
        <v>Hajdú TSE</v>
      </c>
      <c r="B2261" s="1" t="str">
        <f ca="1">IFERROR(__xludf.DUMMYFUNCTION("""COMPUTED_VALUE"""),"Kassai Adél")</f>
        <v>Kassai Adél</v>
      </c>
      <c r="C2261" s="1"/>
      <c r="D2261" s="1" t="str">
        <f ca="1">IFERROR(__xludf.DUMMYFUNCTION("""COMPUTED_VALUE"""),"Nő")</f>
        <v>Nő</v>
      </c>
      <c r="E2261" s="1"/>
      <c r="F2261" s="1">
        <f ca="1">IFERROR(__xludf.DUMMYFUNCTION("""COMPUTED_VALUE"""),2005)</f>
        <v>2005</v>
      </c>
      <c r="G2261" s="1">
        <f ca="1">IFERROR(__xludf.DUMMYFUNCTION("""COMPUTED_VALUE"""),2989)</f>
        <v>2989</v>
      </c>
      <c r="H2261" s="1" t="str">
        <f ca="1">IFERROR(__xludf.DUMMYFUNCTION("""COMPUTED_VALUE"""),"MTLSZ002989A18")</f>
        <v>MTLSZ002989A18</v>
      </c>
      <c r="I2261" s="2">
        <f ca="1">IFERROR(__xludf.DUMMYFUNCTION("""COMPUTED_VALUE"""),43382)</f>
        <v>43382</v>
      </c>
      <c r="J2261" s="2">
        <f ca="1">IFERROR(__xludf.DUMMYFUNCTION("""COMPUTED_VALUE"""),43746)</f>
        <v>43746</v>
      </c>
    </row>
    <row r="2262" spans="1:10" x14ac:dyDescent="0.25">
      <c r="A2262" s="1" t="str">
        <f ca="1">IFERROR(__xludf.DUMMYFUNCTION("""COMPUTED_VALUE"""),"Talentum TSE")</f>
        <v>Talentum TSE</v>
      </c>
      <c r="B2262" s="1" t="str">
        <f ca="1">IFERROR(__xludf.DUMMYFUNCTION("""COMPUTED_VALUE"""),"Gonda Krisztina")</f>
        <v>Gonda Krisztina</v>
      </c>
      <c r="C2262" s="1"/>
      <c r="D2262" s="1" t="str">
        <f ca="1">IFERROR(__xludf.DUMMYFUNCTION("""COMPUTED_VALUE"""),"Nő")</f>
        <v>Nő</v>
      </c>
      <c r="E2262" s="1"/>
      <c r="F2262" s="1">
        <f ca="1">IFERROR(__xludf.DUMMYFUNCTION("""COMPUTED_VALUE"""),2003)</f>
        <v>2003</v>
      </c>
      <c r="G2262" s="1">
        <f ca="1">IFERROR(__xludf.DUMMYFUNCTION("""COMPUTED_VALUE"""),3173)</f>
        <v>3173</v>
      </c>
      <c r="H2262" s="1" t="str">
        <f ca="1">IFERROR(__xludf.DUMMYFUNCTION("""COMPUTED_VALUE"""),"MTLSZ003173A18")</f>
        <v>MTLSZ003173A18</v>
      </c>
      <c r="I2262" s="2">
        <f ca="1">IFERROR(__xludf.DUMMYFUNCTION("""COMPUTED_VALUE"""),43382)</f>
        <v>43382</v>
      </c>
      <c r="J2262" s="2">
        <f ca="1">IFERROR(__xludf.DUMMYFUNCTION("""COMPUTED_VALUE"""),43746)</f>
        <v>43746</v>
      </c>
    </row>
    <row r="2263" spans="1:10" x14ac:dyDescent="0.25">
      <c r="A2263" s="1" t="str">
        <f ca="1">IFERROR(__xludf.DUMMYFUNCTION("""COMPUTED_VALUE"""),"Talentum TSE")</f>
        <v>Talentum TSE</v>
      </c>
      <c r="B2263" s="1" t="str">
        <f ca="1">IFERROR(__xludf.DUMMYFUNCTION("""COMPUTED_VALUE"""),"Kiss Patrícia")</f>
        <v>Kiss Patrícia</v>
      </c>
      <c r="C2263" s="1"/>
      <c r="D2263" s="1" t="str">
        <f ca="1">IFERROR(__xludf.DUMMYFUNCTION("""COMPUTED_VALUE"""),"Nő")</f>
        <v>Nő</v>
      </c>
      <c r="E2263" s="1"/>
      <c r="F2263" s="1">
        <f ca="1">IFERROR(__xludf.DUMMYFUNCTION("""COMPUTED_VALUE"""),2002)</f>
        <v>2002</v>
      </c>
      <c r="G2263" s="1">
        <f ca="1">IFERROR(__xludf.DUMMYFUNCTION("""COMPUTED_VALUE"""),3222)</f>
        <v>3222</v>
      </c>
      <c r="H2263" s="1" t="str">
        <f ca="1">IFERROR(__xludf.DUMMYFUNCTION("""COMPUTED_VALUE"""),"MTLSZ003222A18")</f>
        <v>MTLSZ003222A18</v>
      </c>
      <c r="I2263" s="2">
        <f ca="1">IFERROR(__xludf.DUMMYFUNCTION("""COMPUTED_VALUE"""),43382)</f>
        <v>43382</v>
      </c>
      <c r="J2263" s="2">
        <f ca="1">IFERROR(__xludf.DUMMYFUNCTION("""COMPUTED_VALUE"""),43746)</f>
        <v>43746</v>
      </c>
    </row>
    <row r="2264" spans="1:10" x14ac:dyDescent="0.25">
      <c r="A2264" s="1" t="str">
        <f ca="1">IFERROR(__xludf.DUMMYFUNCTION("""COMPUTED_VALUE"""),"Győri TSE")</f>
        <v>Győri TSE</v>
      </c>
      <c r="B2264" s="1" t="str">
        <f ca="1">IFERROR(__xludf.DUMMYFUNCTION("""COMPUTED_VALUE"""),"Szalay Tamás")</f>
        <v>Szalay Tamás</v>
      </c>
      <c r="C2264" s="1"/>
      <c r="D2264" s="1" t="str">
        <f ca="1">IFERROR(__xludf.DUMMYFUNCTION("""COMPUTED_VALUE"""),"Férfi")</f>
        <v>Férfi</v>
      </c>
      <c r="E2264" s="1"/>
      <c r="F2264" s="1">
        <f ca="1">IFERROR(__xludf.DUMMYFUNCTION("""COMPUTED_VALUE"""),2004)</f>
        <v>2004</v>
      </c>
      <c r="G2264" s="1">
        <f ca="1">IFERROR(__xludf.DUMMYFUNCTION("""COMPUTED_VALUE"""),3205)</f>
        <v>3205</v>
      </c>
      <c r="H2264" s="1" t="str">
        <f ca="1">IFERROR(__xludf.DUMMYFUNCTION("""COMPUTED_VALUE"""),"MTLSZ003205A18")</f>
        <v>MTLSZ003205A18</v>
      </c>
      <c r="I2264" s="2">
        <f ca="1">IFERROR(__xludf.DUMMYFUNCTION("""COMPUTED_VALUE"""),43381)</f>
        <v>43381</v>
      </c>
      <c r="J2264" s="2">
        <f ca="1">IFERROR(__xludf.DUMMYFUNCTION("""COMPUTED_VALUE"""),43745)</f>
        <v>43745</v>
      </c>
    </row>
    <row r="2265" spans="1:10" x14ac:dyDescent="0.25">
      <c r="A2265" s="1" t="str">
        <f ca="1">IFERROR(__xludf.DUMMYFUNCTION("""COMPUTED_VALUE"""),"T(r)ollas SE")</f>
        <v>T(r)ollas SE</v>
      </c>
      <c r="B2265" s="1" t="str">
        <f ca="1">IFERROR(__xludf.DUMMYFUNCTION("""COMPUTED_VALUE"""),"Kiss Alexandra")</f>
        <v>Kiss Alexandra</v>
      </c>
      <c r="C2265" s="1"/>
      <c r="D2265" s="1" t="str">
        <f ca="1">IFERROR(__xludf.DUMMYFUNCTION("""COMPUTED_VALUE"""),"Nő")</f>
        <v>Nő</v>
      </c>
      <c r="E2265" s="1"/>
      <c r="F2265" s="1">
        <f ca="1">IFERROR(__xludf.DUMMYFUNCTION("""COMPUTED_VALUE"""),1995)</f>
        <v>1995</v>
      </c>
      <c r="G2265" s="1">
        <f ca="1">IFERROR(__xludf.DUMMYFUNCTION("""COMPUTED_VALUE"""),1769)</f>
        <v>1769</v>
      </c>
      <c r="H2265" s="1" t="str">
        <f ca="1">IFERROR(__xludf.DUMMYFUNCTION("""COMPUTED_VALUE"""),"MTLSZ001769A18")</f>
        <v>MTLSZ001769A18</v>
      </c>
      <c r="I2265" s="2">
        <f ca="1">IFERROR(__xludf.DUMMYFUNCTION("""COMPUTED_VALUE"""),43381)</f>
        <v>43381</v>
      </c>
      <c r="J2265" s="2">
        <f ca="1">IFERROR(__xludf.DUMMYFUNCTION("""COMPUTED_VALUE"""),43745)</f>
        <v>43745</v>
      </c>
    </row>
    <row r="2266" spans="1:10" x14ac:dyDescent="0.25">
      <c r="A2266" s="1" t="str">
        <f ca="1">IFERROR(__xludf.DUMMYFUNCTION("""COMPUTED_VALUE"""),"T(r)ollas SE")</f>
        <v>T(r)ollas SE</v>
      </c>
      <c r="B2266" s="1" t="str">
        <f ca="1">IFERROR(__xludf.DUMMYFUNCTION("""COMPUTED_VALUE"""),"Megyeri Csilla")</f>
        <v>Megyeri Csilla</v>
      </c>
      <c r="C2266" s="1"/>
      <c r="D2266" s="1" t="str">
        <f ca="1">IFERROR(__xludf.DUMMYFUNCTION("""COMPUTED_VALUE"""),"Nő")</f>
        <v>Nő</v>
      </c>
      <c r="E2266" s="1"/>
      <c r="F2266" s="1">
        <f ca="1">IFERROR(__xludf.DUMMYFUNCTION("""COMPUTED_VALUE"""),1985)</f>
        <v>1985</v>
      </c>
      <c r="G2266" s="1">
        <f ca="1">IFERROR(__xludf.DUMMYFUNCTION("""COMPUTED_VALUE"""),3207)</f>
        <v>3207</v>
      </c>
      <c r="H2266" s="1" t="str">
        <f ca="1">IFERROR(__xludf.DUMMYFUNCTION("""COMPUTED_VALUE"""),"MTLSZ003207A18")</f>
        <v>MTLSZ003207A18</v>
      </c>
      <c r="I2266" s="2">
        <f ca="1">IFERROR(__xludf.DUMMYFUNCTION("""COMPUTED_VALUE"""),43381)</f>
        <v>43381</v>
      </c>
      <c r="J2266" s="2">
        <f ca="1">IFERROR(__xludf.DUMMYFUNCTION("""COMPUTED_VALUE"""),43745)</f>
        <v>43745</v>
      </c>
    </row>
    <row r="2267" spans="1:10" x14ac:dyDescent="0.25">
      <c r="A2267" s="1" t="str">
        <f ca="1">IFERROR(__xludf.DUMMYFUNCTION("""COMPUTED_VALUE"""),"T(r)ollas SE")</f>
        <v>T(r)ollas SE</v>
      </c>
      <c r="B2267" s="1" t="str">
        <f ca="1">IFERROR(__xludf.DUMMYFUNCTION("""COMPUTED_VALUE"""),"Perényi Miklós")</f>
        <v>Perényi Miklós</v>
      </c>
      <c r="C2267" s="1"/>
      <c r="D2267" s="1" t="str">
        <f ca="1">IFERROR(__xludf.DUMMYFUNCTION("""COMPUTED_VALUE"""),"Férfi")</f>
        <v>Férfi</v>
      </c>
      <c r="E2267" s="1"/>
      <c r="F2267" s="1">
        <f ca="1">IFERROR(__xludf.DUMMYFUNCTION("""COMPUTED_VALUE"""),1996)</f>
        <v>1996</v>
      </c>
      <c r="G2267" s="1">
        <f ca="1">IFERROR(__xludf.DUMMYFUNCTION("""COMPUTED_VALUE"""),1507)</f>
        <v>1507</v>
      </c>
      <c r="H2267" s="1" t="str">
        <f ca="1">IFERROR(__xludf.DUMMYFUNCTION("""COMPUTED_VALUE"""),"MTLSZ001507A18")</f>
        <v>MTLSZ001507A18</v>
      </c>
      <c r="I2267" s="2">
        <f ca="1">IFERROR(__xludf.DUMMYFUNCTION("""COMPUTED_VALUE"""),43381)</f>
        <v>43381</v>
      </c>
      <c r="J2267" s="2">
        <f ca="1">IFERROR(__xludf.DUMMYFUNCTION("""COMPUTED_VALUE"""),43745)</f>
        <v>43745</v>
      </c>
    </row>
    <row r="2268" spans="1:10" x14ac:dyDescent="0.25">
      <c r="A2268" s="1" t="str">
        <f ca="1">IFERROR(__xludf.DUMMYFUNCTION("""COMPUTED_VALUE"""),"T(r)ollas SE")</f>
        <v>T(r)ollas SE</v>
      </c>
      <c r="B2268" s="1" t="str">
        <f ca="1">IFERROR(__xludf.DUMMYFUNCTION("""COMPUTED_VALUE"""),"Pop Alexandra")</f>
        <v>Pop Alexandra</v>
      </c>
      <c r="C2268" s="1"/>
      <c r="D2268" s="1" t="str">
        <f ca="1">IFERROR(__xludf.DUMMYFUNCTION("""COMPUTED_VALUE"""),"Nő")</f>
        <v>Nő</v>
      </c>
      <c r="E2268" s="1"/>
      <c r="F2268" s="1">
        <f ca="1">IFERROR(__xludf.DUMMYFUNCTION("""COMPUTED_VALUE"""),2000)</f>
        <v>2000</v>
      </c>
      <c r="G2268" s="1">
        <f ca="1">IFERROR(__xludf.DUMMYFUNCTION("""COMPUTED_VALUE"""),3211)</f>
        <v>3211</v>
      </c>
      <c r="H2268" s="1" t="str">
        <f ca="1">IFERROR(__xludf.DUMMYFUNCTION("""COMPUTED_VALUE"""),"MTLSZ003211A18")</f>
        <v>MTLSZ003211A18</v>
      </c>
      <c r="I2268" s="2">
        <f ca="1">IFERROR(__xludf.DUMMYFUNCTION("""COMPUTED_VALUE"""),43381)</f>
        <v>43381</v>
      </c>
      <c r="J2268" s="2">
        <f ca="1">IFERROR(__xludf.DUMMYFUNCTION("""COMPUTED_VALUE"""),43745)</f>
        <v>43745</v>
      </c>
    </row>
    <row r="2269" spans="1:10" x14ac:dyDescent="0.25">
      <c r="A2269" s="1" t="str">
        <f ca="1">IFERROR(__xludf.DUMMYFUNCTION("""COMPUTED_VALUE"""),"T(r)ollas SE")</f>
        <v>T(r)ollas SE</v>
      </c>
      <c r="B2269" s="1" t="str">
        <f ca="1">IFERROR(__xludf.DUMMYFUNCTION("""COMPUTED_VALUE"""),"Szőcs Ádám")</f>
        <v>Szőcs Ádám</v>
      </c>
      <c r="C2269" s="1"/>
      <c r="D2269" s="1" t="str">
        <f ca="1">IFERROR(__xludf.DUMMYFUNCTION("""COMPUTED_VALUE"""),"Férfi")</f>
        <v>Férfi</v>
      </c>
      <c r="E2269" s="1"/>
      <c r="F2269" s="1">
        <f ca="1">IFERROR(__xludf.DUMMYFUNCTION("""COMPUTED_VALUE"""),1983)</f>
        <v>1983</v>
      </c>
      <c r="G2269" s="1">
        <f ca="1">IFERROR(__xludf.DUMMYFUNCTION("""COMPUTED_VALUE"""),2954)</f>
        <v>2954</v>
      </c>
      <c r="H2269" s="1" t="str">
        <f ca="1">IFERROR(__xludf.DUMMYFUNCTION("""COMPUTED_VALUE"""),"MTLSZ002954A18")</f>
        <v>MTLSZ002954A18</v>
      </c>
      <c r="I2269" s="2">
        <f ca="1">IFERROR(__xludf.DUMMYFUNCTION("""COMPUTED_VALUE"""),43381)</f>
        <v>43381</v>
      </c>
      <c r="J2269" s="2">
        <f ca="1">IFERROR(__xludf.DUMMYFUNCTION("""COMPUTED_VALUE"""),43745)</f>
        <v>43745</v>
      </c>
    </row>
    <row r="2270" spans="1:10" x14ac:dyDescent="0.25">
      <c r="A2270" s="1" t="str">
        <f ca="1">IFERROR(__xludf.DUMMYFUNCTION("""COMPUTED_VALUE"""),"Klébi DSE")</f>
        <v>Klébi DSE</v>
      </c>
      <c r="B2270" s="1" t="str">
        <f ca="1">IFERROR(__xludf.DUMMYFUNCTION("""COMPUTED_VALUE"""),"Fiáth Dávid Barnabás")</f>
        <v>Fiáth Dávid Barnabás</v>
      </c>
      <c r="C2270" s="1"/>
      <c r="D2270" s="1" t="str">
        <f ca="1">IFERROR(__xludf.DUMMYFUNCTION("""COMPUTED_VALUE"""),"Férfi")</f>
        <v>Férfi</v>
      </c>
      <c r="E2270" s="1"/>
      <c r="F2270" s="1">
        <f ca="1">IFERROR(__xludf.DUMMYFUNCTION("""COMPUTED_VALUE"""),2003)</f>
        <v>2003</v>
      </c>
      <c r="G2270" s="1">
        <f ca="1">IFERROR(__xludf.DUMMYFUNCTION("""COMPUTED_VALUE"""),2867)</f>
        <v>2867</v>
      </c>
      <c r="H2270" s="1" t="str">
        <f ca="1">IFERROR(__xludf.DUMMYFUNCTION("""COMPUTED_VALUE"""),"MTLSZ002867A18")</f>
        <v>MTLSZ002867A18</v>
      </c>
      <c r="I2270" s="2">
        <f ca="1">IFERROR(__xludf.DUMMYFUNCTION("""COMPUTED_VALUE"""),43377)</f>
        <v>43377</v>
      </c>
      <c r="J2270" s="2">
        <f ca="1">IFERROR(__xludf.DUMMYFUNCTION("""COMPUTED_VALUE"""),43741)</f>
        <v>43741</v>
      </c>
    </row>
    <row r="2271" spans="1:10" x14ac:dyDescent="0.25">
      <c r="A2271" s="1" t="str">
        <f ca="1">IFERROR(__xludf.DUMMYFUNCTION("""COMPUTED_VALUE"""),"MAFC")</f>
        <v>MAFC</v>
      </c>
      <c r="B2271" s="1" t="str">
        <f ca="1">IFERROR(__xludf.DUMMYFUNCTION("""COMPUTED_VALUE"""),"Török Renáta")</f>
        <v>Török Renáta</v>
      </c>
      <c r="C2271" s="1"/>
      <c r="D2271" s="1" t="str">
        <f ca="1">IFERROR(__xludf.DUMMYFUNCTION("""COMPUTED_VALUE"""),"Nő")</f>
        <v>Nő</v>
      </c>
      <c r="E2271" s="1"/>
      <c r="F2271" s="1">
        <f ca="1">IFERROR(__xludf.DUMMYFUNCTION("""COMPUTED_VALUE"""),1998)</f>
        <v>1998</v>
      </c>
      <c r="G2271" s="1">
        <f ca="1">IFERROR(__xludf.DUMMYFUNCTION("""COMPUTED_VALUE"""),2650)</f>
        <v>2650</v>
      </c>
      <c r="H2271" s="1" t="str">
        <f ca="1">IFERROR(__xludf.DUMMYFUNCTION("""COMPUTED_VALUE"""),"MTLSZ002650A18")</f>
        <v>MTLSZ002650A18</v>
      </c>
      <c r="I2271" s="2">
        <f ca="1">IFERROR(__xludf.DUMMYFUNCTION("""COMPUTED_VALUE"""),43377)</f>
        <v>43377</v>
      </c>
      <c r="J2271" s="2">
        <f ca="1">IFERROR(__xludf.DUMMYFUNCTION("""COMPUTED_VALUE"""),43741)</f>
        <v>43741</v>
      </c>
    </row>
    <row r="2272" spans="1:10" x14ac:dyDescent="0.25">
      <c r="A2272" s="1" t="str">
        <f ca="1">IFERROR(__xludf.DUMMYFUNCTION("""COMPUTED_VALUE"""),"Soproni TSE")</f>
        <v>Soproni TSE</v>
      </c>
      <c r="B2272" s="1" t="str">
        <f ca="1">IFERROR(__xludf.DUMMYFUNCTION("""COMPUTED_VALUE"""),"Ágota Benedek")</f>
        <v>Ágota Benedek</v>
      </c>
      <c r="C2272" s="1"/>
      <c r="D2272" s="1" t="str">
        <f ca="1">IFERROR(__xludf.DUMMYFUNCTION("""COMPUTED_VALUE"""),"Férfi")</f>
        <v>Férfi</v>
      </c>
      <c r="E2272" s="1"/>
      <c r="F2272" s="1">
        <f ca="1">IFERROR(__xludf.DUMMYFUNCTION("""COMPUTED_VALUE"""),2003)</f>
        <v>2003</v>
      </c>
      <c r="G2272" s="1">
        <f ca="1">IFERROR(__xludf.DUMMYFUNCTION("""COMPUTED_VALUE"""),2974)</f>
        <v>2974</v>
      </c>
      <c r="H2272" s="1" t="str">
        <f ca="1">IFERROR(__xludf.DUMMYFUNCTION("""COMPUTED_VALUE"""),"MTLSZ002974A18")</f>
        <v>MTLSZ002974A18</v>
      </c>
      <c r="I2272" s="2">
        <f ca="1">IFERROR(__xludf.DUMMYFUNCTION("""COMPUTED_VALUE"""),43376)</f>
        <v>43376</v>
      </c>
      <c r="J2272" s="2">
        <f ca="1">IFERROR(__xludf.DUMMYFUNCTION("""COMPUTED_VALUE"""),43740)</f>
        <v>43740</v>
      </c>
    </row>
    <row r="2273" spans="1:10" x14ac:dyDescent="0.25">
      <c r="A2273" s="1" t="str">
        <f ca="1">IFERROR(__xludf.DUMMYFUNCTION("""COMPUTED_VALUE"""),"Soproni TSE")</f>
        <v>Soproni TSE</v>
      </c>
      <c r="B2273" s="1" t="str">
        <f ca="1">IFERROR(__xludf.DUMMYFUNCTION("""COMPUTED_VALUE"""),"Ágota Tamás")</f>
        <v>Ágota Tamás</v>
      </c>
      <c r="C2273" s="1"/>
      <c r="D2273" s="1" t="str">
        <f ca="1">IFERROR(__xludf.DUMMYFUNCTION("""COMPUTED_VALUE"""),"Férfi")</f>
        <v>Férfi</v>
      </c>
      <c r="E2273" s="1"/>
      <c r="F2273" s="1">
        <f ca="1">IFERROR(__xludf.DUMMYFUNCTION("""COMPUTED_VALUE"""),1963)</f>
        <v>1963</v>
      </c>
      <c r="G2273" s="1">
        <f ca="1">IFERROR(__xludf.DUMMYFUNCTION("""COMPUTED_VALUE"""),2975)</f>
        <v>2975</v>
      </c>
      <c r="H2273" s="1" t="str">
        <f ca="1">IFERROR(__xludf.DUMMYFUNCTION("""COMPUTED_VALUE"""),"MTLSZ002975A18")</f>
        <v>MTLSZ002975A18</v>
      </c>
      <c r="I2273" s="2">
        <f ca="1">IFERROR(__xludf.DUMMYFUNCTION("""COMPUTED_VALUE"""),43376)</f>
        <v>43376</v>
      </c>
      <c r="J2273" s="2">
        <f ca="1">IFERROR(__xludf.DUMMYFUNCTION("""COMPUTED_VALUE"""),43740)</f>
        <v>43740</v>
      </c>
    </row>
    <row r="2274" spans="1:10" x14ac:dyDescent="0.25">
      <c r="A2274" s="1" t="str">
        <f ca="1">IFERROR(__xludf.DUMMYFUNCTION("""COMPUTED_VALUE"""),"Soproni TSE")</f>
        <v>Soproni TSE</v>
      </c>
      <c r="B2274" s="1" t="str">
        <f ca="1">IFERROR(__xludf.DUMMYFUNCTION("""COMPUTED_VALUE"""),"Horváth Krisztina")</f>
        <v>Horváth Krisztina</v>
      </c>
      <c r="C2274" s="1"/>
      <c r="D2274" s="1" t="str">
        <f ca="1">IFERROR(__xludf.DUMMYFUNCTION("""COMPUTED_VALUE"""),"Nő")</f>
        <v>Nő</v>
      </c>
      <c r="E2274" s="1"/>
      <c r="F2274" s="1">
        <f ca="1">IFERROR(__xludf.DUMMYFUNCTION("""COMPUTED_VALUE"""),1997)</f>
        <v>1997</v>
      </c>
      <c r="G2274" s="1">
        <f ca="1">IFERROR(__xludf.DUMMYFUNCTION("""COMPUTED_VALUE"""),2976)</f>
        <v>2976</v>
      </c>
      <c r="H2274" s="1" t="str">
        <f ca="1">IFERROR(__xludf.DUMMYFUNCTION("""COMPUTED_VALUE"""),"MTLSZ002976A18")</f>
        <v>MTLSZ002976A18</v>
      </c>
      <c r="I2274" s="2">
        <f ca="1">IFERROR(__xludf.DUMMYFUNCTION("""COMPUTED_VALUE"""),43376)</f>
        <v>43376</v>
      </c>
      <c r="J2274" s="2">
        <f ca="1">IFERROR(__xludf.DUMMYFUNCTION("""COMPUTED_VALUE"""),43740)</f>
        <v>43740</v>
      </c>
    </row>
    <row r="2275" spans="1:10" x14ac:dyDescent="0.25">
      <c r="A2275" s="1" t="str">
        <f ca="1">IFERROR(__xludf.DUMMYFUNCTION("""COMPUTED_VALUE"""),"Soproni TSE")</f>
        <v>Soproni TSE</v>
      </c>
      <c r="B2275" s="1" t="str">
        <f ca="1">IFERROR(__xludf.DUMMYFUNCTION("""COMPUTED_VALUE"""),"Kanyó Rebeka")</f>
        <v>Kanyó Rebeka</v>
      </c>
      <c r="C2275" s="1"/>
      <c r="D2275" s="1" t="str">
        <f ca="1">IFERROR(__xludf.DUMMYFUNCTION("""COMPUTED_VALUE"""),"Nő")</f>
        <v>Nő</v>
      </c>
      <c r="E2275" s="1"/>
      <c r="F2275" s="1">
        <f ca="1">IFERROR(__xludf.DUMMYFUNCTION("""COMPUTED_VALUE"""),2000)</f>
        <v>2000</v>
      </c>
      <c r="G2275" s="1">
        <f ca="1">IFERROR(__xludf.DUMMYFUNCTION("""COMPUTED_VALUE"""),2977)</f>
        <v>2977</v>
      </c>
      <c r="H2275" s="1" t="str">
        <f ca="1">IFERROR(__xludf.DUMMYFUNCTION("""COMPUTED_VALUE"""),"MTLSZ002977A18")</f>
        <v>MTLSZ002977A18</v>
      </c>
      <c r="I2275" s="2">
        <f ca="1">IFERROR(__xludf.DUMMYFUNCTION("""COMPUTED_VALUE"""),43376)</f>
        <v>43376</v>
      </c>
      <c r="J2275" s="2">
        <f ca="1">IFERROR(__xludf.DUMMYFUNCTION("""COMPUTED_VALUE"""),43740)</f>
        <v>43740</v>
      </c>
    </row>
    <row r="2276" spans="1:10" x14ac:dyDescent="0.25">
      <c r="A2276" s="1" t="str">
        <f ca="1">IFERROR(__xludf.DUMMYFUNCTION("""COMPUTED_VALUE"""),"MAFC")</f>
        <v>MAFC</v>
      </c>
      <c r="B2276" s="1" t="str">
        <f ca="1">IFERROR(__xludf.DUMMYFUNCTION("""COMPUTED_VALUE"""),"Ruan Lubing")</f>
        <v>Ruan Lubing</v>
      </c>
      <c r="C2276" s="1"/>
      <c r="D2276" s="1" t="str">
        <f ca="1">IFERROR(__xludf.DUMMYFUNCTION("""COMPUTED_VALUE"""),"Nő")</f>
        <v>Nő</v>
      </c>
      <c r="E2276" s="1"/>
      <c r="F2276" s="1">
        <f ca="1">IFERROR(__xludf.DUMMYFUNCTION("""COMPUTED_VALUE"""),2001)</f>
        <v>2001</v>
      </c>
      <c r="G2276" s="1">
        <f ca="1">IFERROR(__xludf.DUMMYFUNCTION("""COMPUTED_VALUE"""),3192)</f>
        <v>3192</v>
      </c>
      <c r="H2276" s="1" t="str">
        <f ca="1">IFERROR(__xludf.DUMMYFUNCTION("""COMPUTED_VALUE"""),"MTLSZ003192A18")</f>
        <v>MTLSZ003192A18</v>
      </c>
      <c r="I2276" s="2">
        <f ca="1">IFERROR(__xludf.DUMMYFUNCTION("""COMPUTED_VALUE"""),43374)</f>
        <v>43374</v>
      </c>
      <c r="J2276" s="2">
        <f ca="1">IFERROR(__xludf.DUMMYFUNCTION("""COMPUTED_VALUE"""),43738)</f>
        <v>43738</v>
      </c>
    </row>
    <row r="2277" spans="1:10" x14ac:dyDescent="0.25">
      <c r="A2277" s="1" t="str">
        <f ca="1">IFERROR(__xludf.DUMMYFUNCTION("""COMPUTED_VALUE"""),"Tisza TSE")</f>
        <v>Tisza TSE</v>
      </c>
      <c r="B2277" s="1" t="str">
        <f ca="1">IFERROR(__xludf.DUMMYFUNCTION("""COMPUTED_VALUE"""),"Desanda Vegarami Putri")</f>
        <v>Desanda Vegarami Putri</v>
      </c>
      <c r="C2277" s="1"/>
      <c r="D2277" s="1" t="str">
        <f ca="1">IFERROR(__xludf.DUMMYFUNCTION("""COMPUTED_VALUE"""),"Nő")</f>
        <v>Nő</v>
      </c>
      <c r="E2277" s="1"/>
      <c r="F2277" s="1">
        <f ca="1">IFERROR(__xludf.DUMMYFUNCTION("""COMPUTED_VALUE"""),1998)</f>
        <v>1998</v>
      </c>
      <c r="G2277" s="1">
        <f ca="1">IFERROR(__xludf.DUMMYFUNCTION("""COMPUTED_VALUE"""),3191)</f>
        <v>3191</v>
      </c>
      <c r="H2277" s="1" t="str">
        <f ca="1">IFERROR(__xludf.DUMMYFUNCTION("""COMPUTED_VALUE"""),"MTLSZ003191A18")</f>
        <v>MTLSZ003191A18</v>
      </c>
      <c r="I2277" s="2">
        <f ca="1">IFERROR(__xludf.DUMMYFUNCTION("""COMPUTED_VALUE"""),43374)</f>
        <v>43374</v>
      </c>
      <c r="J2277" s="2">
        <f ca="1">IFERROR(__xludf.DUMMYFUNCTION("""COMPUTED_VALUE"""),43738)</f>
        <v>43738</v>
      </c>
    </row>
    <row r="2278" spans="1:10" x14ac:dyDescent="0.25">
      <c r="A2278" s="1" t="str">
        <f ca="1">IFERROR(__xludf.DUMMYFUNCTION("""COMPUTED_VALUE"""),"Tisza TSE")</f>
        <v>Tisza TSE</v>
      </c>
      <c r="B2278" s="1" t="str">
        <f ca="1">IFERROR(__xludf.DUMMYFUNCTION("""COMPUTED_VALUE"""),"Pápai Miklós")</f>
        <v>Pápai Miklós</v>
      </c>
      <c r="C2278" s="1"/>
      <c r="D2278" s="1" t="str">
        <f ca="1">IFERROR(__xludf.DUMMYFUNCTION("""COMPUTED_VALUE"""),"Férfi")</f>
        <v>Férfi</v>
      </c>
      <c r="E2278" s="1"/>
      <c r="F2278" s="1">
        <f ca="1">IFERROR(__xludf.DUMMYFUNCTION("""COMPUTED_VALUE"""),1967)</f>
        <v>1967</v>
      </c>
      <c r="G2278" s="1">
        <f ca="1">IFERROR(__xludf.DUMMYFUNCTION("""COMPUTED_VALUE"""),1764)</f>
        <v>1764</v>
      </c>
      <c r="H2278" s="1" t="str">
        <f ca="1">IFERROR(__xludf.DUMMYFUNCTION("""COMPUTED_VALUE"""),"MTLSZ001764A18")</f>
        <v>MTLSZ001764A18</v>
      </c>
      <c r="I2278" s="2">
        <f ca="1">IFERROR(__xludf.DUMMYFUNCTION("""COMPUTED_VALUE"""),43371)</f>
        <v>43371</v>
      </c>
      <c r="J2278" s="2">
        <f ca="1">IFERROR(__xludf.DUMMYFUNCTION("""COMPUTED_VALUE"""),43735)</f>
        <v>43735</v>
      </c>
    </row>
    <row r="2279" spans="1:10" x14ac:dyDescent="0.25">
      <c r="A2279" s="1" t="str">
        <f ca="1">IFERROR(__xludf.DUMMYFUNCTION("""COMPUTED_VALUE"""),"Pillangó TK")</f>
        <v>Pillangó TK</v>
      </c>
      <c r="B2279" s="1" t="str">
        <f ca="1">IFERROR(__xludf.DUMMYFUNCTION("""COMPUTED_VALUE"""),"Nagy Ferenc")</f>
        <v>Nagy Ferenc</v>
      </c>
      <c r="C2279" s="1"/>
      <c r="D2279" s="1" t="str">
        <f ca="1">IFERROR(__xludf.DUMMYFUNCTION("""COMPUTED_VALUE"""),"Férfi")</f>
        <v>Férfi</v>
      </c>
      <c r="E2279" s="1"/>
      <c r="F2279" s="1">
        <f ca="1">IFERROR(__xludf.DUMMYFUNCTION("""COMPUTED_VALUE"""),1966)</f>
        <v>1966</v>
      </c>
      <c r="G2279" s="1">
        <f ca="1">IFERROR(__xludf.DUMMYFUNCTION("""COMPUTED_VALUE"""),2933)</f>
        <v>2933</v>
      </c>
      <c r="H2279" s="1" t="str">
        <f ca="1">IFERROR(__xludf.DUMMYFUNCTION("""COMPUTED_VALUE"""),"MTLSZ002933A18")</f>
        <v>MTLSZ002933A18</v>
      </c>
      <c r="I2279" s="2">
        <f ca="1">IFERROR(__xludf.DUMMYFUNCTION("""COMPUTED_VALUE"""),43370)</f>
        <v>43370</v>
      </c>
      <c r="J2279" s="2">
        <f ca="1">IFERROR(__xludf.DUMMYFUNCTION("""COMPUTED_VALUE"""),43734)</f>
        <v>43734</v>
      </c>
    </row>
    <row r="2280" spans="1:10" x14ac:dyDescent="0.25">
      <c r="A2280" s="1" t="str">
        <f ca="1">IFERROR(__xludf.DUMMYFUNCTION("""COMPUTED_VALUE"""),"Pillangó TK")</f>
        <v>Pillangó TK</v>
      </c>
      <c r="B2280" s="1" t="str">
        <f ca="1">IFERROR(__xludf.DUMMYFUNCTION("""COMPUTED_VALUE"""),"Nagy Sára")</f>
        <v>Nagy Sára</v>
      </c>
      <c r="C2280" s="1"/>
      <c r="D2280" s="1" t="str">
        <f ca="1">IFERROR(__xludf.DUMMYFUNCTION("""COMPUTED_VALUE"""),"Nő")</f>
        <v>Nő</v>
      </c>
      <c r="E2280" s="1"/>
      <c r="F2280" s="1">
        <f ca="1">IFERROR(__xludf.DUMMYFUNCTION("""COMPUTED_VALUE"""),1999)</f>
        <v>1999</v>
      </c>
      <c r="G2280" s="1">
        <f ca="1">IFERROR(__xludf.DUMMYFUNCTION("""COMPUTED_VALUE"""),2934)</f>
        <v>2934</v>
      </c>
      <c r="H2280" s="1" t="str">
        <f ca="1">IFERROR(__xludf.DUMMYFUNCTION("""COMPUTED_VALUE"""),"MTLSZ002934A18")</f>
        <v>MTLSZ002934A18</v>
      </c>
      <c r="I2280" s="2">
        <f ca="1">IFERROR(__xludf.DUMMYFUNCTION("""COMPUTED_VALUE"""),43370)</f>
        <v>43370</v>
      </c>
      <c r="J2280" s="2">
        <f ca="1">IFERROR(__xludf.DUMMYFUNCTION("""COMPUTED_VALUE"""),43734)</f>
        <v>43734</v>
      </c>
    </row>
    <row r="2281" spans="1:10" x14ac:dyDescent="0.25">
      <c r="A2281" s="1" t="str">
        <f ca="1">IFERROR(__xludf.DUMMYFUNCTION("""COMPUTED_VALUE"""),"MAFC")</f>
        <v>MAFC</v>
      </c>
      <c r="B2281" s="1" t="str">
        <f ca="1">IFERROR(__xludf.DUMMYFUNCTION("""COMPUTED_VALUE"""),"Horváth Lili Zita")</f>
        <v>Horváth Lili Zita</v>
      </c>
      <c r="C2281" s="1"/>
      <c r="D2281" s="1" t="str">
        <f ca="1">IFERROR(__xludf.DUMMYFUNCTION("""COMPUTED_VALUE"""),"Nő")</f>
        <v>Nő</v>
      </c>
      <c r="E2281" s="1"/>
      <c r="F2281" s="1">
        <f ca="1">IFERROR(__xludf.DUMMYFUNCTION("""COMPUTED_VALUE"""),2001)</f>
        <v>2001</v>
      </c>
      <c r="G2281" s="1">
        <f ca="1">IFERROR(__xludf.DUMMYFUNCTION("""COMPUTED_VALUE"""),2946)</f>
        <v>2946</v>
      </c>
      <c r="H2281" s="1" t="str">
        <f ca="1">IFERROR(__xludf.DUMMYFUNCTION("""COMPUTED_VALUE"""),"MTLSZ002946A18")</f>
        <v>MTLSZ002946A18</v>
      </c>
      <c r="I2281" s="2">
        <f ca="1">IFERROR(__xludf.DUMMYFUNCTION("""COMPUTED_VALUE"""),43368)</f>
        <v>43368</v>
      </c>
      <c r="J2281" s="2">
        <f ca="1">IFERROR(__xludf.DUMMYFUNCTION("""COMPUTED_VALUE"""),43732)</f>
        <v>43732</v>
      </c>
    </row>
    <row r="2282" spans="1:10" x14ac:dyDescent="0.25">
      <c r="A2282" s="1" t="str">
        <f ca="1">IFERROR(__xludf.DUMMYFUNCTION("""COMPUTED_VALUE"""),"MAFC")</f>
        <v>MAFC</v>
      </c>
      <c r="B2282" s="1" t="str">
        <f ca="1">IFERROR(__xludf.DUMMYFUNCTION("""COMPUTED_VALUE"""),"Katona Nóra")</f>
        <v>Katona Nóra</v>
      </c>
      <c r="C2282" s="1"/>
      <c r="D2282" s="1" t="str">
        <f ca="1">IFERROR(__xludf.DUMMYFUNCTION("""COMPUTED_VALUE"""),"Nő")</f>
        <v>Nő</v>
      </c>
      <c r="E2282" s="1"/>
      <c r="F2282" s="1">
        <f ca="1">IFERROR(__xludf.DUMMYFUNCTION("""COMPUTED_VALUE"""),2008)</f>
        <v>2008</v>
      </c>
      <c r="G2282" s="1">
        <f ca="1">IFERROR(__xludf.DUMMYFUNCTION("""COMPUTED_VALUE"""),3185)</f>
        <v>3185</v>
      </c>
      <c r="H2282" s="1" t="str">
        <f ca="1">IFERROR(__xludf.DUMMYFUNCTION("""COMPUTED_VALUE"""),"MTLSZ003185A18")</f>
        <v>MTLSZ003185A18</v>
      </c>
      <c r="I2282" s="2">
        <f ca="1">IFERROR(__xludf.DUMMYFUNCTION("""COMPUTED_VALUE"""),43368)</f>
        <v>43368</v>
      </c>
      <c r="J2282" s="2">
        <f ca="1">IFERROR(__xludf.DUMMYFUNCTION("""COMPUTED_VALUE"""),43732)</f>
        <v>43732</v>
      </c>
    </row>
    <row r="2283" spans="1:10" x14ac:dyDescent="0.25">
      <c r="A2283" s="1" t="str">
        <f ca="1">IFERROR(__xludf.DUMMYFUNCTION("""COMPUTED_VALUE"""),"MAFC")</f>
        <v>MAFC</v>
      </c>
      <c r="B2283" s="1" t="str">
        <f ca="1">IFERROR(__xludf.DUMMYFUNCTION("""COMPUTED_VALUE"""),"Zárda Boglárka")</f>
        <v>Zárda Boglárka</v>
      </c>
      <c r="C2283" s="1"/>
      <c r="D2283" s="1" t="str">
        <f ca="1">IFERROR(__xludf.DUMMYFUNCTION("""COMPUTED_VALUE"""),"Nő")</f>
        <v>Nő</v>
      </c>
      <c r="E2283" s="1"/>
      <c r="F2283" s="1">
        <f ca="1">IFERROR(__xludf.DUMMYFUNCTION("""COMPUTED_VALUE"""),2000)</f>
        <v>2000</v>
      </c>
      <c r="G2283" s="1">
        <f ca="1">IFERROR(__xludf.DUMMYFUNCTION("""COMPUTED_VALUE"""),3186)</f>
        <v>3186</v>
      </c>
      <c r="H2283" s="1" t="str">
        <f ca="1">IFERROR(__xludf.DUMMYFUNCTION("""COMPUTED_VALUE"""),"MTLSZ003186A18")</f>
        <v>MTLSZ003186A18</v>
      </c>
      <c r="I2283" s="2">
        <f ca="1">IFERROR(__xludf.DUMMYFUNCTION("""COMPUTED_VALUE"""),43368)</f>
        <v>43368</v>
      </c>
      <c r="J2283" s="2">
        <f ca="1">IFERROR(__xludf.DUMMYFUNCTION("""COMPUTED_VALUE"""),43732)</f>
        <v>43732</v>
      </c>
    </row>
    <row r="2284" spans="1:10" x14ac:dyDescent="0.25">
      <c r="A2284" s="1" t="str">
        <f ca="1">IFERROR(__xludf.DUMMYFUNCTION("""COMPUTED_VALUE"""),"Seregélyesi PDSE")</f>
        <v>Seregélyesi PDSE</v>
      </c>
      <c r="B2284" s="1" t="str">
        <f ca="1">IFERROR(__xludf.DUMMYFUNCTION("""COMPUTED_VALUE"""),"Soltész Nikol")</f>
        <v>Soltész Nikol</v>
      </c>
      <c r="C2284" s="1"/>
      <c r="D2284" s="1" t="str">
        <f ca="1">IFERROR(__xludf.DUMMYFUNCTION("""COMPUTED_VALUE"""),"Nő")</f>
        <v>Nő</v>
      </c>
      <c r="E2284" s="1"/>
      <c r="F2284" s="1">
        <f ca="1">IFERROR(__xludf.DUMMYFUNCTION("""COMPUTED_VALUE"""),2003)</f>
        <v>2003</v>
      </c>
      <c r="G2284" s="1">
        <f ca="1">IFERROR(__xludf.DUMMYFUNCTION("""COMPUTED_VALUE"""),2518)</f>
        <v>2518</v>
      </c>
      <c r="H2284" s="1" t="str">
        <f ca="1">IFERROR(__xludf.DUMMYFUNCTION("""COMPUTED_VALUE"""),"MTLSZ002518A18")</f>
        <v>MTLSZ002518A18</v>
      </c>
      <c r="I2284" s="2">
        <f ca="1">IFERROR(__xludf.DUMMYFUNCTION("""COMPUTED_VALUE"""),43367)</f>
        <v>43367</v>
      </c>
      <c r="J2284" s="2">
        <f ca="1">IFERROR(__xludf.DUMMYFUNCTION("""COMPUTED_VALUE"""),43731)</f>
        <v>43731</v>
      </c>
    </row>
    <row r="2285" spans="1:10" x14ac:dyDescent="0.25">
      <c r="A2285" s="1" t="str">
        <f ca="1">IFERROR(__xludf.DUMMYFUNCTION("""COMPUTED_VALUE"""),"SZGYE SZE")</f>
        <v>SZGYE SZE</v>
      </c>
      <c r="B2285" s="1" t="str">
        <f ca="1">IFERROR(__xludf.DUMMYFUNCTION("""COMPUTED_VALUE"""),"Bors Mátyás")</f>
        <v>Bors Mátyás</v>
      </c>
      <c r="C2285" s="1"/>
      <c r="D2285" s="1" t="str">
        <f ca="1">IFERROR(__xludf.DUMMYFUNCTION("""COMPUTED_VALUE"""),"Férfi")</f>
        <v>Férfi</v>
      </c>
      <c r="E2285" s="1"/>
      <c r="F2285" s="1">
        <f ca="1">IFERROR(__xludf.DUMMYFUNCTION("""COMPUTED_VALUE"""),2002)</f>
        <v>2002</v>
      </c>
      <c r="G2285" s="1">
        <f ca="1">IFERROR(__xludf.DUMMYFUNCTION("""COMPUTED_VALUE"""),2903)</f>
        <v>2903</v>
      </c>
      <c r="H2285" s="1" t="str">
        <f ca="1">IFERROR(__xludf.DUMMYFUNCTION("""COMPUTED_VALUE"""),"MTLSZ002903A18")</f>
        <v>MTLSZ002903A18</v>
      </c>
      <c r="I2285" s="2">
        <f ca="1">IFERROR(__xludf.DUMMYFUNCTION("""COMPUTED_VALUE"""),43363)</f>
        <v>43363</v>
      </c>
      <c r="J2285" s="2">
        <f ca="1">IFERROR(__xludf.DUMMYFUNCTION("""COMPUTED_VALUE"""),43727)</f>
        <v>43727</v>
      </c>
    </row>
    <row r="2286" spans="1:10" x14ac:dyDescent="0.25">
      <c r="A2286" s="1" t="str">
        <f ca="1">IFERROR(__xludf.DUMMYFUNCTION("""COMPUTED_VALUE"""),"SZGYE SZE")</f>
        <v>SZGYE SZE</v>
      </c>
      <c r="B2286" s="1" t="str">
        <f ca="1">IFERROR(__xludf.DUMMYFUNCTION("""COMPUTED_VALUE"""),"Kéner Bonifác")</f>
        <v>Kéner Bonifác</v>
      </c>
      <c r="C2286" s="1"/>
      <c r="D2286" s="1" t="str">
        <f ca="1">IFERROR(__xludf.DUMMYFUNCTION("""COMPUTED_VALUE"""),"Férfi")</f>
        <v>Férfi</v>
      </c>
      <c r="E2286" s="1"/>
      <c r="F2286" s="1">
        <f ca="1">IFERROR(__xludf.DUMMYFUNCTION("""COMPUTED_VALUE"""),2002)</f>
        <v>2002</v>
      </c>
      <c r="G2286" s="1">
        <f ca="1">IFERROR(__xludf.DUMMYFUNCTION("""COMPUTED_VALUE"""),2905)</f>
        <v>2905</v>
      </c>
      <c r="H2286" s="1" t="str">
        <f ca="1">IFERROR(__xludf.DUMMYFUNCTION("""COMPUTED_VALUE"""),"MTLSZ002905A18")</f>
        <v>MTLSZ002905A18</v>
      </c>
      <c r="I2286" s="2">
        <f ca="1">IFERROR(__xludf.DUMMYFUNCTION("""COMPUTED_VALUE"""),43363)</f>
        <v>43363</v>
      </c>
      <c r="J2286" s="2">
        <f ca="1">IFERROR(__xludf.DUMMYFUNCTION("""COMPUTED_VALUE"""),43727)</f>
        <v>43727</v>
      </c>
    </row>
    <row r="2287" spans="1:10" x14ac:dyDescent="0.25">
      <c r="A2287" s="1" t="str">
        <f ca="1">IFERROR(__xludf.DUMMYFUNCTION("""COMPUTED_VALUE"""),"Vízművek SK")</f>
        <v>Vízművek SK</v>
      </c>
      <c r="B2287" s="1" t="str">
        <f ca="1">IFERROR(__xludf.DUMMYFUNCTION("""COMPUTED_VALUE"""),"Clara Fernandez")</f>
        <v>Clara Fernandez</v>
      </c>
      <c r="C2287" s="1"/>
      <c r="D2287" s="1" t="str">
        <f ca="1">IFERROR(__xludf.DUMMYFUNCTION("""COMPUTED_VALUE"""),"Nő")</f>
        <v>Nő</v>
      </c>
      <c r="E2287" s="1"/>
      <c r="F2287" s="1">
        <f ca="1">IFERROR(__xludf.DUMMYFUNCTION("""COMPUTED_VALUE"""),1996)</f>
        <v>1996</v>
      </c>
      <c r="G2287" s="1">
        <f ca="1">IFERROR(__xludf.DUMMYFUNCTION("""COMPUTED_VALUE"""),3177)</f>
        <v>3177</v>
      </c>
      <c r="H2287" s="1" t="str">
        <f ca="1">IFERROR(__xludf.DUMMYFUNCTION("""COMPUTED_VALUE"""),"MTLSZ003177A18")</f>
        <v>MTLSZ003177A18</v>
      </c>
      <c r="I2287" s="2">
        <f ca="1">IFERROR(__xludf.DUMMYFUNCTION("""COMPUTED_VALUE"""),43362)</f>
        <v>43362</v>
      </c>
      <c r="J2287" s="2">
        <f ca="1">IFERROR(__xludf.DUMMYFUNCTION("""COMPUTED_VALUE"""),43726)</f>
        <v>43726</v>
      </c>
    </row>
    <row r="2288" spans="1:10" x14ac:dyDescent="0.25">
      <c r="A2288" s="1" t="str">
        <f ca="1">IFERROR(__xludf.DUMMYFUNCTION("""COMPUTED_VALUE"""),"Vízművek SK")</f>
        <v>Vízművek SK</v>
      </c>
      <c r="B2288" s="1"/>
      <c r="C2288" s="1"/>
      <c r="D2288" s="1"/>
      <c r="E2288" s="1"/>
      <c r="F2288" s="1">
        <f ca="1">IFERROR(__xludf.DUMMYFUNCTION("""COMPUTED_VALUE"""),1899)</f>
        <v>1899</v>
      </c>
      <c r="G2288" s="1">
        <f ca="1">IFERROR(__xludf.DUMMYFUNCTION("""COMPUTED_VALUE"""),3178)</f>
        <v>3178</v>
      </c>
      <c r="H2288" s="1"/>
      <c r="I2288" s="2">
        <f ca="1">IFERROR(__xludf.DUMMYFUNCTION("""COMPUTED_VALUE"""),43362)</f>
        <v>43362</v>
      </c>
      <c r="J2288" s="2">
        <f ca="1">IFERROR(__xludf.DUMMYFUNCTION("""COMPUTED_VALUE"""),43726)</f>
        <v>43726</v>
      </c>
    </row>
    <row r="2289" spans="1:10" x14ac:dyDescent="0.25">
      <c r="A2289" s="1" t="str">
        <f ca="1">IFERROR(__xludf.DUMMYFUNCTION("""COMPUTED_VALUE"""),"Tisza TSE")</f>
        <v>Tisza TSE</v>
      </c>
      <c r="B2289" s="1" t="str">
        <f ca="1">IFERROR(__xludf.DUMMYFUNCTION("""COMPUTED_VALUE"""),"Kószó Szabolcs")</f>
        <v>Kószó Szabolcs</v>
      </c>
      <c r="C2289" s="1"/>
      <c r="D2289" s="1" t="str">
        <f ca="1">IFERROR(__xludf.DUMMYFUNCTION("""COMPUTED_VALUE"""),"Férfi")</f>
        <v>Férfi</v>
      </c>
      <c r="E2289" s="1"/>
      <c r="F2289" s="1">
        <f ca="1">IFERROR(__xludf.DUMMYFUNCTION("""COMPUTED_VALUE"""),2003)</f>
        <v>2003</v>
      </c>
      <c r="G2289" s="1">
        <f ca="1">IFERROR(__xludf.DUMMYFUNCTION("""COMPUTED_VALUE"""),2790)</f>
        <v>2790</v>
      </c>
      <c r="H2289" s="1" t="str">
        <f ca="1">IFERROR(__xludf.DUMMYFUNCTION("""COMPUTED_VALUE"""),"MTLSZ002790A18")</f>
        <v>MTLSZ002790A18</v>
      </c>
      <c r="I2289" s="2">
        <f ca="1">IFERROR(__xludf.DUMMYFUNCTION("""COMPUTED_VALUE"""),43362)</f>
        <v>43362</v>
      </c>
      <c r="J2289" s="2">
        <f ca="1">IFERROR(__xludf.DUMMYFUNCTION("""COMPUTED_VALUE"""),43726)</f>
        <v>43726</v>
      </c>
    </row>
    <row r="2290" spans="1:10" x14ac:dyDescent="0.25">
      <c r="A2290" s="1" t="str">
        <f ca="1">IFERROR(__xludf.DUMMYFUNCTION("""COMPUTED_VALUE"""),"FBSE")</f>
        <v>FBSE</v>
      </c>
      <c r="B2290" s="1" t="str">
        <f ca="1">IFERROR(__xludf.DUMMYFUNCTION("""COMPUTED_VALUE"""),"Pound Niusa Christopher")</f>
        <v>Pound Niusa Christopher</v>
      </c>
      <c r="C2290" s="1"/>
      <c r="D2290" s="1" t="str">
        <f ca="1">IFERROR(__xludf.DUMMYFUNCTION("""COMPUTED_VALUE"""),"Férfi")</f>
        <v>Férfi</v>
      </c>
      <c r="E2290" s="1"/>
      <c r="F2290" s="1">
        <f ca="1">IFERROR(__xludf.DUMMYFUNCTION("""COMPUTED_VALUE"""),1983)</f>
        <v>1983</v>
      </c>
      <c r="G2290" s="1">
        <f ca="1">IFERROR(__xludf.DUMMYFUNCTION("""COMPUTED_VALUE"""),2367)</f>
        <v>2367</v>
      </c>
      <c r="H2290" s="1" t="str">
        <f ca="1">IFERROR(__xludf.DUMMYFUNCTION("""COMPUTED_VALUE"""),"MTLSZ002367A18")</f>
        <v>MTLSZ002367A18</v>
      </c>
      <c r="I2290" s="2">
        <f ca="1">IFERROR(__xludf.DUMMYFUNCTION("""COMPUTED_VALUE"""),43360)</f>
        <v>43360</v>
      </c>
      <c r="J2290" s="2">
        <f ca="1">IFERROR(__xludf.DUMMYFUNCTION("""COMPUTED_VALUE"""),43724)</f>
        <v>43724</v>
      </c>
    </row>
    <row r="2291" spans="1:10" x14ac:dyDescent="0.25">
      <c r="A2291" s="1" t="str">
        <f ca="1">IFERROR(__xludf.DUMMYFUNCTION("""COMPUTED_VALUE"""),"Bodajki TSE")</f>
        <v>Bodajki TSE</v>
      </c>
      <c r="B2291" s="1" t="str">
        <f ca="1">IFERROR(__xludf.DUMMYFUNCTION("""COMPUTED_VALUE"""),"Takács Kata")</f>
        <v>Takács Kata</v>
      </c>
      <c r="C2291" s="1"/>
      <c r="D2291" s="1" t="str">
        <f ca="1">IFERROR(__xludf.DUMMYFUNCTION("""COMPUTED_VALUE"""),"Nő")</f>
        <v>Nő</v>
      </c>
      <c r="E2291" s="1"/>
      <c r="F2291" s="1">
        <f ca="1">IFERROR(__xludf.DUMMYFUNCTION("""COMPUTED_VALUE"""),2001)</f>
        <v>2001</v>
      </c>
      <c r="G2291" s="1">
        <f ca="1">IFERROR(__xludf.DUMMYFUNCTION("""COMPUTED_VALUE"""),3176)</f>
        <v>3176</v>
      </c>
      <c r="H2291" s="1" t="str">
        <f ca="1">IFERROR(__xludf.DUMMYFUNCTION("""COMPUTED_VALUE"""),"MTLSZ003176A18")</f>
        <v>MTLSZ003176A18</v>
      </c>
      <c r="I2291" s="2">
        <f ca="1">IFERROR(__xludf.DUMMYFUNCTION("""COMPUTED_VALUE"""),43356)</f>
        <v>43356</v>
      </c>
      <c r="J2291" s="2">
        <f ca="1">IFERROR(__xludf.DUMMYFUNCTION("""COMPUTED_VALUE"""),43720)</f>
        <v>43720</v>
      </c>
    </row>
    <row r="2292" spans="1:10" x14ac:dyDescent="0.25">
      <c r="A2292" s="1" t="str">
        <f ca="1">IFERROR(__xludf.DUMMYFUNCTION("""COMPUTED_VALUE"""),"Bodajki TSE")</f>
        <v>Bodajki TSE</v>
      </c>
      <c r="B2292" s="1" t="str">
        <f ca="1">IFERROR(__xludf.DUMMYFUNCTION("""COMPUTED_VALUE"""),"Takács Petra")</f>
        <v>Takács Petra</v>
      </c>
      <c r="C2292" s="1"/>
      <c r="D2292" s="1" t="str">
        <f ca="1">IFERROR(__xludf.DUMMYFUNCTION("""COMPUTED_VALUE"""),"Nő")</f>
        <v>Nő</v>
      </c>
      <c r="E2292" s="1"/>
      <c r="F2292" s="1">
        <f ca="1">IFERROR(__xludf.DUMMYFUNCTION("""COMPUTED_VALUE"""),1997)</f>
        <v>1997</v>
      </c>
      <c r="G2292" s="1">
        <f ca="1">IFERROR(__xludf.DUMMYFUNCTION("""COMPUTED_VALUE"""),1832)</f>
        <v>1832</v>
      </c>
      <c r="H2292" s="1" t="str">
        <f ca="1">IFERROR(__xludf.DUMMYFUNCTION("""COMPUTED_VALUE"""),"MTLSZ001832A18")</f>
        <v>MTLSZ001832A18</v>
      </c>
      <c r="I2292" s="2">
        <f ca="1">IFERROR(__xludf.DUMMYFUNCTION("""COMPUTED_VALUE"""),43356)</f>
        <v>43356</v>
      </c>
      <c r="J2292" s="2">
        <f ca="1">IFERROR(__xludf.DUMMYFUNCTION("""COMPUTED_VALUE"""),43720)</f>
        <v>43720</v>
      </c>
    </row>
    <row r="2293" spans="1:10" x14ac:dyDescent="0.25">
      <c r="A2293" s="1" t="str">
        <f ca="1">IFERROR(__xludf.DUMMYFUNCTION("""COMPUTED_VALUE"""),"DSC-SI")</f>
        <v>DSC-SI</v>
      </c>
      <c r="B2293" s="1" t="str">
        <f ca="1">IFERROR(__xludf.DUMMYFUNCTION("""COMPUTED_VALUE"""),"Dalmi Panna")</f>
        <v>Dalmi Panna</v>
      </c>
      <c r="C2293" s="1"/>
      <c r="D2293" s="1" t="str">
        <f ca="1">IFERROR(__xludf.DUMMYFUNCTION("""COMPUTED_VALUE"""),"Nő")</f>
        <v>Nő</v>
      </c>
      <c r="E2293" s="1"/>
      <c r="F2293" s="1">
        <f ca="1">IFERROR(__xludf.DUMMYFUNCTION("""COMPUTED_VALUE"""),2002)</f>
        <v>2002</v>
      </c>
      <c r="G2293" s="1">
        <f ca="1">IFERROR(__xludf.DUMMYFUNCTION("""COMPUTED_VALUE"""),2687)</f>
        <v>2687</v>
      </c>
      <c r="H2293" s="1" t="str">
        <f ca="1">IFERROR(__xludf.DUMMYFUNCTION("""COMPUTED_VALUE"""),"MTLSZ002687A18")</f>
        <v>MTLSZ002687A18</v>
      </c>
      <c r="I2293" s="2">
        <f ca="1">IFERROR(__xludf.DUMMYFUNCTION("""COMPUTED_VALUE"""),43356)</f>
        <v>43356</v>
      </c>
      <c r="J2293" s="2">
        <f ca="1">IFERROR(__xludf.DUMMYFUNCTION("""COMPUTED_VALUE"""),43720)</f>
        <v>43720</v>
      </c>
    </row>
    <row r="2294" spans="1:10" x14ac:dyDescent="0.25">
      <c r="A2294" s="1" t="str">
        <f ca="1">IFERROR(__xludf.DUMMYFUNCTION("""COMPUTED_VALUE"""),"DSC-SI")</f>
        <v>DSC-SI</v>
      </c>
      <c r="B2294" s="1" t="str">
        <f ca="1">IFERROR(__xludf.DUMMYFUNCTION("""COMPUTED_VALUE"""),"Kornya Luca")</f>
        <v>Kornya Luca</v>
      </c>
      <c r="C2294" s="1"/>
      <c r="D2294" s="1" t="str">
        <f ca="1">IFERROR(__xludf.DUMMYFUNCTION("""COMPUTED_VALUE"""),"Nő")</f>
        <v>Nő</v>
      </c>
      <c r="E2294" s="1"/>
      <c r="F2294" s="1">
        <f ca="1">IFERROR(__xludf.DUMMYFUNCTION("""COMPUTED_VALUE"""),2004)</f>
        <v>2004</v>
      </c>
      <c r="G2294" s="1">
        <f ca="1">IFERROR(__xludf.DUMMYFUNCTION("""COMPUTED_VALUE"""),3044)</f>
        <v>3044</v>
      </c>
      <c r="H2294" s="1" t="str">
        <f ca="1">IFERROR(__xludf.DUMMYFUNCTION("""COMPUTED_VALUE"""),"MTLSZ003044A18")</f>
        <v>MTLSZ003044A18</v>
      </c>
      <c r="I2294" s="2">
        <f ca="1">IFERROR(__xludf.DUMMYFUNCTION("""COMPUTED_VALUE"""),43356)</f>
        <v>43356</v>
      </c>
      <c r="J2294" s="2">
        <f ca="1">IFERROR(__xludf.DUMMYFUNCTION("""COMPUTED_VALUE"""),43720)</f>
        <v>43720</v>
      </c>
    </row>
    <row r="2295" spans="1:10" x14ac:dyDescent="0.25">
      <c r="A2295" s="1" t="str">
        <f ca="1">IFERROR(__xludf.DUMMYFUNCTION("""COMPUTED_VALUE"""),"NYVSC")</f>
        <v>NYVSC</v>
      </c>
      <c r="B2295" s="1" t="str">
        <f ca="1">IFERROR(__xludf.DUMMYFUNCTION("""COMPUTED_VALUE"""),"Kiss Hunor Zsolt")</f>
        <v>Kiss Hunor Zsolt</v>
      </c>
      <c r="C2295" s="1"/>
      <c r="D2295" s="1" t="str">
        <f ca="1">IFERROR(__xludf.DUMMYFUNCTION("""COMPUTED_VALUE"""),"Férfi")</f>
        <v>Férfi</v>
      </c>
      <c r="E2295" s="1"/>
      <c r="F2295" s="1">
        <f ca="1">IFERROR(__xludf.DUMMYFUNCTION("""COMPUTED_VALUE"""),2007)</f>
        <v>2007</v>
      </c>
      <c r="G2295" s="1">
        <f ca="1">IFERROR(__xludf.DUMMYFUNCTION("""COMPUTED_VALUE"""),3175)</f>
        <v>3175</v>
      </c>
      <c r="H2295" s="1" t="str">
        <f ca="1">IFERROR(__xludf.DUMMYFUNCTION("""COMPUTED_VALUE"""),"MTLSZ003175A18")</f>
        <v>MTLSZ003175A18</v>
      </c>
      <c r="I2295" s="2">
        <f ca="1">IFERROR(__xludf.DUMMYFUNCTION("""COMPUTED_VALUE"""),43356)</f>
        <v>43356</v>
      </c>
      <c r="J2295" s="2">
        <f ca="1">IFERROR(__xludf.DUMMYFUNCTION("""COMPUTED_VALUE"""),43720)</f>
        <v>43720</v>
      </c>
    </row>
    <row r="2296" spans="1:10" x14ac:dyDescent="0.25">
      <c r="A2296" s="1" t="str">
        <f ca="1">IFERROR(__xludf.DUMMYFUNCTION("""COMPUTED_VALUE"""),"NYVSC")</f>
        <v>NYVSC</v>
      </c>
      <c r="B2296" s="1" t="str">
        <f ca="1">IFERROR(__xludf.DUMMYFUNCTION("""COMPUTED_VALUE"""),"Szlávik Vivien")</f>
        <v>Szlávik Vivien</v>
      </c>
      <c r="C2296" s="1"/>
      <c r="D2296" s="1" t="str">
        <f ca="1">IFERROR(__xludf.DUMMYFUNCTION("""COMPUTED_VALUE"""),"Nő")</f>
        <v>Nő</v>
      </c>
      <c r="E2296" s="1"/>
      <c r="F2296" s="1">
        <f ca="1">IFERROR(__xludf.DUMMYFUNCTION("""COMPUTED_VALUE"""),2000)</f>
        <v>2000</v>
      </c>
      <c r="G2296" s="1">
        <f ca="1">IFERROR(__xludf.DUMMYFUNCTION("""COMPUTED_VALUE"""),2304)</f>
        <v>2304</v>
      </c>
      <c r="H2296" s="1" t="str">
        <f ca="1">IFERROR(__xludf.DUMMYFUNCTION("""COMPUTED_VALUE"""),"MTLSZ002304A18")</f>
        <v>MTLSZ002304A18</v>
      </c>
      <c r="I2296" s="2">
        <f ca="1">IFERROR(__xludf.DUMMYFUNCTION("""COMPUTED_VALUE"""),43356)</f>
        <v>43356</v>
      </c>
      <c r="J2296" s="2">
        <f ca="1">IFERROR(__xludf.DUMMYFUNCTION("""COMPUTED_VALUE"""),43720)</f>
        <v>43720</v>
      </c>
    </row>
    <row r="2297" spans="1:10" x14ac:dyDescent="0.25">
      <c r="A2297" s="1" t="str">
        <f ca="1">IFERROR(__xludf.DUMMYFUNCTION("""COMPUTED_VALUE"""),"NYVSC")</f>
        <v>NYVSC</v>
      </c>
      <c r="B2297" s="1" t="str">
        <f ca="1">IFERROR(__xludf.DUMMYFUNCTION("""COMPUTED_VALUE"""),"Tomasovszki Zsófia")</f>
        <v>Tomasovszki Zsófia</v>
      </c>
      <c r="C2297" s="1"/>
      <c r="D2297" s="1" t="str">
        <f ca="1">IFERROR(__xludf.DUMMYFUNCTION("""COMPUTED_VALUE"""),"Nő")</f>
        <v>Nő</v>
      </c>
      <c r="E2297" s="1"/>
      <c r="F2297" s="1">
        <f ca="1">IFERROR(__xludf.DUMMYFUNCTION("""COMPUTED_VALUE"""),2008)</f>
        <v>2008</v>
      </c>
      <c r="G2297" s="1">
        <f ca="1">IFERROR(__xludf.DUMMYFUNCTION("""COMPUTED_VALUE"""),2855)</f>
        <v>2855</v>
      </c>
      <c r="H2297" s="1" t="str">
        <f ca="1">IFERROR(__xludf.DUMMYFUNCTION("""COMPUTED_VALUE"""),"MTLSZ002855A18")</f>
        <v>MTLSZ002855A18</v>
      </c>
      <c r="I2297" s="2">
        <f ca="1">IFERROR(__xludf.DUMMYFUNCTION("""COMPUTED_VALUE"""),43356)</f>
        <v>43356</v>
      </c>
      <c r="J2297" s="2">
        <f ca="1">IFERROR(__xludf.DUMMYFUNCTION("""COMPUTED_VALUE"""),43720)</f>
        <v>43720</v>
      </c>
    </row>
    <row r="2298" spans="1:10" x14ac:dyDescent="0.25">
      <c r="A2298" s="1" t="str">
        <f ca="1">IFERROR(__xludf.DUMMYFUNCTION("""COMPUTED_VALUE"""),"NYVSC")</f>
        <v>NYVSC</v>
      </c>
      <c r="B2298" s="1" t="str">
        <f ca="1">IFERROR(__xludf.DUMMYFUNCTION("""COMPUTED_VALUE"""),"Vincze Gyöngyvér")</f>
        <v>Vincze Gyöngyvér</v>
      </c>
      <c r="C2298" s="1"/>
      <c r="D2298" s="1" t="str">
        <f ca="1">IFERROR(__xludf.DUMMYFUNCTION("""COMPUTED_VALUE"""),"Nő")</f>
        <v>Nő</v>
      </c>
      <c r="E2298" s="1"/>
      <c r="F2298" s="1">
        <f ca="1">IFERROR(__xludf.DUMMYFUNCTION("""COMPUTED_VALUE"""),2002)</f>
        <v>2002</v>
      </c>
      <c r="G2298" s="1">
        <f ca="1">IFERROR(__xludf.DUMMYFUNCTION("""COMPUTED_VALUE"""),2302)</f>
        <v>2302</v>
      </c>
      <c r="H2298" s="1" t="str">
        <f ca="1">IFERROR(__xludf.DUMMYFUNCTION("""COMPUTED_VALUE"""),"MTLSZ002302A18")</f>
        <v>MTLSZ002302A18</v>
      </c>
      <c r="I2298" s="2">
        <f ca="1">IFERROR(__xludf.DUMMYFUNCTION("""COMPUTED_VALUE"""),43356)</f>
        <v>43356</v>
      </c>
      <c r="J2298" s="2">
        <f ca="1">IFERROR(__xludf.DUMMYFUNCTION("""COMPUTED_VALUE"""),43720)</f>
        <v>43720</v>
      </c>
    </row>
    <row r="2299" spans="1:10" x14ac:dyDescent="0.25">
      <c r="A2299" s="1" t="str">
        <f ca="1">IFERROR(__xludf.DUMMYFUNCTION("""COMPUTED_VALUE"""),"NYVSC")</f>
        <v>NYVSC</v>
      </c>
      <c r="B2299" s="1" t="str">
        <f ca="1">IFERROR(__xludf.DUMMYFUNCTION("""COMPUTED_VALUE"""),"Vitéz Panna")</f>
        <v>Vitéz Panna</v>
      </c>
      <c r="C2299" s="1"/>
      <c r="D2299" s="1" t="str">
        <f ca="1">IFERROR(__xludf.DUMMYFUNCTION("""COMPUTED_VALUE"""),"Nő")</f>
        <v>Nő</v>
      </c>
      <c r="E2299" s="1"/>
      <c r="F2299" s="1">
        <f ca="1">IFERROR(__xludf.DUMMYFUNCTION("""COMPUTED_VALUE"""),2005)</f>
        <v>2005</v>
      </c>
      <c r="G2299" s="1">
        <f ca="1">IFERROR(__xludf.DUMMYFUNCTION("""COMPUTED_VALUE"""),2856)</f>
        <v>2856</v>
      </c>
      <c r="H2299" s="1" t="str">
        <f ca="1">IFERROR(__xludf.DUMMYFUNCTION("""COMPUTED_VALUE"""),"MTLSZ002856A18")</f>
        <v>MTLSZ002856A18</v>
      </c>
      <c r="I2299" s="2">
        <f ca="1">IFERROR(__xludf.DUMMYFUNCTION("""COMPUTED_VALUE"""),43356)</f>
        <v>43356</v>
      </c>
      <c r="J2299" s="2">
        <f ca="1">IFERROR(__xludf.DUMMYFUNCTION("""COMPUTED_VALUE"""),43720)</f>
        <v>43720</v>
      </c>
    </row>
    <row r="2300" spans="1:10" x14ac:dyDescent="0.25">
      <c r="A2300" s="1" t="str">
        <f ca="1">IFERROR(__xludf.DUMMYFUNCTION("""COMPUTED_VALUE"""),"Vízművek SK")</f>
        <v>Vízművek SK</v>
      </c>
      <c r="B2300" s="1" t="str">
        <f ca="1">IFERROR(__xludf.DUMMYFUNCTION("""COMPUTED_VALUE"""),"Pandur Boglárka")</f>
        <v>Pandur Boglárka</v>
      </c>
      <c r="C2300" s="1"/>
      <c r="D2300" s="1" t="str">
        <f ca="1">IFERROR(__xludf.DUMMYFUNCTION("""COMPUTED_VALUE"""),"Nő")</f>
        <v>Nő</v>
      </c>
      <c r="E2300" s="1"/>
      <c r="F2300" s="1">
        <f ca="1">IFERROR(__xludf.DUMMYFUNCTION("""COMPUTED_VALUE"""),2003)</f>
        <v>2003</v>
      </c>
      <c r="G2300" s="1">
        <f ca="1">IFERROR(__xludf.DUMMYFUNCTION("""COMPUTED_VALUE"""),2502)</f>
        <v>2502</v>
      </c>
      <c r="H2300" s="1" t="str">
        <f ca="1">IFERROR(__xludf.DUMMYFUNCTION("""COMPUTED_VALUE"""),"MTLSZ002502A18")</f>
        <v>MTLSZ002502A18</v>
      </c>
      <c r="I2300" s="2">
        <f ca="1">IFERROR(__xludf.DUMMYFUNCTION("""COMPUTED_VALUE"""),43355)</f>
        <v>43355</v>
      </c>
      <c r="J2300" s="2">
        <f ca="1">IFERROR(__xludf.DUMMYFUNCTION("""COMPUTED_VALUE"""),43719)</f>
        <v>43719</v>
      </c>
    </row>
    <row r="2301" spans="1:10" x14ac:dyDescent="0.25">
      <c r="A2301" s="1" t="str">
        <f ca="1">IFERROR(__xludf.DUMMYFUNCTION("""COMPUTED_VALUE"""),"Multi Alarm SE")</f>
        <v>Multi Alarm SE</v>
      </c>
      <c r="B2301" s="1" t="str">
        <f ca="1">IFERROR(__xludf.DUMMYFUNCTION("""COMPUTED_VALUE"""),"Bereczkei Anna")</f>
        <v>Bereczkei Anna</v>
      </c>
      <c r="C2301" s="1"/>
      <c r="D2301" s="1" t="str">
        <f ca="1">IFERROR(__xludf.DUMMYFUNCTION("""COMPUTED_VALUE"""),"Nő")</f>
        <v>Nő</v>
      </c>
      <c r="E2301" s="1"/>
      <c r="F2301" s="1">
        <f ca="1">IFERROR(__xludf.DUMMYFUNCTION("""COMPUTED_VALUE"""),2003)</f>
        <v>2003</v>
      </c>
      <c r="G2301" s="1">
        <f ca="1">IFERROR(__xludf.DUMMYFUNCTION("""COMPUTED_VALUE"""),2482)</f>
        <v>2482</v>
      </c>
      <c r="H2301" s="1" t="str">
        <f ca="1">IFERROR(__xludf.DUMMYFUNCTION("""COMPUTED_VALUE"""),"MTLSZ002482A18")</f>
        <v>MTLSZ002482A18</v>
      </c>
      <c r="I2301" s="2">
        <f ca="1">IFERROR(__xludf.DUMMYFUNCTION("""COMPUTED_VALUE"""),43350)</f>
        <v>43350</v>
      </c>
      <c r="J2301" s="2">
        <f ca="1">IFERROR(__xludf.DUMMYFUNCTION("""COMPUTED_VALUE"""),43714)</f>
        <v>43714</v>
      </c>
    </row>
    <row r="2302" spans="1:10" x14ac:dyDescent="0.25">
      <c r="A2302" s="1" t="str">
        <f ca="1">IFERROR(__xludf.DUMMYFUNCTION("""COMPUTED_VALUE"""),"Multi Alarm SE")</f>
        <v>Multi Alarm SE</v>
      </c>
      <c r="B2302" s="1" t="str">
        <f ca="1">IFERROR(__xludf.DUMMYFUNCTION("""COMPUTED_VALUE"""),"Bükösdi-Garai Fédra")</f>
        <v>Bükösdi-Garai Fédra</v>
      </c>
      <c r="C2302" s="1"/>
      <c r="D2302" s="1" t="str">
        <f ca="1">IFERROR(__xludf.DUMMYFUNCTION("""COMPUTED_VALUE"""),"Nő")</f>
        <v>Nő</v>
      </c>
      <c r="E2302" s="1"/>
      <c r="F2302" s="1">
        <f ca="1">IFERROR(__xludf.DUMMYFUNCTION("""COMPUTED_VALUE"""),2003)</f>
        <v>2003</v>
      </c>
      <c r="G2302" s="1">
        <f ca="1">IFERROR(__xludf.DUMMYFUNCTION("""COMPUTED_VALUE"""),2642)</f>
        <v>2642</v>
      </c>
      <c r="H2302" s="1" t="str">
        <f ca="1">IFERROR(__xludf.DUMMYFUNCTION("""COMPUTED_VALUE"""),"MTLSZ002642A18")</f>
        <v>MTLSZ002642A18</v>
      </c>
      <c r="I2302" s="2">
        <f ca="1">IFERROR(__xludf.DUMMYFUNCTION("""COMPUTED_VALUE"""),43350)</f>
        <v>43350</v>
      </c>
      <c r="J2302" s="2">
        <f ca="1">IFERROR(__xludf.DUMMYFUNCTION("""COMPUTED_VALUE"""),43714)</f>
        <v>43714</v>
      </c>
    </row>
    <row r="2303" spans="1:10" x14ac:dyDescent="0.25">
      <c r="A2303" s="1" t="str">
        <f ca="1">IFERROR(__xludf.DUMMYFUNCTION("""COMPUTED_VALUE"""),"Multi Alarm SE")</f>
        <v>Multi Alarm SE</v>
      </c>
      <c r="B2303" s="1" t="str">
        <f ca="1">IFERROR(__xludf.DUMMYFUNCTION("""COMPUTED_VALUE"""),"Gocsál Eszter")</f>
        <v>Gocsál Eszter</v>
      </c>
      <c r="C2303" s="1"/>
      <c r="D2303" s="1" t="str">
        <f ca="1">IFERROR(__xludf.DUMMYFUNCTION("""COMPUTED_VALUE"""),"Nő")</f>
        <v>Nő</v>
      </c>
      <c r="E2303" s="1"/>
      <c r="F2303" s="1">
        <f ca="1">IFERROR(__xludf.DUMMYFUNCTION("""COMPUTED_VALUE"""),2004)</f>
        <v>2004</v>
      </c>
      <c r="G2303" s="1">
        <f ca="1">IFERROR(__xludf.DUMMYFUNCTION("""COMPUTED_VALUE"""),3001)</f>
        <v>3001</v>
      </c>
      <c r="H2303" s="1" t="str">
        <f ca="1">IFERROR(__xludf.DUMMYFUNCTION("""COMPUTED_VALUE"""),"MTLSZ003001A18")</f>
        <v>MTLSZ003001A18</v>
      </c>
      <c r="I2303" s="2">
        <f ca="1">IFERROR(__xludf.DUMMYFUNCTION("""COMPUTED_VALUE"""),43350)</f>
        <v>43350</v>
      </c>
      <c r="J2303" s="2">
        <f ca="1">IFERROR(__xludf.DUMMYFUNCTION("""COMPUTED_VALUE"""),43714)</f>
        <v>43714</v>
      </c>
    </row>
    <row r="2304" spans="1:10" x14ac:dyDescent="0.25">
      <c r="A2304" s="1" t="str">
        <f ca="1">IFERROR(__xludf.DUMMYFUNCTION("""COMPUTED_VALUE"""),"Multi Alarm SE")</f>
        <v>Multi Alarm SE</v>
      </c>
      <c r="B2304" s="1" t="str">
        <f ca="1">IFERROR(__xludf.DUMMYFUNCTION("""COMPUTED_VALUE"""),"Hernandez Arturo")</f>
        <v>Hernandez Arturo</v>
      </c>
      <c r="C2304" s="1"/>
      <c r="D2304" s="1" t="str">
        <f ca="1">IFERROR(__xludf.DUMMYFUNCTION("""COMPUTED_VALUE"""),"Férfi")</f>
        <v>Férfi</v>
      </c>
      <c r="E2304" s="1"/>
      <c r="F2304" s="1">
        <f ca="1">IFERROR(__xludf.DUMMYFUNCTION("""COMPUTED_VALUE"""),1991)</f>
        <v>1991</v>
      </c>
      <c r="G2304" s="1">
        <f ca="1">IFERROR(__xludf.DUMMYFUNCTION("""COMPUTED_VALUE"""),3164)</f>
        <v>3164</v>
      </c>
      <c r="H2304" s="1" t="str">
        <f ca="1">IFERROR(__xludf.DUMMYFUNCTION("""COMPUTED_VALUE"""),"MTLSZ003164A18")</f>
        <v>MTLSZ003164A18</v>
      </c>
      <c r="I2304" s="2">
        <f ca="1">IFERROR(__xludf.DUMMYFUNCTION("""COMPUTED_VALUE"""),43350)</f>
        <v>43350</v>
      </c>
      <c r="J2304" s="2">
        <f ca="1">IFERROR(__xludf.DUMMYFUNCTION("""COMPUTED_VALUE"""),43714)</f>
        <v>43714</v>
      </c>
    </row>
    <row r="2305" spans="1:10" x14ac:dyDescent="0.25">
      <c r="A2305" s="1" t="str">
        <f ca="1">IFERROR(__xludf.DUMMYFUNCTION("""COMPUTED_VALUE"""),"Multi Alarm SE")</f>
        <v>Multi Alarm SE</v>
      </c>
      <c r="B2305" s="1" t="str">
        <f ca="1">IFERROR(__xludf.DUMMYFUNCTION("""COMPUTED_VALUE"""),"Kulcsár Anna")</f>
        <v>Kulcsár Anna</v>
      </c>
      <c r="C2305" s="1"/>
      <c r="D2305" s="1" t="str">
        <f ca="1">IFERROR(__xludf.DUMMYFUNCTION("""COMPUTED_VALUE"""),"Nő")</f>
        <v>Nő</v>
      </c>
      <c r="E2305" s="1"/>
      <c r="F2305" s="1">
        <f ca="1">IFERROR(__xludf.DUMMYFUNCTION("""COMPUTED_VALUE"""),2005)</f>
        <v>2005</v>
      </c>
      <c r="G2305" s="1">
        <f ca="1">IFERROR(__xludf.DUMMYFUNCTION("""COMPUTED_VALUE"""),2921)</f>
        <v>2921</v>
      </c>
      <c r="H2305" s="1" t="str">
        <f ca="1">IFERROR(__xludf.DUMMYFUNCTION("""COMPUTED_VALUE"""),"MTLSZ002921A18")</f>
        <v>MTLSZ002921A18</v>
      </c>
      <c r="I2305" s="2">
        <f ca="1">IFERROR(__xludf.DUMMYFUNCTION("""COMPUTED_VALUE"""),43350)</f>
        <v>43350</v>
      </c>
      <c r="J2305" s="2">
        <f ca="1">IFERROR(__xludf.DUMMYFUNCTION("""COMPUTED_VALUE"""),43714)</f>
        <v>43714</v>
      </c>
    </row>
    <row r="2306" spans="1:10" x14ac:dyDescent="0.25">
      <c r="A2306" s="1" t="str">
        <f ca="1">IFERROR(__xludf.DUMMYFUNCTION("""COMPUTED_VALUE"""),"Multi Alarm SE")</f>
        <v>Multi Alarm SE</v>
      </c>
      <c r="B2306" s="1" t="str">
        <f ca="1">IFERROR(__xludf.DUMMYFUNCTION("""COMPUTED_VALUE"""),"Lakamagi Labieb Bin Muhzafar")</f>
        <v>Lakamagi Labieb Bin Muhzafar</v>
      </c>
      <c r="C2306" s="1"/>
      <c r="D2306" s="1" t="str">
        <f ca="1">IFERROR(__xludf.DUMMYFUNCTION("""COMPUTED_VALUE"""),"Férfi")</f>
        <v>Férfi</v>
      </c>
      <c r="E2306" s="1"/>
      <c r="F2306" s="1">
        <f ca="1">IFERROR(__xludf.DUMMYFUNCTION("""COMPUTED_VALUE"""),1998)</f>
        <v>1998</v>
      </c>
      <c r="G2306" s="1">
        <f ca="1">IFERROR(__xludf.DUMMYFUNCTION("""COMPUTED_VALUE"""),3166)</f>
        <v>3166</v>
      </c>
      <c r="H2306" s="1" t="str">
        <f ca="1">IFERROR(__xludf.DUMMYFUNCTION("""COMPUTED_VALUE"""),"MTLSZ003166A18")</f>
        <v>MTLSZ003166A18</v>
      </c>
      <c r="I2306" s="2">
        <f ca="1">IFERROR(__xludf.DUMMYFUNCTION("""COMPUTED_VALUE"""),43350)</f>
        <v>43350</v>
      </c>
      <c r="J2306" s="2">
        <f ca="1">IFERROR(__xludf.DUMMYFUNCTION("""COMPUTED_VALUE"""),43714)</f>
        <v>43714</v>
      </c>
    </row>
    <row r="2307" spans="1:10" x14ac:dyDescent="0.25">
      <c r="A2307" s="1" t="str">
        <f ca="1">IFERROR(__xludf.DUMMYFUNCTION("""COMPUTED_VALUE"""),"Multi Alarm SE")</f>
        <v>Multi Alarm SE</v>
      </c>
      <c r="B2307" s="1" t="str">
        <f ca="1">IFERROR(__xludf.DUMMYFUNCTION("""COMPUTED_VALUE"""),"Leksz Borbála")</f>
        <v>Leksz Borbála</v>
      </c>
      <c r="C2307" s="1"/>
      <c r="D2307" s="1" t="str">
        <f ca="1">IFERROR(__xludf.DUMMYFUNCTION("""COMPUTED_VALUE"""),"Nő")</f>
        <v>Nő</v>
      </c>
      <c r="E2307" s="1"/>
      <c r="F2307" s="1">
        <f ca="1">IFERROR(__xludf.DUMMYFUNCTION("""COMPUTED_VALUE"""),2009)</f>
        <v>2009</v>
      </c>
      <c r="G2307" s="1">
        <f ca="1">IFERROR(__xludf.DUMMYFUNCTION("""COMPUTED_VALUE"""),2917)</f>
        <v>2917</v>
      </c>
      <c r="H2307" s="1" t="str">
        <f ca="1">IFERROR(__xludf.DUMMYFUNCTION("""COMPUTED_VALUE"""),"MTLSZ002917A18")</f>
        <v>MTLSZ002917A18</v>
      </c>
      <c r="I2307" s="2">
        <f ca="1">IFERROR(__xludf.DUMMYFUNCTION("""COMPUTED_VALUE"""),43350)</f>
        <v>43350</v>
      </c>
      <c r="J2307" s="2">
        <f ca="1">IFERROR(__xludf.DUMMYFUNCTION("""COMPUTED_VALUE"""),43714)</f>
        <v>43714</v>
      </c>
    </row>
    <row r="2308" spans="1:10" x14ac:dyDescent="0.25">
      <c r="A2308" s="1" t="str">
        <f ca="1">IFERROR(__xludf.DUMMYFUNCTION("""COMPUTED_VALUE"""),"Multi Alarm SE")</f>
        <v>Multi Alarm SE</v>
      </c>
      <c r="B2308" s="1" t="str">
        <f ca="1">IFERROR(__xludf.DUMMYFUNCTION("""COMPUTED_VALUE"""),"Szabó Fanni")</f>
        <v>Szabó Fanni</v>
      </c>
      <c r="C2308" s="1"/>
      <c r="D2308" s="1" t="str">
        <f ca="1">IFERROR(__xludf.DUMMYFUNCTION("""COMPUTED_VALUE"""),"Nő")</f>
        <v>Nő</v>
      </c>
      <c r="E2308" s="1"/>
      <c r="F2308" s="1">
        <f ca="1">IFERROR(__xludf.DUMMYFUNCTION("""COMPUTED_VALUE"""),1998)</f>
        <v>1998</v>
      </c>
      <c r="G2308" s="1">
        <f ca="1">IFERROR(__xludf.DUMMYFUNCTION("""COMPUTED_VALUE"""),2377)</f>
        <v>2377</v>
      </c>
      <c r="H2308" s="1" t="str">
        <f ca="1">IFERROR(__xludf.DUMMYFUNCTION("""COMPUTED_VALUE"""),"MTLSZ002377A18")</f>
        <v>MTLSZ002377A18</v>
      </c>
      <c r="I2308" s="2">
        <f ca="1">IFERROR(__xludf.DUMMYFUNCTION("""COMPUTED_VALUE"""),43350)</f>
        <v>43350</v>
      </c>
      <c r="J2308" s="2">
        <f ca="1">IFERROR(__xludf.DUMMYFUNCTION("""COMPUTED_VALUE"""),43714)</f>
        <v>43714</v>
      </c>
    </row>
    <row r="2309" spans="1:10" x14ac:dyDescent="0.25">
      <c r="A2309" s="1" t="str">
        <f ca="1">IFERROR(__xludf.DUMMYFUNCTION("""COMPUTED_VALUE"""),"Multi Alarm SE")</f>
        <v>Multi Alarm SE</v>
      </c>
      <c r="B2309" s="1" t="str">
        <f ca="1">IFERROR(__xludf.DUMMYFUNCTION("""COMPUTED_VALUE"""),"Ugalde Mariana Campo")</f>
        <v>Ugalde Mariana Campo</v>
      </c>
      <c r="C2309" s="1"/>
      <c r="D2309" s="1" t="str">
        <f ca="1">IFERROR(__xludf.DUMMYFUNCTION("""COMPUTED_VALUE"""),"Nő")</f>
        <v>Nő</v>
      </c>
      <c r="E2309" s="1"/>
      <c r="F2309" s="1">
        <f ca="1">IFERROR(__xludf.DUMMYFUNCTION("""COMPUTED_VALUE"""),1993)</f>
        <v>1993</v>
      </c>
      <c r="G2309" s="1">
        <f ca="1">IFERROR(__xludf.DUMMYFUNCTION("""COMPUTED_VALUE"""),3165)</f>
        <v>3165</v>
      </c>
      <c r="H2309" s="1" t="str">
        <f ca="1">IFERROR(__xludf.DUMMYFUNCTION("""COMPUTED_VALUE"""),"MTLSZ003165A18")</f>
        <v>MTLSZ003165A18</v>
      </c>
      <c r="I2309" s="2">
        <f ca="1">IFERROR(__xludf.DUMMYFUNCTION("""COMPUTED_VALUE"""),43350)</f>
        <v>43350</v>
      </c>
      <c r="J2309" s="2">
        <f ca="1">IFERROR(__xludf.DUMMYFUNCTION("""COMPUTED_VALUE"""),43714)</f>
        <v>43714</v>
      </c>
    </row>
    <row r="2310" spans="1:10" x14ac:dyDescent="0.25">
      <c r="A2310" s="1" t="str">
        <f ca="1">IFERROR(__xludf.DUMMYFUNCTION("""COMPUTED_VALUE"""),"Multi Alarm SE")</f>
        <v>Multi Alarm SE</v>
      </c>
      <c r="B2310" s="1" t="str">
        <f ca="1">IFERROR(__xludf.DUMMYFUNCTION("""COMPUTED_VALUE"""),"Varga Boróka")</f>
        <v>Varga Boróka</v>
      </c>
      <c r="C2310" s="1"/>
      <c r="D2310" s="1" t="str">
        <f ca="1">IFERROR(__xludf.DUMMYFUNCTION("""COMPUTED_VALUE"""),"Nő")</f>
        <v>Nő</v>
      </c>
      <c r="E2310" s="1"/>
      <c r="F2310" s="1">
        <f ca="1">IFERROR(__xludf.DUMMYFUNCTION("""COMPUTED_VALUE"""),2001)</f>
        <v>2001</v>
      </c>
      <c r="G2310" s="1">
        <f ca="1">IFERROR(__xludf.DUMMYFUNCTION("""COMPUTED_VALUE"""),2365)</f>
        <v>2365</v>
      </c>
      <c r="H2310" s="1" t="str">
        <f ca="1">IFERROR(__xludf.DUMMYFUNCTION("""COMPUTED_VALUE"""),"MTLSZ002365A18")</f>
        <v>MTLSZ002365A18</v>
      </c>
      <c r="I2310" s="2">
        <f ca="1">IFERROR(__xludf.DUMMYFUNCTION("""COMPUTED_VALUE"""),43350)</f>
        <v>43350</v>
      </c>
      <c r="J2310" s="2">
        <f ca="1">IFERROR(__xludf.DUMMYFUNCTION("""COMPUTED_VALUE"""),43714)</f>
        <v>43714</v>
      </c>
    </row>
    <row r="2311" spans="1:10" x14ac:dyDescent="0.25">
      <c r="A2311" s="1" t="str">
        <f ca="1">IFERROR(__xludf.DUMMYFUNCTION("""COMPUTED_VALUE"""),"Talentum TSE")</f>
        <v>Talentum TSE</v>
      </c>
      <c r="B2311" s="1" t="str">
        <f ca="1">IFERROR(__xludf.DUMMYFUNCTION("""COMPUTED_VALUE"""),"Girutskiy Alexander")</f>
        <v>Girutskiy Alexander</v>
      </c>
      <c r="C2311" s="1"/>
      <c r="D2311" s="1" t="str">
        <f ca="1">IFERROR(__xludf.DUMMYFUNCTION("""COMPUTED_VALUE"""),"Férfi")</f>
        <v>Férfi</v>
      </c>
      <c r="E2311" s="1"/>
      <c r="F2311" s="1">
        <f ca="1">IFERROR(__xludf.DUMMYFUNCTION("""COMPUTED_VALUE"""),2002)</f>
        <v>2002</v>
      </c>
      <c r="G2311" s="1">
        <f ca="1">IFERROR(__xludf.DUMMYFUNCTION("""COMPUTED_VALUE"""),3169)</f>
        <v>3169</v>
      </c>
      <c r="H2311" s="1" t="str">
        <f ca="1">IFERROR(__xludf.DUMMYFUNCTION("""COMPUTED_VALUE"""),"MTLSZ003169A18")</f>
        <v>MTLSZ003169A18</v>
      </c>
      <c r="I2311" s="2">
        <f ca="1">IFERROR(__xludf.DUMMYFUNCTION("""COMPUTED_VALUE"""),43350)</f>
        <v>43350</v>
      </c>
      <c r="J2311" s="2">
        <f ca="1">IFERROR(__xludf.DUMMYFUNCTION("""COMPUTED_VALUE"""),43714)</f>
        <v>43714</v>
      </c>
    </row>
    <row r="2312" spans="1:10" x14ac:dyDescent="0.25">
      <c r="A2312" s="1" t="str">
        <f ca="1">IFERROR(__xludf.DUMMYFUNCTION("""COMPUTED_VALUE"""),"T(r)ollas SE")</f>
        <v>T(r)ollas SE</v>
      </c>
      <c r="B2312" s="1" t="str">
        <f ca="1">IFERROR(__xludf.DUMMYFUNCTION("""COMPUTED_VALUE"""),"Chua Boon Tat Desmond")</f>
        <v>Chua Boon Tat Desmond</v>
      </c>
      <c r="C2312" s="1"/>
      <c r="D2312" s="1" t="str">
        <f ca="1">IFERROR(__xludf.DUMMYFUNCTION("""COMPUTED_VALUE"""),"Férfi")</f>
        <v>Férfi</v>
      </c>
      <c r="E2312" s="1"/>
      <c r="F2312" s="1">
        <f ca="1">IFERROR(__xludf.DUMMYFUNCTION("""COMPUTED_VALUE"""),1975)</f>
        <v>1975</v>
      </c>
      <c r="G2312" s="1">
        <f ca="1">IFERROR(__xludf.DUMMYFUNCTION("""COMPUTED_VALUE"""),3161)</f>
        <v>3161</v>
      </c>
      <c r="H2312" s="1" t="str">
        <f ca="1">IFERROR(__xludf.DUMMYFUNCTION("""COMPUTED_VALUE"""),"MTLSZ003161A18")</f>
        <v>MTLSZ003161A18</v>
      </c>
      <c r="I2312" s="2">
        <f ca="1">IFERROR(__xludf.DUMMYFUNCTION("""COMPUTED_VALUE"""),43349)</f>
        <v>43349</v>
      </c>
      <c r="J2312" s="2">
        <f ca="1">IFERROR(__xludf.DUMMYFUNCTION("""COMPUTED_VALUE"""),43713)</f>
        <v>43713</v>
      </c>
    </row>
    <row r="2313" spans="1:10" x14ac:dyDescent="0.25">
      <c r="A2313" s="1" t="str">
        <f ca="1">IFERROR(__xludf.DUMMYFUNCTION("""COMPUTED_VALUE"""),"Talentum TSE")</f>
        <v>Talentum TSE</v>
      </c>
      <c r="B2313" s="1" t="str">
        <f ca="1">IFERROR(__xludf.DUMMYFUNCTION("""COMPUTED_VALUE"""),"Kónya Tamás")</f>
        <v>Kónya Tamás</v>
      </c>
      <c r="C2313" s="1"/>
      <c r="D2313" s="1" t="str">
        <f ca="1">IFERROR(__xludf.DUMMYFUNCTION("""COMPUTED_VALUE"""),"Férfi")</f>
        <v>Férfi</v>
      </c>
      <c r="E2313" s="1"/>
      <c r="F2313" s="1">
        <f ca="1">IFERROR(__xludf.DUMMYFUNCTION("""COMPUTED_VALUE"""),1987)</f>
        <v>1987</v>
      </c>
      <c r="G2313" s="1">
        <f ca="1">IFERROR(__xludf.DUMMYFUNCTION("""COMPUTED_VALUE"""),1219)</f>
        <v>1219</v>
      </c>
      <c r="H2313" s="1" t="str">
        <f ca="1">IFERROR(__xludf.DUMMYFUNCTION("""COMPUTED_VALUE"""),"MTLSZ001219A18")</f>
        <v>MTLSZ001219A18</v>
      </c>
      <c r="I2313" s="2">
        <f ca="1">IFERROR(__xludf.DUMMYFUNCTION("""COMPUTED_VALUE"""),43341)</f>
        <v>43341</v>
      </c>
      <c r="J2313" s="2">
        <f ca="1">IFERROR(__xludf.DUMMYFUNCTION("""COMPUTED_VALUE"""),43705)</f>
        <v>43705</v>
      </c>
    </row>
    <row r="2314" spans="1:10" x14ac:dyDescent="0.25">
      <c r="A2314" s="1" t="str">
        <f ca="1">IFERROR(__xludf.DUMMYFUNCTION("""COMPUTED_VALUE"""),"Hajdú TSE")</f>
        <v>Hajdú TSE</v>
      </c>
      <c r="B2314" s="1" t="str">
        <f ca="1">IFERROR(__xludf.DUMMYFUNCTION("""COMPUTED_VALUE"""),"Hegedűs Eszter")</f>
        <v>Hegedűs Eszter</v>
      </c>
      <c r="C2314" s="1"/>
      <c r="D2314" s="1" t="str">
        <f ca="1">IFERROR(__xludf.DUMMYFUNCTION("""COMPUTED_VALUE"""),"Nő")</f>
        <v>Nő</v>
      </c>
      <c r="E2314" s="1"/>
      <c r="F2314" s="1">
        <f ca="1">IFERROR(__xludf.DUMMYFUNCTION("""COMPUTED_VALUE"""),1998)</f>
        <v>1998</v>
      </c>
      <c r="G2314" s="1">
        <f ca="1">IFERROR(__xludf.DUMMYFUNCTION("""COMPUTED_VALUE"""),1845)</f>
        <v>1845</v>
      </c>
      <c r="H2314" s="1" t="str">
        <f ca="1">IFERROR(__xludf.DUMMYFUNCTION("""COMPUTED_VALUE"""),"MTLSZ001845A18")</f>
        <v>MTLSZ001845A18</v>
      </c>
      <c r="I2314" s="2">
        <f ca="1">IFERROR(__xludf.DUMMYFUNCTION("""COMPUTED_VALUE"""),43324)</f>
        <v>43324</v>
      </c>
      <c r="J2314" s="2">
        <f ca="1">IFERROR(__xludf.DUMMYFUNCTION("""COMPUTED_VALUE"""),43688)</f>
        <v>43688</v>
      </c>
    </row>
    <row r="2315" spans="1:10" x14ac:dyDescent="0.25">
      <c r="A2315" s="1" t="str">
        <f ca="1">IFERROR(__xludf.DUMMYFUNCTION("""COMPUTED_VALUE"""),"Hajdú TSE")</f>
        <v>Hajdú TSE</v>
      </c>
      <c r="B2315" s="1" t="str">
        <f ca="1">IFERROR(__xludf.DUMMYFUNCTION("""COMPUTED_VALUE"""),"Kabály Norbert")</f>
        <v>Kabály Norbert</v>
      </c>
      <c r="C2315" s="1"/>
      <c r="D2315" s="1" t="str">
        <f ca="1">IFERROR(__xludf.DUMMYFUNCTION("""COMPUTED_VALUE"""),"Férfi")</f>
        <v>Férfi</v>
      </c>
      <c r="E2315" s="1"/>
      <c r="F2315" s="1">
        <f ca="1">IFERROR(__xludf.DUMMYFUNCTION("""COMPUTED_VALUE"""),2009)</f>
        <v>2009</v>
      </c>
      <c r="G2315" s="1">
        <f ca="1">IFERROR(__xludf.DUMMYFUNCTION("""COMPUTED_VALUE"""),3091)</f>
        <v>3091</v>
      </c>
      <c r="H2315" s="1" t="str">
        <f ca="1">IFERROR(__xludf.DUMMYFUNCTION("""COMPUTED_VALUE"""),"MTLSZ003091A18")</f>
        <v>MTLSZ003091A18</v>
      </c>
      <c r="I2315" s="2">
        <f ca="1">IFERROR(__xludf.DUMMYFUNCTION("""COMPUTED_VALUE"""),43324)</f>
        <v>43324</v>
      </c>
      <c r="J2315" s="2">
        <f ca="1">IFERROR(__xludf.DUMMYFUNCTION("""COMPUTED_VALUE"""),43688)</f>
        <v>43688</v>
      </c>
    </row>
    <row r="2316" spans="1:10" x14ac:dyDescent="0.25">
      <c r="A2316" s="1" t="str">
        <f ca="1">IFERROR(__xludf.DUMMYFUNCTION("""COMPUTED_VALUE"""),"Hajdú TSE")</f>
        <v>Hajdú TSE</v>
      </c>
      <c r="B2316" s="1" t="str">
        <f ca="1">IFERROR(__xludf.DUMMYFUNCTION("""COMPUTED_VALUE"""),"Kaszás János")</f>
        <v>Kaszás János</v>
      </c>
      <c r="C2316" s="1"/>
      <c r="D2316" s="1" t="str">
        <f ca="1">IFERROR(__xludf.DUMMYFUNCTION("""COMPUTED_VALUE"""),"Férfi")</f>
        <v>Férfi</v>
      </c>
      <c r="E2316" s="1"/>
      <c r="F2316" s="1">
        <f ca="1">IFERROR(__xludf.DUMMYFUNCTION("""COMPUTED_VALUE"""),1999)</f>
        <v>1999</v>
      </c>
      <c r="G2316" s="1">
        <f ca="1">IFERROR(__xludf.DUMMYFUNCTION("""COMPUTED_VALUE"""),2316)</f>
        <v>2316</v>
      </c>
      <c r="H2316" s="1" t="str">
        <f ca="1">IFERROR(__xludf.DUMMYFUNCTION("""COMPUTED_VALUE"""),"MTLSZ002316A18")</f>
        <v>MTLSZ002316A18</v>
      </c>
      <c r="I2316" s="2">
        <f ca="1">IFERROR(__xludf.DUMMYFUNCTION("""COMPUTED_VALUE"""),43324)</f>
        <v>43324</v>
      </c>
      <c r="J2316" s="2">
        <f ca="1">IFERROR(__xludf.DUMMYFUNCTION("""COMPUTED_VALUE"""),43688)</f>
        <v>43688</v>
      </c>
    </row>
    <row r="2317" spans="1:10" x14ac:dyDescent="0.25">
      <c r="A2317" s="1" t="str">
        <f ca="1">IFERROR(__xludf.DUMMYFUNCTION("""COMPUTED_VALUE"""),"Érdi VSE")</f>
        <v>Érdi VSE</v>
      </c>
      <c r="B2317" s="1" t="str">
        <f ca="1">IFERROR(__xludf.DUMMYFUNCTION("""COMPUTED_VALUE"""),"Andorfer Vendel")</f>
        <v>Andorfer Vendel</v>
      </c>
      <c r="C2317" s="1"/>
      <c r="D2317" s="1" t="str">
        <f ca="1">IFERROR(__xludf.DUMMYFUNCTION("""COMPUTED_VALUE"""),"Férfi")</f>
        <v>Férfi</v>
      </c>
      <c r="E2317" s="1"/>
      <c r="F2317" s="1">
        <f ca="1">IFERROR(__xludf.DUMMYFUNCTION("""COMPUTED_VALUE"""),2005)</f>
        <v>2005</v>
      </c>
      <c r="G2317" s="1">
        <f ca="1">IFERROR(__xludf.DUMMYFUNCTION("""COMPUTED_VALUE"""),3147)</f>
        <v>3147</v>
      </c>
      <c r="H2317" s="1" t="str">
        <f ca="1">IFERROR(__xludf.DUMMYFUNCTION("""COMPUTED_VALUE"""),"MTLSZ003147A18")</f>
        <v>MTLSZ003147A18</v>
      </c>
      <c r="I2317" s="2">
        <f ca="1">IFERROR(__xludf.DUMMYFUNCTION("""COMPUTED_VALUE"""),43259)</f>
        <v>43259</v>
      </c>
      <c r="J2317" s="2">
        <f ca="1">IFERROR(__xludf.DUMMYFUNCTION("""COMPUTED_VALUE"""),43623)</f>
        <v>43623</v>
      </c>
    </row>
    <row r="2318" spans="1:10" x14ac:dyDescent="0.25">
      <c r="A2318" s="1" t="str">
        <f ca="1">IFERROR(__xludf.DUMMYFUNCTION("""COMPUTED_VALUE"""),"Érdi VSE")</f>
        <v>Érdi VSE</v>
      </c>
      <c r="B2318" s="1" t="str">
        <f ca="1">IFERROR(__xludf.DUMMYFUNCTION("""COMPUTED_VALUE"""),"Nika Roland Attila")</f>
        <v>Nika Roland Attila</v>
      </c>
      <c r="C2318" s="1"/>
      <c r="D2318" s="1" t="str">
        <f ca="1">IFERROR(__xludf.DUMMYFUNCTION("""COMPUTED_VALUE"""),"Férfi")</f>
        <v>Férfi</v>
      </c>
      <c r="E2318" s="1"/>
      <c r="F2318" s="1">
        <f ca="1">IFERROR(__xludf.DUMMYFUNCTION("""COMPUTED_VALUE"""),2004)</f>
        <v>2004</v>
      </c>
      <c r="G2318" s="1">
        <f ca="1">IFERROR(__xludf.DUMMYFUNCTION("""COMPUTED_VALUE"""),2702)</f>
        <v>2702</v>
      </c>
      <c r="H2318" s="1" t="str">
        <f ca="1">IFERROR(__xludf.DUMMYFUNCTION("""COMPUTED_VALUE"""),"MTLSZ002702A18")</f>
        <v>MTLSZ002702A18</v>
      </c>
      <c r="I2318" s="2">
        <f ca="1">IFERROR(__xludf.DUMMYFUNCTION("""COMPUTED_VALUE"""),43245)</f>
        <v>43245</v>
      </c>
      <c r="J2318" s="2">
        <f ca="1">IFERROR(__xludf.DUMMYFUNCTION("""COMPUTED_VALUE"""),43609)</f>
        <v>43609</v>
      </c>
    </row>
    <row r="2319" spans="1:10" x14ac:dyDescent="0.25">
      <c r="A2319" s="1" t="str">
        <f ca="1">IFERROR(__xludf.DUMMYFUNCTION("""COMPUTED_VALUE"""),"Érdi VSE")</f>
        <v>Érdi VSE</v>
      </c>
      <c r="B2319" s="1" t="str">
        <f ca="1">IFERROR(__xludf.DUMMYFUNCTION("""COMPUTED_VALUE"""),"Villás Vivien")</f>
        <v>Villás Vivien</v>
      </c>
      <c r="C2319" s="1"/>
      <c r="D2319" s="1" t="str">
        <f ca="1">IFERROR(__xludf.DUMMYFUNCTION("""COMPUTED_VALUE"""),"Nő")</f>
        <v>Nő</v>
      </c>
      <c r="E2319" s="1"/>
      <c r="F2319" s="1">
        <f ca="1">IFERROR(__xludf.DUMMYFUNCTION("""COMPUTED_VALUE"""),2005)</f>
        <v>2005</v>
      </c>
      <c r="G2319" s="1">
        <f ca="1">IFERROR(__xludf.DUMMYFUNCTION("""COMPUTED_VALUE"""),2800)</f>
        <v>2800</v>
      </c>
      <c r="H2319" s="1" t="str">
        <f ca="1">IFERROR(__xludf.DUMMYFUNCTION("""COMPUTED_VALUE"""),"MTLSZ002800A18")</f>
        <v>MTLSZ002800A18</v>
      </c>
      <c r="I2319" s="2">
        <f ca="1">IFERROR(__xludf.DUMMYFUNCTION("""COMPUTED_VALUE"""),43245)</f>
        <v>43245</v>
      </c>
      <c r="J2319" s="2">
        <f ca="1">IFERROR(__xludf.DUMMYFUNCTION("""COMPUTED_VALUE"""),43609)</f>
        <v>43609</v>
      </c>
    </row>
    <row r="2320" spans="1:10" x14ac:dyDescent="0.25">
      <c r="A2320" s="1" t="str">
        <f ca="1">IFERROR(__xludf.DUMMYFUNCTION("""COMPUTED_VALUE"""),"Ludovika SE")</f>
        <v>Ludovika SE</v>
      </c>
      <c r="B2320" s="1" t="str">
        <f ca="1">IFERROR(__xludf.DUMMYFUNCTION("""COMPUTED_VALUE"""),"Asztalos János Zsigmond")</f>
        <v>Asztalos János Zsigmond</v>
      </c>
      <c r="C2320" s="1"/>
      <c r="D2320" s="1" t="str">
        <f ca="1">IFERROR(__xludf.DUMMYFUNCTION("""COMPUTED_VALUE"""),"Férfi")</f>
        <v>Férfi</v>
      </c>
      <c r="E2320" s="1"/>
      <c r="F2320" s="1">
        <f ca="1">IFERROR(__xludf.DUMMYFUNCTION("""COMPUTED_VALUE"""),2004)</f>
        <v>2004</v>
      </c>
      <c r="G2320" s="1">
        <f ca="1">IFERROR(__xludf.DUMMYFUNCTION("""COMPUTED_VALUE"""),3134)</f>
        <v>3134</v>
      </c>
      <c r="H2320" s="1" t="str">
        <f ca="1">IFERROR(__xludf.DUMMYFUNCTION("""COMPUTED_VALUE"""),"MTLSZ003134A18")</f>
        <v>MTLSZ003134A18</v>
      </c>
      <c r="I2320" s="2">
        <f ca="1">IFERROR(__xludf.DUMMYFUNCTION("""COMPUTED_VALUE"""),43243)</f>
        <v>43243</v>
      </c>
      <c r="J2320" s="2">
        <f ca="1">IFERROR(__xludf.DUMMYFUNCTION("""COMPUTED_VALUE"""),43607)</f>
        <v>43607</v>
      </c>
    </row>
    <row r="2321" spans="1:10" x14ac:dyDescent="0.25">
      <c r="A2321" s="1" t="str">
        <f ca="1">IFERROR(__xludf.DUMMYFUNCTION("""COMPUTED_VALUE"""),"Ludovika SE")</f>
        <v>Ludovika SE</v>
      </c>
      <c r="B2321" s="1" t="str">
        <f ca="1">IFERROR(__xludf.DUMMYFUNCTION("""COMPUTED_VALUE"""),"Fazekas Ella")</f>
        <v>Fazekas Ella</v>
      </c>
      <c r="C2321" s="1"/>
      <c r="D2321" s="1" t="str">
        <f ca="1">IFERROR(__xludf.DUMMYFUNCTION("""COMPUTED_VALUE"""),"Nő")</f>
        <v>Nő</v>
      </c>
      <c r="E2321" s="1"/>
      <c r="F2321" s="1">
        <f ca="1">IFERROR(__xludf.DUMMYFUNCTION("""COMPUTED_VALUE"""),2000)</f>
        <v>2000</v>
      </c>
      <c r="G2321" s="1">
        <f ca="1">IFERROR(__xludf.DUMMYFUNCTION("""COMPUTED_VALUE"""),3137)</f>
        <v>3137</v>
      </c>
      <c r="H2321" s="1" t="str">
        <f ca="1">IFERROR(__xludf.DUMMYFUNCTION("""COMPUTED_VALUE"""),"MTLSZ003137A18")</f>
        <v>MTLSZ003137A18</v>
      </c>
      <c r="I2321" s="2">
        <f ca="1">IFERROR(__xludf.DUMMYFUNCTION("""COMPUTED_VALUE"""),43243)</f>
        <v>43243</v>
      </c>
      <c r="J2321" s="2">
        <f ca="1">IFERROR(__xludf.DUMMYFUNCTION("""COMPUTED_VALUE"""),43607)</f>
        <v>43607</v>
      </c>
    </row>
    <row r="2322" spans="1:10" x14ac:dyDescent="0.25">
      <c r="A2322" s="1" t="str">
        <f ca="1">IFERROR(__xludf.DUMMYFUNCTION("""COMPUTED_VALUE"""),"Ludovika SE")</f>
        <v>Ludovika SE</v>
      </c>
      <c r="B2322" s="1" t="str">
        <f ca="1">IFERROR(__xludf.DUMMYFUNCTION("""COMPUTED_VALUE"""),"Hadadi Kristóf")</f>
        <v>Hadadi Kristóf</v>
      </c>
      <c r="C2322" s="1"/>
      <c r="D2322" s="1" t="str">
        <f ca="1">IFERROR(__xludf.DUMMYFUNCTION("""COMPUTED_VALUE"""),"Férfi")</f>
        <v>Férfi</v>
      </c>
      <c r="E2322" s="1"/>
      <c r="F2322" s="1">
        <f ca="1">IFERROR(__xludf.DUMMYFUNCTION("""COMPUTED_VALUE"""),2001)</f>
        <v>2001</v>
      </c>
      <c r="G2322" s="1">
        <f ca="1">IFERROR(__xludf.DUMMYFUNCTION("""COMPUTED_VALUE"""),3138)</f>
        <v>3138</v>
      </c>
      <c r="H2322" s="1" t="str">
        <f ca="1">IFERROR(__xludf.DUMMYFUNCTION("""COMPUTED_VALUE"""),"MTLSZ003138A18")</f>
        <v>MTLSZ003138A18</v>
      </c>
      <c r="I2322" s="2">
        <f ca="1">IFERROR(__xludf.DUMMYFUNCTION("""COMPUTED_VALUE"""),43243)</f>
        <v>43243</v>
      </c>
      <c r="J2322" s="2">
        <f ca="1">IFERROR(__xludf.DUMMYFUNCTION("""COMPUTED_VALUE"""),43607)</f>
        <v>43607</v>
      </c>
    </row>
    <row r="2323" spans="1:10" x14ac:dyDescent="0.25">
      <c r="A2323" s="1" t="str">
        <f ca="1">IFERROR(__xludf.DUMMYFUNCTION("""COMPUTED_VALUE"""),"Ludovika SE")</f>
        <v>Ludovika SE</v>
      </c>
      <c r="B2323" s="1" t="str">
        <f ca="1">IFERROR(__xludf.DUMMYFUNCTION("""COMPUTED_VALUE"""),"Horváth Botond Levente")</f>
        <v>Horváth Botond Levente</v>
      </c>
      <c r="C2323" s="1"/>
      <c r="D2323" s="1" t="str">
        <f ca="1">IFERROR(__xludf.DUMMYFUNCTION("""COMPUTED_VALUE"""),"Férfi")</f>
        <v>Férfi</v>
      </c>
      <c r="E2323" s="1"/>
      <c r="F2323" s="1">
        <f ca="1">IFERROR(__xludf.DUMMYFUNCTION("""COMPUTED_VALUE"""),2003)</f>
        <v>2003</v>
      </c>
      <c r="G2323" s="1">
        <f ca="1">IFERROR(__xludf.DUMMYFUNCTION("""COMPUTED_VALUE"""),3140)</f>
        <v>3140</v>
      </c>
      <c r="H2323" s="1" t="str">
        <f ca="1">IFERROR(__xludf.DUMMYFUNCTION("""COMPUTED_VALUE"""),"MTLSZ003140A18")</f>
        <v>MTLSZ003140A18</v>
      </c>
      <c r="I2323" s="2">
        <f ca="1">IFERROR(__xludf.DUMMYFUNCTION("""COMPUTED_VALUE"""),43243)</f>
        <v>43243</v>
      </c>
      <c r="J2323" s="2">
        <f ca="1">IFERROR(__xludf.DUMMYFUNCTION("""COMPUTED_VALUE"""),43607)</f>
        <v>43607</v>
      </c>
    </row>
    <row r="2324" spans="1:10" x14ac:dyDescent="0.25">
      <c r="A2324" s="1" t="str">
        <f ca="1">IFERROR(__xludf.DUMMYFUNCTION("""COMPUTED_VALUE"""),"Ludovika SE")</f>
        <v>Ludovika SE</v>
      </c>
      <c r="B2324" s="1" t="str">
        <f ca="1">IFERROR(__xludf.DUMMYFUNCTION("""COMPUTED_VALUE"""),"Horváth Koppány Ágoston")</f>
        <v>Horváth Koppány Ágoston</v>
      </c>
      <c r="C2324" s="1"/>
      <c r="D2324" s="1" t="str">
        <f ca="1">IFERROR(__xludf.DUMMYFUNCTION("""COMPUTED_VALUE"""),"Férfi")</f>
        <v>Férfi</v>
      </c>
      <c r="E2324" s="1"/>
      <c r="F2324" s="1">
        <f ca="1">IFERROR(__xludf.DUMMYFUNCTION("""COMPUTED_VALUE"""),2011)</f>
        <v>2011</v>
      </c>
      <c r="G2324" s="1">
        <f ca="1">IFERROR(__xludf.DUMMYFUNCTION("""COMPUTED_VALUE"""),3141)</f>
        <v>3141</v>
      </c>
      <c r="H2324" s="1" t="str">
        <f ca="1">IFERROR(__xludf.DUMMYFUNCTION("""COMPUTED_VALUE"""),"MTLSZ003141A18")</f>
        <v>MTLSZ003141A18</v>
      </c>
      <c r="I2324" s="2">
        <f ca="1">IFERROR(__xludf.DUMMYFUNCTION("""COMPUTED_VALUE"""),43243)</f>
        <v>43243</v>
      </c>
      <c r="J2324" s="2">
        <f ca="1">IFERROR(__xludf.DUMMYFUNCTION("""COMPUTED_VALUE"""),43607)</f>
        <v>43607</v>
      </c>
    </row>
    <row r="2325" spans="1:10" x14ac:dyDescent="0.25">
      <c r="A2325" s="1" t="str">
        <f ca="1">IFERROR(__xludf.DUMMYFUNCTION("""COMPUTED_VALUE"""),"Ludovika SE")</f>
        <v>Ludovika SE</v>
      </c>
      <c r="B2325" s="1" t="str">
        <f ca="1">IFERROR(__xludf.DUMMYFUNCTION("""COMPUTED_VALUE"""),"Horváth Zoltán Kadosa")</f>
        <v>Horváth Zoltán Kadosa</v>
      </c>
      <c r="C2325" s="1"/>
      <c r="D2325" s="1" t="str">
        <f ca="1">IFERROR(__xludf.DUMMYFUNCTION("""COMPUTED_VALUE"""),"Férfi")</f>
        <v>Férfi</v>
      </c>
      <c r="E2325" s="1"/>
      <c r="F2325" s="1">
        <f ca="1">IFERROR(__xludf.DUMMYFUNCTION("""COMPUTED_VALUE"""),2013)</f>
        <v>2013</v>
      </c>
      <c r="G2325" s="1">
        <f ca="1">IFERROR(__xludf.DUMMYFUNCTION("""COMPUTED_VALUE"""),3142)</f>
        <v>3142</v>
      </c>
      <c r="H2325" s="1" t="str">
        <f ca="1">IFERROR(__xludf.DUMMYFUNCTION("""COMPUTED_VALUE"""),"MTLSZ003142A18")</f>
        <v>MTLSZ003142A18</v>
      </c>
      <c r="I2325" s="2">
        <f ca="1">IFERROR(__xludf.DUMMYFUNCTION("""COMPUTED_VALUE"""),43243)</f>
        <v>43243</v>
      </c>
      <c r="J2325" s="2">
        <f ca="1">IFERROR(__xludf.DUMMYFUNCTION("""COMPUTED_VALUE"""),43607)</f>
        <v>43607</v>
      </c>
    </row>
    <row r="2326" spans="1:10" x14ac:dyDescent="0.25">
      <c r="A2326" s="1" t="str">
        <f ca="1">IFERROR(__xludf.DUMMYFUNCTION("""COMPUTED_VALUE"""),"Ludovika SE")</f>
        <v>Ludovika SE</v>
      </c>
      <c r="B2326" s="1" t="str">
        <f ca="1">IFERROR(__xludf.DUMMYFUNCTION("""COMPUTED_VALUE"""),"Igliczki Botond")</f>
        <v>Igliczki Botond</v>
      </c>
      <c r="C2326" s="1"/>
      <c r="D2326" s="1" t="str">
        <f ca="1">IFERROR(__xludf.DUMMYFUNCTION("""COMPUTED_VALUE"""),"Férfi")</f>
        <v>Férfi</v>
      </c>
      <c r="E2326" s="1"/>
      <c r="F2326" s="1">
        <f ca="1">IFERROR(__xludf.DUMMYFUNCTION("""COMPUTED_VALUE"""),2009)</f>
        <v>2009</v>
      </c>
      <c r="G2326" s="1">
        <f ca="1">IFERROR(__xludf.DUMMYFUNCTION("""COMPUTED_VALUE"""),3143)</f>
        <v>3143</v>
      </c>
      <c r="H2326" s="1" t="str">
        <f ca="1">IFERROR(__xludf.DUMMYFUNCTION("""COMPUTED_VALUE"""),"MTLSZ003143A18")</f>
        <v>MTLSZ003143A18</v>
      </c>
      <c r="I2326" s="2">
        <f ca="1">IFERROR(__xludf.DUMMYFUNCTION("""COMPUTED_VALUE"""),43243)</f>
        <v>43243</v>
      </c>
      <c r="J2326" s="2">
        <f ca="1">IFERROR(__xludf.DUMMYFUNCTION("""COMPUTED_VALUE"""),43607)</f>
        <v>43607</v>
      </c>
    </row>
    <row r="2327" spans="1:10" x14ac:dyDescent="0.25">
      <c r="A2327" s="1" t="str">
        <f ca="1">IFERROR(__xludf.DUMMYFUNCTION("""COMPUTED_VALUE"""),"Ludovika SE")</f>
        <v>Ludovika SE</v>
      </c>
      <c r="B2327" s="1" t="str">
        <f ca="1">IFERROR(__xludf.DUMMYFUNCTION("""COMPUTED_VALUE"""),"Labancz Noémi")</f>
        <v>Labancz Noémi</v>
      </c>
      <c r="C2327" s="1"/>
      <c r="D2327" s="1" t="str">
        <f ca="1">IFERROR(__xludf.DUMMYFUNCTION("""COMPUTED_VALUE"""),"Nő")</f>
        <v>Nő</v>
      </c>
      <c r="E2327" s="1"/>
      <c r="F2327" s="1">
        <f ca="1">IFERROR(__xludf.DUMMYFUNCTION("""COMPUTED_VALUE"""),2002)</f>
        <v>2002</v>
      </c>
      <c r="G2327" s="1">
        <f ca="1">IFERROR(__xludf.DUMMYFUNCTION("""COMPUTED_VALUE"""),3144)</f>
        <v>3144</v>
      </c>
      <c r="H2327" s="1" t="str">
        <f ca="1">IFERROR(__xludf.DUMMYFUNCTION("""COMPUTED_VALUE"""),"MTLSZ003144A18")</f>
        <v>MTLSZ003144A18</v>
      </c>
      <c r="I2327" s="2">
        <f ca="1">IFERROR(__xludf.DUMMYFUNCTION("""COMPUTED_VALUE"""),43243)</f>
        <v>43243</v>
      </c>
      <c r="J2327" s="2">
        <f ca="1">IFERROR(__xludf.DUMMYFUNCTION("""COMPUTED_VALUE"""),43607)</f>
        <v>43607</v>
      </c>
    </row>
    <row r="2328" spans="1:10" x14ac:dyDescent="0.25">
      <c r="A2328" s="1" t="str">
        <f ca="1">IFERROR(__xludf.DUMMYFUNCTION("""COMPUTED_VALUE"""),"Ludovika SE")</f>
        <v>Ludovika SE</v>
      </c>
      <c r="B2328" s="1" t="str">
        <f ca="1">IFERROR(__xludf.DUMMYFUNCTION("""COMPUTED_VALUE"""),"Molnár Dániel")</f>
        <v>Molnár Dániel</v>
      </c>
      <c r="C2328" s="1"/>
      <c r="D2328" s="1" t="str">
        <f ca="1">IFERROR(__xludf.DUMMYFUNCTION("""COMPUTED_VALUE"""),"Férfi")</f>
        <v>Férfi</v>
      </c>
      <c r="E2328" s="1"/>
      <c r="F2328" s="1">
        <f ca="1">IFERROR(__xludf.DUMMYFUNCTION("""COMPUTED_VALUE"""),2003)</f>
        <v>2003</v>
      </c>
      <c r="G2328" s="1">
        <f ca="1">IFERROR(__xludf.DUMMYFUNCTION("""COMPUTED_VALUE"""),3145)</f>
        <v>3145</v>
      </c>
      <c r="H2328" s="1" t="str">
        <f ca="1">IFERROR(__xludf.DUMMYFUNCTION("""COMPUTED_VALUE"""),"MTLSZ003145A18")</f>
        <v>MTLSZ003145A18</v>
      </c>
      <c r="I2328" s="2">
        <f ca="1">IFERROR(__xludf.DUMMYFUNCTION("""COMPUTED_VALUE"""),43243)</f>
        <v>43243</v>
      </c>
      <c r="J2328" s="2">
        <f ca="1">IFERROR(__xludf.DUMMYFUNCTION("""COMPUTED_VALUE"""),43607)</f>
        <v>43607</v>
      </c>
    </row>
    <row r="2329" spans="1:10" x14ac:dyDescent="0.25">
      <c r="A2329" s="1" t="str">
        <f ca="1">IFERROR(__xludf.DUMMYFUNCTION("""COMPUTED_VALUE"""),"Seregélyesi PDSE")</f>
        <v>Seregélyesi PDSE</v>
      </c>
      <c r="B2329" s="1" t="str">
        <f ca="1">IFERROR(__xludf.DUMMYFUNCTION("""COMPUTED_VALUE"""),"Molnár Marcell")</f>
        <v>Molnár Marcell</v>
      </c>
      <c r="C2329" s="1"/>
      <c r="D2329" s="1" t="str">
        <f ca="1">IFERROR(__xludf.DUMMYFUNCTION("""COMPUTED_VALUE"""),"Férfi")</f>
        <v>Férfi</v>
      </c>
      <c r="E2329" s="1"/>
      <c r="F2329" s="1">
        <f ca="1">IFERROR(__xludf.DUMMYFUNCTION("""COMPUTED_VALUE"""),2000)</f>
        <v>2000</v>
      </c>
      <c r="G2329" s="1">
        <f ca="1">IFERROR(__xludf.DUMMYFUNCTION("""COMPUTED_VALUE"""),1881)</f>
        <v>1881</v>
      </c>
      <c r="H2329" s="1" t="str">
        <f ca="1">IFERROR(__xludf.DUMMYFUNCTION("""COMPUTED_VALUE"""),"MTLSZ001881A18")</f>
        <v>MTLSZ001881A18</v>
      </c>
      <c r="I2329" s="2">
        <f ca="1">IFERROR(__xludf.DUMMYFUNCTION("""COMPUTED_VALUE"""),43242)</f>
        <v>43242</v>
      </c>
      <c r="J2329" s="2">
        <f ca="1">IFERROR(__xludf.DUMMYFUNCTION("""COMPUTED_VALUE"""),43606)</f>
        <v>43606</v>
      </c>
    </row>
    <row r="2330" spans="1:10" x14ac:dyDescent="0.25">
      <c r="A2330" s="1" t="str">
        <f ca="1">IFERROR(__xludf.DUMMYFUNCTION("""COMPUTED_VALUE"""),"Győri TSE")</f>
        <v>Győri TSE</v>
      </c>
      <c r="B2330" s="1" t="str">
        <f ca="1">IFERROR(__xludf.DUMMYFUNCTION("""COMPUTED_VALUE"""),"Gajár Rebeka")</f>
        <v>Gajár Rebeka</v>
      </c>
      <c r="C2330" s="1"/>
      <c r="D2330" s="1" t="str">
        <f ca="1">IFERROR(__xludf.DUMMYFUNCTION("""COMPUTED_VALUE"""),"Nő")</f>
        <v>Nő</v>
      </c>
      <c r="E2330" s="1"/>
      <c r="F2330" s="1">
        <f ca="1">IFERROR(__xludf.DUMMYFUNCTION("""COMPUTED_VALUE"""),1997)</f>
        <v>1997</v>
      </c>
      <c r="G2330" s="1">
        <f ca="1">IFERROR(__xludf.DUMMYFUNCTION("""COMPUTED_VALUE"""),1899)</f>
        <v>1899</v>
      </c>
      <c r="H2330" s="1" t="str">
        <f ca="1">IFERROR(__xludf.DUMMYFUNCTION("""COMPUTED_VALUE"""),"MTLSZ001899A18")</f>
        <v>MTLSZ001899A18</v>
      </c>
      <c r="I2330" s="2">
        <f ca="1">IFERROR(__xludf.DUMMYFUNCTION("""COMPUTED_VALUE"""),43230)</f>
        <v>43230</v>
      </c>
      <c r="J2330" s="2">
        <f ca="1">IFERROR(__xludf.DUMMYFUNCTION("""COMPUTED_VALUE"""),43594)</f>
        <v>43594</v>
      </c>
    </row>
    <row r="2331" spans="1:10" x14ac:dyDescent="0.25">
      <c r="A2331" s="1" t="str">
        <f ca="1">IFERROR(__xludf.DUMMYFUNCTION("""COMPUTED_VALUE"""),"Vízművek SK")</f>
        <v>Vízművek SK</v>
      </c>
      <c r="B2331" s="1" t="str">
        <f ca="1">IFERROR(__xludf.DUMMYFUNCTION("""COMPUTED_VALUE"""),"Vida Alexandra")</f>
        <v>Vida Alexandra</v>
      </c>
      <c r="C2331" s="1"/>
      <c r="D2331" s="1" t="str">
        <f ca="1">IFERROR(__xludf.DUMMYFUNCTION("""COMPUTED_VALUE"""),"Nő")</f>
        <v>Nő</v>
      </c>
      <c r="E2331" s="1"/>
      <c r="F2331" s="1">
        <f ca="1">IFERROR(__xludf.DUMMYFUNCTION("""COMPUTED_VALUE"""),1997)</f>
        <v>1997</v>
      </c>
      <c r="G2331" s="1">
        <f ca="1">IFERROR(__xludf.DUMMYFUNCTION("""COMPUTED_VALUE"""),1984)</f>
        <v>1984</v>
      </c>
      <c r="H2331" s="1" t="str">
        <f ca="1">IFERROR(__xludf.DUMMYFUNCTION("""COMPUTED_VALUE"""),"MTLSZ001984A18")</f>
        <v>MTLSZ001984A18</v>
      </c>
      <c r="I2331" s="2">
        <f ca="1">IFERROR(__xludf.DUMMYFUNCTION("""COMPUTED_VALUE"""),43227)</f>
        <v>43227</v>
      </c>
      <c r="J2331" s="2">
        <f ca="1">IFERROR(__xludf.DUMMYFUNCTION("""COMPUTED_VALUE"""),43591)</f>
        <v>43591</v>
      </c>
    </row>
    <row r="2332" spans="1:10" x14ac:dyDescent="0.25">
      <c r="A2332" s="1" t="str">
        <f ca="1">IFERROR(__xludf.DUMMYFUNCTION("""COMPUTED_VALUE"""),"HZSE")</f>
        <v>HZSE</v>
      </c>
      <c r="B2332" s="1" t="str">
        <f ca="1">IFERROR(__xludf.DUMMYFUNCTION("""COMPUTED_VALUE"""),"Bein Clemens")</f>
        <v>Bein Clemens</v>
      </c>
      <c r="C2332" s="1"/>
      <c r="D2332" s="1" t="str">
        <f ca="1">IFERROR(__xludf.DUMMYFUNCTION("""COMPUTED_VALUE"""),"Férfi")</f>
        <v>Férfi</v>
      </c>
      <c r="E2332" s="1"/>
      <c r="F2332" s="1">
        <f ca="1">IFERROR(__xludf.DUMMYFUNCTION("""COMPUTED_VALUE"""),2003)</f>
        <v>2003</v>
      </c>
      <c r="G2332" s="1">
        <f ca="1">IFERROR(__xludf.DUMMYFUNCTION("""COMPUTED_VALUE"""),3350)</f>
        <v>3350</v>
      </c>
      <c r="H2332" s="1" t="str">
        <f ca="1">IFERROR(__xludf.DUMMYFUNCTION("""COMPUTED_VALUE"""),"MTLSZ003350A19")</f>
        <v>MTLSZ003350A19</v>
      </c>
      <c r="I2332" s="2">
        <f ca="1">IFERROR(__xludf.DUMMYFUNCTION("""COMPUTED_VALUE"""),43587)</f>
        <v>43587</v>
      </c>
      <c r="J2332" s="2">
        <f ca="1">IFERROR(__xludf.DUMMYFUNCTION("""COMPUTED_VALUE"""),43588)</f>
        <v>43588</v>
      </c>
    </row>
    <row r="2333" spans="1:10" x14ac:dyDescent="0.25">
      <c r="A2333" s="1" t="str">
        <f ca="1">IFERROR(__xludf.DUMMYFUNCTION("""COMPUTED_VALUE"""),"HZSE")</f>
        <v>HZSE</v>
      </c>
      <c r="B2333" s="1" t="str">
        <f ca="1">IFERROR(__xludf.DUMMYFUNCTION("""COMPUTED_VALUE"""),"Müller Tobias")</f>
        <v>Müller Tobias</v>
      </c>
      <c r="C2333" s="1"/>
      <c r="D2333" s="1" t="str">
        <f ca="1">IFERROR(__xludf.DUMMYFUNCTION("""COMPUTED_VALUE"""),"Férfi")</f>
        <v>Férfi</v>
      </c>
      <c r="E2333" s="1"/>
      <c r="F2333" s="1">
        <f ca="1">IFERROR(__xludf.DUMMYFUNCTION("""COMPUTED_VALUE"""),2003)</f>
        <v>2003</v>
      </c>
      <c r="G2333" s="1">
        <f ca="1">IFERROR(__xludf.DUMMYFUNCTION("""COMPUTED_VALUE"""),3348)</f>
        <v>3348</v>
      </c>
      <c r="H2333" s="1" t="str">
        <f ca="1">IFERROR(__xludf.DUMMYFUNCTION("""COMPUTED_VALUE"""),"MTLSZ003348A19")</f>
        <v>MTLSZ003348A19</v>
      </c>
      <c r="I2333" s="2">
        <f ca="1">IFERROR(__xludf.DUMMYFUNCTION("""COMPUTED_VALUE"""),43587)</f>
        <v>43587</v>
      </c>
      <c r="J2333" s="2">
        <f ca="1">IFERROR(__xludf.DUMMYFUNCTION("""COMPUTED_VALUE"""),43588)</f>
        <v>43588</v>
      </c>
    </row>
    <row r="2334" spans="1:10" x14ac:dyDescent="0.25">
      <c r="A2334" s="1" t="str">
        <f ca="1">IFERROR(__xludf.DUMMYFUNCTION("""COMPUTED_VALUE"""),"HZSE")</f>
        <v>HZSE</v>
      </c>
      <c r="B2334" s="1" t="str">
        <f ca="1">IFERROR(__xludf.DUMMYFUNCTION("""COMPUTED_VALUE"""),"Niels Spitzer")</f>
        <v>Niels Spitzer</v>
      </c>
      <c r="C2334" s="1"/>
      <c r="D2334" s="1" t="str">
        <f ca="1">IFERROR(__xludf.DUMMYFUNCTION("""COMPUTED_VALUE"""),"Férfi")</f>
        <v>Férfi</v>
      </c>
      <c r="E2334" s="1"/>
      <c r="F2334" s="1">
        <f ca="1">IFERROR(__xludf.DUMMYFUNCTION("""COMPUTED_VALUE"""),2003)</f>
        <v>2003</v>
      </c>
      <c r="G2334" s="1">
        <f ca="1">IFERROR(__xludf.DUMMYFUNCTION("""COMPUTED_VALUE"""),3352)</f>
        <v>3352</v>
      </c>
      <c r="H2334" s="1" t="str">
        <f ca="1">IFERROR(__xludf.DUMMYFUNCTION("""COMPUTED_VALUE"""),"MTLSZ003352A19")</f>
        <v>MTLSZ003352A19</v>
      </c>
      <c r="I2334" s="2">
        <f ca="1">IFERROR(__xludf.DUMMYFUNCTION("""COMPUTED_VALUE"""),43587)</f>
        <v>43587</v>
      </c>
      <c r="J2334" s="2">
        <f ca="1">IFERROR(__xludf.DUMMYFUNCTION("""COMPUTED_VALUE"""),43588)</f>
        <v>43588</v>
      </c>
    </row>
    <row r="2335" spans="1:10" x14ac:dyDescent="0.25">
      <c r="A2335" s="1" t="str">
        <f ca="1">IFERROR(__xludf.DUMMYFUNCTION("""COMPUTED_VALUE"""),"HZSE")</f>
        <v>HZSE</v>
      </c>
      <c r="B2335" s="1" t="str">
        <f ca="1">IFERROR(__xludf.DUMMYFUNCTION("""COMPUTED_VALUE"""),"Ruland Pia")</f>
        <v>Ruland Pia</v>
      </c>
      <c r="C2335" s="1"/>
      <c r="D2335" s="1" t="str">
        <f ca="1">IFERROR(__xludf.DUMMYFUNCTION("""COMPUTED_VALUE"""),"Nő")</f>
        <v>Nő</v>
      </c>
      <c r="E2335" s="1"/>
      <c r="F2335" s="1">
        <f ca="1">IFERROR(__xludf.DUMMYFUNCTION("""COMPUTED_VALUE"""),2004)</f>
        <v>2004</v>
      </c>
      <c r="G2335" s="1">
        <f ca="1">IFERROR(__xludf.DUMMYFUNCTION("""COMPUTED_VALUE"""),3347)</f>
        <v>3347</v>
      </c>
      <c r="H2335" s="1" t="str">
        <f ca="1">IFERROR(__xludf.DUMMYFUNCTION("""COMPUTED_VALUE"""),"MTLSZ003347A19")</f>
        <v>MTLSZ003347A19</v>
      </c>
      <c r="I2335" s="2">
        <f ca="1">IFERROR(__xludf.DUMMYFUNCTION("""COMPUTED_VALUE"""),43587)</f>
        <v>43587</v>
      </c>
      <c r="J2335" s="2">
        <f ca="1">IFERROR(__xludf.DUMMYFUNCTION("""COMPUTED_VALUE"""),43588)</f>
        <v>43588</v>
      </c>
    </row>
    <row r="2336" spans="1:10" x14ac:dyDescent="0.25">
      <c r="A2336" s="1" t="str">
        <f ca="1">IFERROR(__xludf.DUMMYFUNCTION("""COMPUTED_VALUE"""),"HZSE")</f>
        <v>HZSE</v>
      </c>
      <c r="B2336" s="1" t="str">
        <f ca="1">IFERROR(__xludf.DUMMYFUNCTION("""COMPUTED_VALUE"""),"Schad Gregor")</f>
        <v>Schad Gregor</v>
      </c>
      <c r="C2336" s="1"/>
      <c r="D2336" s="1" t="str">
        <f ca="1">IFERROR(__xludf.DUMMYFUNCTION("""COMPUTED_VALUE"""),"Férfi")</f>
        <v>Férfi</v>
      </c>
      <c r="E2336" s="1"/>
      <c r="F2336" s="1">
        <f ca="1">IFERROR(__xludf.DUMMYFUNCTION("""COMPUTED_VALUE"""),2002)</f>
        <v>2002</v>
      </c>
      <c r="G2336" s="1">
        <f ca="1">IFERROR(__xludf.DUMMYFUNCTION("""COMPUTED_VALUE"""),3349)</f>
        <v>3349</v>
      </c>
      <c r="H2336" s="1" t="str">
        <f ca="1">IFERROR(__xludf.DUMMYFUNCTION("""COMPUTED_VALUE"""),"MTLSZ003349A19")</f>
        <v>MTLSZ003349A19</v>
      </c>
      <c r="I2336" s="2">
        <f ca="1">IFERROR(__xludf.DUMMYFUNCTION("""COMPUTED_VALUE"""),43587)</f>
        <v>43587</v>
      </c>
      <c r="J2336" s="2">
        <f ca="1">IFERROR(__xludf.DUMMYFUNCTION("""COMPUTED_VALUE"""),43588)</f>
        <v>43588</v>
      </c>
    </row>
    <row r="2337" spans="1:10" x14ac:dyDescent="0.25">
      <c r="A2337" s="1" t="str">
        <f ca="1">IFERROR(__xludf.DUMMYFUNCTION("""COMPUTED_VALUE"""),"HZSE")</f>
        <v>HZSE</v>
      </c>
      <c r="B2337" s="1" t="str">
        <f ca="1">IFERROR(__xludf.DUMMYFUNCTION("""COMPUTED_VALUE"""),"Schwögler Emily")</f>
        <v>Schwögler Emily</v>
      </c>
      <c r="C2337" s="1"/>
      <c r="D2337" s="1" t="str">
        <f ca="1">IFERROR(__xludf.DUMMYFUNCTION("""COMPUTED_VALUE"""),"Nő")</f>
        <v>Nő</v>
      </c>
      <c r="E2337" s="1"/>
      <c r="F2337" s="1">
        <f ca="1">IFERROR(__xludf.DUMMYFUNCTION("""COMPUTED_VALUE"""),2003)</f>
        <v>2003</v>
      </c>
      <c r="G2337" s="1">
        <f ca="1">IFERROR(__xludf.DUMMYFUNCTION("""COMPUTED_VALUE"""),3351)</f>
        <v>3351</v>
      </c>
      <c r="H2337" s="1" t="str">
        <f ca="1">IFERROR(__xludf.DUMMYFUNCTION("""COMPUTED_VALUE"""),"MTLSZ003351A19")</f>
        <v>MTLSZ003351A19</v>
      </c>
      <c r="I2337" s="2">
        <f ca="1">IFERROR(__xludf.DUMMYFUNCTION("""COMPUTED_VALUE"""),43587)</f>
        <v>43587</v>
      </c>
      <c r="J2337" s="2">
        <f ca="1">IFERROR(__xludf.DUMMYFUNCTION("""COMPUTED_VALUE"""),43588)</f>
        <v>43588</v>
      </c>
    </row>
    <row r="2338" spans="1:10" x14ac:dyDescent="0.25">
      <c r="A2338" s="1" t="str">
        <f ca="1">IFERROR(__xludf.DUMMYFUNCTION("""COMPUTED_VALUE"""),"Talentum TSE")</f>
        <v>Talentum TSE</v>
      </c>
      <c r="B2338" s="1" t="str">
        <f ca="1">IFERROR(__xludf.DUMMYFUNCTION("""COMPUTED_VALUE"""),"Anderle Lambert")</f>
        <v>Anderle Lambert</v>
      </c>
      <c r="C2338" s="1"/>
      <c r="D2338" s="1" t="str">
        <f ca="1">IFERROR(__xludf.DUMMYFUNCTION("""COMPUTED_VALUE"""),"Férfi")</f>
        <v>Férfi</v>
      </c>
      <c r="E2338" s="1"/>
      <c r="F2338" s="1">
        <f ca="1">IFERROR(__xludf.DUMMYFUNCTION("""COMPUTED_VALUE"""),2004)</f>
        <v>2004</v>
      </c>
      <c r="G2338" s="1">
        <f ca="1">IFERROR(__xludf.DUMMYFUNCTION("""COMPUTED_VALUE"""),3129)</f>
        <v>3129</v>
      </c>
      <c r="H2338" s="1" t="str">
        <f ca="1">IFERROR(__xludf.DUMMYFUNCTION("""COMPUTED_VALUE"""),"MTLSZ003129A18")</f>
        <v>MTLSZ003129A18</v>
      </c>
      <c r="I2338" s="2">
        <f ca="1">IFERROR(__xludf.DUMMYFUNCTION("""COMPUTED_VALUE"""),43216)</f>
        <v>43216</v>
      </c>
      <c r="J2338" s="2">
        <f ca="1">IFERROR(__xludf.DUMMYFUNCTION("""COMPUTED_VALUE"""),43580)</f>
        <v>43580</v>
      </c>
    </row>
    <row r="2339" spans="1:10" x14ac:dyDescent="0.25">
      <c r="A2339" s="1" t="str">
        <f ca="1">IFERROR(__xludf.DUMMYFUNCTION("""COMPUTED_VALUE"""),"DSC-SI")</f>
        <v>DSC-SI</v>
      </c>
      <c r="B2339" s="1" t="str">
        <f ca="1">IFERROR(__xludf.DUMMYFUNCTION("""COMPUTED_VALUE"""),"Mátyus Marcell")</f>
        <v>Mátyus Marcell</v>
      </c>
      <c r="C2339" s="1"/>
      <c r="D2339" s="1" t="str">
        <f ca="1">IFERROR(__xludf.DUMMYFUNCTION("""COMPUTED_VALUE"""),"Férfi")</f>
        <v>Férfi</v>
      </c>
      <c r="E2339" s="1"/>
      <c r="F2339" s="1">
        <f ca="1">IFERROR(__xludf.DUMMYFUNCTION("""COMPUTED_VALUE"""),2006)</f>
        <v>2006</v>
      </c>
      <c r="G2339" s="1">
        <f ca="1">IFERROR(__xludf.DUMMYFUNCTION("""COMPUTED_VALUE"""),3128)</f>
        <v>3128</v>
      </c>
      <c r="H2339" s="1" t="str">
        <f ca="1">IFERROR(__xludf.DUMMYFUNCTION("""COMPUTED_VALUE"""),"MTLSZ003128A18")</f>
        <v>MTLSZ003128A18</v>
      </c>
      <c r="I2339" s="2">
        <f ca="1">IFERROR(__xludf.DUMMYFUNCTION("""COMPUTED_VALUE"""),43209)</f>
        <v>43209</v>
      </c>
      <c r="J2339" s="2">
        <f ca="1">IFERROR(__xludf.DUMMYFUNCTION("""COMPUTED_VALUE"""),43573)</f>
        <v>43573</v>
      </c>
    </row>
    <row r="2340" spans="1:10" x14ac:dyDescent="0.25">
      <c r="A2340" s="1" t="str">
        <f ca="1">IFERROR(__xludf.DUMMYFUNCTION("""COMPUTED_VALUE"""),"T(r)ollas SE")</f>
        <v>T(r)ollas SE</v>
      </c>
      <c r="B2340" s="1" t="str">
        <f ca="1">IFERROR(__xludf.DUMMYFUNCTION("""COMPUTED_VALUE"""),"Pothorszky Renáta")</f>
        <v>Pothorszky Renáta</v>
      </c>
      <c r="C2340" s="1"/>
      <c r="D2340" s="1" t="str">
        <f ca="1">IFERROR(__xludf.DUMMYFUNCTION("""COMPUTED_VALUE"""),"Nő")</f>
        <v>Nő</v>
      </c>
      <c r="E2340" s="1"/>
      <c r="F2340" s="1">
        <f ca="1">IFERROR(__xludf.DUMMYFUNCTION("""COMPUTED_VALUE"""),2002)</f>
        <v>2002</v>
      </c>
      <c r="G2340" s="1">
        <f ca="1">IFERROR(__xludf.DUMMYFUNCTION("""COMPUTED_VALUE"""),2213)</f>
        <v>2213</v>
      </c>
      <c r="H2340" s="1" t="str">
        <f ca="1">IFERROR(__xludf.DUMMYFUNCTION("""COMPUTED_VALUE"""),"MTLSZ002213A18")</f>
        <v>MTLSZ002213A18</v>
      </c>
      <c r="I2340" s="2">
        <f ca="1">IFERROR(__xludf.DUMMYFUNCTION("""COMPUTED_VALUE"""),43202)</f>
        <v>43202</v>
      </c>
      <c r="J2340" s="2">
        <f ca="1">IFERROR(__xludf.DUMMYFUNCTION("""COMPUTED_VALUE"""),43566)</f>
        <v>43566</v>
      </c>
    </row>
    <row r="2341" spans="1:10" x14ac:dyDescent="0.25">
      <c r="A2341" s="1" t="str">
        <f ca="1">IFERROR(__xludf.DUMMYFUNCTION("""COMPUTED_VALUE"""),"Talentum TSE")</f>
        <v>Talentum TSE</v>
      </c>
      <c r="B2341" s="1" t="str">
        <f ca="1">IFERROR(__xludf.DUMMYFUNCTION("""COMPUTED_VALUE"""),"Nógrádi Ádám")</f>
        <v>Nógrádi Ádám</v>
      </c>
      <c r="C2341" s="1"/>
      <c r="D2341" s="1" t="str">
        <f ca="1">IFERROR(__xludf.DUMMYFUNCTION("""COMPUTED_VALUE"""),"Férfi")</f>
        <v>Férfi</v>
      </c>
      <c r="E2341" s="1"/>
      <c r="F2341" s="1">
        <f ca="1">IFERROR(__xludf.DUMMYFUNCTION("""COMPUTED_VALUE"""),2003)</f>
        <v>2003</v>
      </c>
      <c r="G2341" s="1">
        <f ca="1">IFERROR(__xludf.DUMMYFUNCTION("""COMPUTED_VALUE"""),3124)</f>
        <v>3124</v>
      </c>
      <c r="H2341" s="1" t="str">
        <f ca="1">IFERROR(__xludf.DUMMYFUNCTION("""COMPUTED_VALUE"""),"MTLSZ003124A18")</f>
        <v>MTLSZ003124A18</v>
      </c>
      <c r="I2341" s="2">
        <f ca="1">IFERROR(__xludf.DUMMYFUNCTION("""COMPUTED_VALUE"""),43201)</f>
        <v>43201</v>
      </c>
      <c r="J2341" s="2">
        <f ca="1">IFERROR(__xludf.DUMMYFUNCTION("""COMPUTED_VALUE"""),43565)</f>
        <v>43565</v>
      </c>
    </row>
    <row r="2342" spans="1:10" x14ac:dyDescent="0.25">
      <c r="A2342" s="1" t="str">
        <f ca="1">IFERROR(__xludf.DUMMYFUNCTION("""COMPUTED_VALUE"""),"Ludovika SE")</f>
        <v>Ludovika SE</v>
      </c>
      <c r="B2342" s="1" t="str">
        <f ca="1">IFERROR(__xludf.DUMMYFUNCTION("""COMPUTED_VALUE"""),"Koltai Lina")</f>
        <v>Koltai Lina</v>
      </c>
      <c r="C2342" s="1"/>
      <c r="D2342" s="1" t="str">
        <f ca="1">IFERROR(__xludf.DUMMYFUNCTION("""COMPUTED_VALUE"""),"Nő")</f>
        <v>Nő</v>
      </c>
      <c r="E2342" s="1"/>
      <c r="F2342" s="1">
        <f ca="1">IFERROR(__xludf.DUMMYFUNCTION("""COMPUTED_VALUE"""),2011)</f>
        <v>2011</v>
      </c>
      <c r="G2342" s="1">
        <f ca="1">IFERROR(__xludf.DUMMYFUNCTION("""COMPUTED_VALUE"""),3115)</f>
        <v>3115</v>
      </c>
      <c r="H2342" s="1" t="str">
        <f ca="1">IFERROR(__xludf.DUMMYFUNCTION("""COMPUTED_VALUE"""),"MTLSZ003115A18")</f>
        <v>MTLSZ003115A18</v>
      </c>
      <c r="I2342" s="2">
        <f ca="1">IFERROR(__xludf.DUMMYFUNCTION("""COMPUTED_VALUE"""),43197)</f>
        <v>43197</v>
      </c>
      <c r="J2342" s="2">
        <f ca="1">IFERROR(__xludf.DUMMYFUNCTION("""COMPUTED_VALUE"""),43561)</f>
        <v>43561</v>
      </c>
    </row>
    <row r="2343" spans="1:10" x14ac:dyDescent="0.25">
      <c r="A2343" s="1" t="str">
        <f ca="1">IFERROR(__xludf.DUMMYFUNCTION("""COMPUTED_VALUE"""),"Ludovika SE")</f>
        <v>Ludovika SE</v>
      </c>
      <c r="B2343" s="1" t="str">
        <f ca="1">IFERROR(__xludf.DUMMYFUNCTION("""COMPUTED_VALUE"""),"Miskei Évi")</f>
        <v>Miskei Évi</v>
      </c>
      <c r="C2343" s="1"/>
      <c r="D2343" s="1" t="str">
        <f ca="1">IFERROR(__xludf.DUMMYFUNCTION("""COMPUTED_VALUE"""),"Nő")</f>
        <v>Nő</v>
      </c>
      <c r="E2343" s="1"/>
      <c r="F2343" s="1">
        <f ca="1">IFERROR(__xludf.DUMMYFUNCTION("""COMPUTED_VALUE"""),2008)</f>
        <v>2008</v>
      </c>
      <c r="G2343" s="1">
        <f ca="1">IFERROR(__xludf.DUMMYFUNCTION("""COMPUTED_VALUE"""),3116)</f>
        <v>3116</v>
      </c>
      <c r="H2343" s="1" t="str">
        <f ca="1">IFERROR(__xludf.DUMMYFUNCTION("""COMPUTED_VALUE"""),"MTLSZ003116A18")</f>
        <v>MTLSZ003116A18</v>
      </c>
      <c r="I2343" s="2">
        <f ca="1">IFERROR(__xludf.DUMMYFUNCTION("""COMPUTED_VALUE"""),43197)</f>
        <v>43197</v>
      </c>
      <c r="J2343" s="2">
        <f ca="1">IFERROR(__xludf.DUMMYFUNCTION("""COMPUTED_VALUE"""),43561)</f>
        <v>43561</v>
      </c>
    </row>
    <row r="2344" spans="1:10" x14ac:dyDescent="0.25">
      <c r="A2344" s="1" t="str">
        <f ca="1">IFERROR(__xludf.DUMMYFUNCTION("""COMPUTED_VALUE"""),"Ludovika SE")</f>
        <v>Ludovika SE</v>
      </c>
      <c r="B2344" s="1" t="str">
        <f ca="1">IFERROR(__xludf.DUMMYFUNCTION("""COMPUTED_VALUE"""),"Miskei Viktor")</f>
        <v>Miskei Viktor</v>
      </c>
      <c r="C2344" s="1"/>
      <c r="D2344" s="1" t="str">
        <f ca="1">IFERROR(__xludf.DUMMYFUNCTION("""COMPUTED_VALUE"""),"Férfi")</f>
        <v>Férfi</v>
      </c>
      <c r="E2344" s="1"/>
      <c r="F2344" s="1">
        <f ca="1">IFERROR(__xludf.DUMMYFUNCTION("""COMPUTED_VALUE"""),2010)</f>
        <v>2010</v>
      </c>
      <c r="G2344" s="1">
        <f ca="1">IFERROR(__xludf.DUMMYFUNCTION("""COMPUTED_VALUE"""),3117)</f>
        <v>3117</v>
      </c>
      <c r="H2344" s="1" t="str">
        <f ca="1">IFERROR(__xludf.DUMMYFUNCTION("""COMPUTED_VALUE"""),"MTLSZ003117A18")</f>
        <v>MTLSZ003117A18</v>
      </c>
      <c r="I2344" s="2">
        <f ca="1">IFERROR(__xludf.DUMMYFUNCTION("""COMPUTED_VALUE"""),43197)</f>
        <v>43197</v>
      </c>
      <c r="J2344" s="2">
        <f ca="1">IFERROR(__xludf.DUMMYFUNCTION("""COMPUTED_VALUE"""),43561)</f>
        <v>43561</v>
      </c>
    </row>
    <row r="2345" spans="1:10" x14ac:dyDescent="0.25">
      <c r="A2345" s="1" t="str">
        <f ca="1">IFERROR(__xludf.DUMMYFUNCTION("""COMPUTED_VALUE"""),"Ludovika SE")</f>
        <v>Ludovika SE</v>
      </c>
      <c r="B2345" s="1" t="str">
        <f ca="1">IFERROR(__xludf.DUMMYFUNCTION("""COMPUTED_VALUE"""),"Szikra Botond")</f>
        <v>Szikra Botond</v>
      </c>
      <c r="C2345" s="1"/>
      <c r="D2345" s="1" t="str">
        <f ca="1">IFERROR(__xludf.DUMMYFUNCTION("""COMPUTED_VALUE"""),"Férfi")</f>
        <v>Férfi</v>
      </c>
      <c r="E2345" s="1"/>
      <c r="F2345" s="1">
        <f ca="1">IFERROR(__xludf.DUMMYFUNCTION("""COMPUTED_VALUE"""),2009)</f>
        <v>2009</v>
      </c>
      <c r="G2345" s="1">
        <f ca="1">IFERROR(__xludf.DUMMYFUNCTION("""COMPUTED_VALUE"""),3118)</f>
        <v>3118</v>
      </c>
      <c r="H2345" s="1" t="str">
        <f ca="1">IFERROR(__xludf.DUMMYFUNCTION("""COMPUTED_VALUE"""),"MTLSZ003118A18")</f>
        <v>MTLSZ003118A18</v>
      </c>
      <c r="I2345" s="2">
        <f ca="1">IFERROR(__xludf.DUMMYFUNCTION("""COMPUTED_VALUE"""),43197)</f>
        <v>43197</v>
      </c>
      <c r="J2345" s="2">
        <f ca="1">IFERROR(__xludf.DUMMYFUNCTION("""COMPUTED_VALUE"""),43561)</f>
        <v>43561</v>
      </c>
    </row>
    <row r="2346" spans="1:10" x14ac:dyDescent="0.25">
      <c r="A2346" s="1" t="str">
        <f ca="1">IFERROR(__xludf.DUMMYFUNCTION("""COMPUTED_VALUE"""),"Ludovika SE")</f>
        <v>Ludovika SE</v>
      </c>
      <c r="B2346" s="1" t="str">
        <f ca="1">IFERROR(__xludf.DUMMYFUNCTION("""COMPUTED_VALUE"""),"Szikra Fanni")</f>
        <v>Szikra Fanni</v>
      </c>
      <c r="C2346" s="1"/>
      <c r="D2346" s="1" t="str">
        <f ca="1">IFERROR(__xludf.DUMMYFUNCTION("""COMPUTED_VALUE"""),"Nő")</f>
        <v>Nő</v>
      </c>
      <c r="E2346" s="1"/>
      <c r="F2346" s="1">
        <f ca="1">IFERROR(__xludf.DUMMYFUNCTION("""COMPUTED_VALUE"""),2011)</f>
        <v>2011</v>
      </c>
      <c r="G2346" s="1">
        <f ca="1">IFERROR(__xludf.DUMMYFUNCTION("""COMPUTED_VALUE"""),3119)</f>
        <v>3119</v>
      </c>
      <c r="H2346" s="1" t="str">
        <f ca="1">IFERROR(__xludf.DUMMYFUNCTION("""COMPUTED_VALUE"""),"MTLSZ003119A18")</f>
        <v>MTLSZ003119A18</v>
      </c>
      <c r="I2346" s="2">
        <f ca="1">IFERROR(__xludf.DUMMYFUNCTION("""COMPUTED_VALUE"""),43197)</f>
        <v>43197</v>
      </c>
      <c r="J2346" s="2">
        <f ca="1">IFERROR(__xludf.DUMMYFUNCTION("""COMPUTED_VALUE"""),43561)</f>
        <v>43561</v>
      </c>
    </row>
    <row r="2347" spans="1:10" x14ac:dyDescent="0.25">
      <c r="A2347" s="1" t="str">
        <f ca="1">IFERROR(__xludf.DUMMYFUNCTION("""COMPUTED_VALUE"""),"Danubius KSE")</f>
        <v>Danubius KSE</v>
      </c>
      <c r="B2347" s="1" t="str">
        <f ca="1">IFERROR(__xludf.DUMMYFUNCTION("""COMPUTED_VALUE"""),"Vagyóczki Roland")</f>
        <v>Vagyóczki Roland</v>
      </c>
      <c r="C2347" s="1"/>
      <c r="D2347" s="1" t="str">
        <f ca="1">IFERROR(__xludf.DUMMYFUNCTION("""COMPUTED_VALUE"""),"Férfi")</f>
        <v>Férfi</v>
      </c>
      <c r="E2347" s="1"/>
      <c r="F2347" s="1">
        <f ca="1">IFERROR(__xludf.DUMMYFUNCTION("""COMPUTED_VALUE"""),2008)</f>
        <v>2008</v>
      </c>
      <c r="G2347" s="1">
        <f ca="1">IFERROR(__xludf.DUMMYFUNCTION("""COMPUTED_VALUE"""),2815)</f>
        <v>2815</v>
      </c>
      <c r="H2347" s="1" t="str">
        <f ca="1">IFERROR(__xludf.DUMMYFUNCTION("""COMPUTED_VALUE"""),"MTLSZ002815A18")</f>
        <v>MTLSZ002815A18</v>
      </c>
      <c r="I2347" s="2">
        <f ca="1">IFERROR(__xludf.DUMMYFUNCTION("""COMPUTED_VALUE"""),43193)</f>
        <v>43193</v>
      </c>
      <c r="J2347" s="2">
        <f ca="1">IFERROR(__xludf.DUMMYFUNCTION("""COMPUTED_VALUE"""),43557)</f>
        <v>43557</v>
      </c>
    </row>
    <row r="2348" spans="1:10" x14ac:dyDescent="0.25">
      <c r="A2348" s="1" t="str">
        <f ca="1">IFERROR(__xludf.DUMMYFUNCTION("""COMPUTED_VALUE"""),"T(r)ollas SE")</f>
        <v>T(r)ollas SE</v>
      </c>
      <c r="B2348" s="1" t="str">
        <f ca="1">IFERROR(__xludf.DUMMYFUNCTION("""COMPUTED_VALUE"""),"Fazekas László")</f>
        <v>Fazekas László</v>
      </c>
      <c r="C2348" s="1"/>
      <c r="D2348" s="1" t="str">
        <f ca="1">IFERROR(__xludf.DUMMYFUNCTION("""COMPUTED_VALUE"""),"Férfi")</f>
        <v>Férfi</v>
      </c>
      <c r="E2348" s="1"/>
      <c r="F2348" s="1">
        <f ca="1">IFERROR(__xludf.DUMMYFUNCTION("""COMPUTED_VALUE"""),1974)</f>
        <v>1974</v>
      </c>
      <c r="G2348" s="1">
        <f ca="1">IFERROR(__xludf.DUMMYFUNCTION("""COMPUTED_VALUE"""),3112)</f>
        <v>3112</v>
      </c>
      <c r="H2348" s="1" t="str">
        <f ca="1">IFERROR(__xludf.DUMMYFUNCTION("""COMPUTED_VALUE"""),"MTLSZ003112A18")</f>
        <v>MTLSZ003112A18</v>
      </c>
      <c r="I2348" s="2">
        <f ca="1">IFERROR(__xludf.DUMMYFUNCTION("""COMPUTED_VALUE"""),43172)</f>
        <v>43172</v>
      </c>
      <c r="J2348" s="2">
        <f ca="1">IFERROR(__xludf.DUMMYFUNCTION("""COMPUTED_VALUE"""),43536)</f>
        <v>43536</v>
      </c>
    </row>
    <row r="2349" spans="1:10" x14ac:dyDescent="0.25">
      <c r="A2349" s="1" t="str">
        <f ca="1">IFERROR(__xludf.DUMMYFUNCTION("""COMPUTED_VALUE"""),"T(r)ollas SE")</f>
        <v>T(r)ollas SE</v>
      </c>
      <c r="B2349" s="1" t="str">
        <f ca="1">IFERROR(__xludf.DUMMYFUNCTION("""COMPUTED_VALUE"""),"Qi Bin Yue")</f>
        <v>Qi Bin Yue</v>
      </c>
      <c r="C2349" s="1"/>
      <c r="D2349" s="1" t="str">
        <f ca="1">IFERROR(__xludf.DUMMYFUNCTION("""COMPUTED_VALUE"""),"Férfi")</f>
        <v>Férfi</v>
      </c>
      <c r="E2349" s="1"/>
      <c r="F2349" s="1">
        <f ca="1">IFERROR(__xludf.DUMMYFUNCTION("""COMPUTED_VALUE"""),2005)</f>
        <v>2005</v>
      </c>
      <c r="G2349" s="1">
        <f ca="1">IFERROR(__xludf.DUMMYFUNCTION("""COMPUTED_VALUE"""),3113)</f>
        <v>3113</v>
      </c>
      <c r="H2349" s="1" t="str">
        <f ca="1">IFERROR(__xludf.DUMMYFUNCTION("""COMPUTED_VALUE"""),"MTLSZ003113A18")</f>
        <v>MTLSZ003113A18</v>
      </c>
      <c r="I2349" s="2">
        <f ca="1">IFERROR(__xludf.DUMMYFUNCTION("""COMPUTED_VALUE"""),43172)</f>
        <v>43172</v>
      </c>
      <c r="J2349" s="2">
        <f ca="1">IFERROR(__xludf.DUMMYFUNCTION("""COMPUTED_VALUE"""),43536)</f>
        <v>43536</v>
      </c>
    </row>
    <row r="2350" spans="1:10" x14ac:dyDescent="0.25">
      <c r="A2350" s="1" t="str">
        <f ca="1">IFERROR(__xludf.DUMMYFUNCTION("""COMPUTED_VALUE"""),"T(r)ollas SE")</f>
        <v>T(r)ollas SE</v>
      </c>
      <c r="B2350" s="1" t="str">
        <f ca="1">IFERROR(__xludf.DUMMYFUNCTION("""COMPUTED_VALUE"""),"Zhican Quan")</f>
        <v>Zhican Quan</v>
      </c>
      <c r="C2350" s="1"/>
      <c r="D2350" s="1" t="str">
        <f ca="1">IFERROR(__xludf.DUMMYFUNCTION("""COMPUTED_VALUE"""),"Férfi")</f>
        <v>Férfi</v>
      </c>
      <c r="E2350" s="1"/>
      <c r="F2350" s="1">
        <f ca="1">IFERROR(__xludf.DUMMYFUNCTION("""COMPUTED_VALUE"""),2005)</f>
        <v>2005</v>
      </c>
      <c r="G2350" s="1">
        <f ca="1">IFERROR(__xludf.DUMMYFUNCTION("""COMPUTED_VALUE"""),3114)</f>
        <v>3114</v>
      </c>
      <c r="H2350" s="1" t="str">
        <f ca="1">IFERROR(__xludf.DUMMYFUNCTION("""COMPUTED_VALUE"""),"MTLSZ003114A18")</f>
        <v>MTLSZ003114A18</v>
      </c>
      <c r="I2350" s="2">
        <f ca="1">IFERROR(__xludf.DUMMYFUNCTION("""COMPUTED_VALUE"""),43172)</f>
        <v>43172</v>
      </c>
      <c r="J2350" s="2">
        <f ca="1">IFERROR(__xludf.DUMMYFUNCTION("""COMPUTED_VALUE"""),43536)</f>
        <v>43536</v>
      </c>
    </row>
    <row r="2351" spans="1:10" x14ac:dyDescent="0.25">
      <c r="A2351" s="1" t="str">
        <f ca="1">IFERROR(__xludf.DUMMYFUNCTION("""COMPUTED_VALUE"""),"T(r)ollas SE")</f>
        <v>T(r)ollas SE</v>
      </c>
      <c r="B2351" s="1" t="str">
        <f ca="1">IFERROR(__xludf.DUMMYFUNCTION("""COMPUTED_VALUE"""),"Bartus Péter")</f>
        <v>Bartus Péter</v>
      </c>
      <c r="C2351" s="1"/>
      <c r="D2351" s="1" t="str">
        <f ca="1">IFERROR(__xludf.DUMMYFUNCTION("""COMPUTED_VALUE"""),"Férfi")</f>
        <v>Férfi</v>
      </c>
      <c r="E2351" s="1"/>
      <c r="F2351" s="1">
        <f ca="1">IFERROR(__xludf.DUMMYFUNCTION("""COMPUTED_VALUE"""),1980)</f>
        <v>1980</v>
      </c>
      <c r="G2351" s="1">
        <f ca="1">IFERROR(__xludf.DUMMYFUNCTION("""COMPUTED_VALUE"""),3099)</f>
        <v>3099</v>
      </c>
      <c r="H2351" s="1" t="str">
        <f ca="1">IFERROR(__xludf.DUMMYFUNCTION("""COMPUTED_VALUE"""),"MTLSZ003099A18")</f>
        <v>MTLSZ003099A18</v>
      </c>
      <c r="I2351" s="2">
        <f ca="1">IFERROR(__xludf.DUMMYFUNCTION("""COMPUTED_VALUE"""),43169)</f>
        <v>43169</v>
      </c>
      <c r="J2351" s="2">
        <f ca="1">IFERROR(__xludf.DUMMYFUNCTION("""COMPUTED_VALUE"""),43533)</f>
        <v>43533</v>
      </c>
    </row>
    <row r="2352" spans="1:10" x14ac:dyDescent="0.25">
      <c r="A2352" s="1" t="str">
        <f ca="1">IFERROR(__xludf.DUMMYFUNCTION("""COMPUTED_VALUE"""),"T(r)ollas SE")</f>
        <v>T(r)ollas SE</v>
      </c>
      <c r="B2352" s="1" t="str">
        <f ca="1">IFERROR(__xludf.DUMMYFUNCTION("""COMPUTED_VALUE"""),"Fan Wei Qi")</f>
        <v>Fan Wei Qi</v>
      </c>
      <c r="C2352" s="1"/>
      <c r="D2352" s="1" t="str">
        <f ca="1">IFERROR(__xludf.DUMMYFUNCTION("""COMPUTED_VALUE"""),"Nő")</f>
        <v>Nő</v>
      </c>
      <c r="E2352" s="1"/>
      <c r="F2352" s="1">
        <f ca="1">IFERROR(__xludf.DUMMYFUNCTION("""COMPUTED_VALUE"""),2005)</f>
        <v>2005</v>
      </c>
      <c r="G2352" s="1">
        <f ca="1">IFERROR(__xludf.DUMMYFUNCTION("""COMPUTED_VALUE"""),3078)</f>
        <v>3078</v>
      </c>
      <c r="H2352" s="1" t="str">
        <f ca="1">IFERROR(__xludf.DUMMYFUNCTION("""COMPUTED_VALUE"""),"MTLSZ003078A18")</f>
        <v>MTLSZ003078A18</v>
      </c>
      <c r="I2352" s="2">
        <f ca="1">IFERROR(__xludf.DUMMYFUNCTION("""COMPUTED_VALUE"""),43169)</f>
        <v>43169</v>
      </c>
      <c r="J2352" s="2">
        <f ca="1">IFERROR(__xludf.DUMMYFUNCTION("""COMPUTED_VALUE"""),43533)</f>
        <v>43533</v>
      </c>
    </row>
    <row r="2353" spans="1:10" x14ac:dyDescent="0.25">
      <c r="A2353" s="1" t="str">
        <f ca="1">IFERROR(__xludf.DUMMYFUNCTION("""COMPUTED_VALUE"""),"T(r)ollas SE")</f>
        <v>T(r)ollas SE</v>
      </c>
      <c r="B2353" s="1" t="str">
        <f ca="1">IFERROR(__xludf.DUMMYFUNCTION("""COMPUTED_VALUE"""),"Hegedűs Eszter Dr.")</f>
        <v>Hegedűs Eszter Dr.</v>
      </c>
      <c r="C2353" s="1"/>
      <c r="D2353" s="1" t="str">
        <f ca="1">IFERROR(__xludf.DUMMYFUNCTION("""COMPUTED_VALUE"""),"Nő")</f>
        <v>Nő</v>
      </c>
      <c r="E2353" s="1"/>
      <c r="F2353" s="1">
        <f ca="1">IFERROR(__xludf.DUMMYFUNCTION("""COMPUTED_VALUE"""),1980)</f>
        <v>1980</v>
      </c>
      <c r="G2353" s="1">
        <f ca="1">IFERROR(__xludf.DUMMYFUNCTION("""COMPUTED_VALUE"""),3102)</f>
        <v>3102</v>
      </c>
      <c r="H2353" s="1" t="str">
        <f ca="1">IFERROR(__xludf.DUMMYFUNCTION("""COMPUTED_VALUE"""),"MTLSZ003102A18")</f>
        <v>MTLSZ003102A18</v>
      </c>
      <c r="I2353" s="2">
        <f ca="1">IFERROR(__xludf.DUMMYFUNCTION("""COMPUTED_VALUE"""),43169)</f>
        <v>43169</v>
      </c>
      <c r="J2353" s="2">
        <f ca="1">IFERROR(__xludf.DUMMYFUNCTION("""COMPUTED_VALUE"""),43533)</f>
        <v>43533</v>
      </c>
    </row>
    <row r="2354" spans="1:10" x14ac:dyDescent="0.25">
      <c r="A2354" s="1" t="str">
        <f ca="1">IFERROR(__xludf.DUMMYFUNCTION("""COMPUTED_VALUE"""),"T(r)ollas SE")</f>
        <v>T(r)ollas SE</v>
      </c>
      <c r="B2354" s="1" t="str">
        <f ca="1">IFERROR(__xludf.DUMMYFUNCTION("""COMPUTED_VALUE"""),"Rusvai Tamás")</f>
        <v>Rusvai Tamás</v>
      </c>
      <c r="C2354" s="1"/>
      <c r="D2354" s="1" t="str">
        <f ca="1">IFERROR(__xludf.DUMMYFUNCTION("""COMPUTED_VALUE"""),"Férfi")</f>
        <v>Férfi</v>
      </c>
      <c r="E2354" s="1"/>
      <c r="F2354" s="1">
        <f ca="1">IFERROR(__xludf.DUMMYFUNCTION("""COMPUTED_VALUE"""),1992)</f>
        <v>1992</v>
      </c>
      <c r="G2354" s="1">
        <f ca="1">IFERROR(__xludf.DUMMYFUNCTION("""COMPUTED_VALUE"""),1586)</f>
        <v>1586</v>
      </c>
      <c r="H2354" s="1" t="str">
        <f ca="1">IFERROR(__xludf.DUMMYFUNCTION("""COMPUTED_VALUE"""),"MTLSZ001586A18")</f>
        <v>MTLSZ001586A18</v>
      </c>
      <c r="I2354" s="2">
        <f ca="1">IFERROR(__xludf.DUMMYFUNCTION("""COMPUTED_VALUE"""),43169)</f>
        <v>43169</v>
      </c>
      <c r="J2354" s="2">
        <f ca="1">IFERROR(__xludf.DUMMYFUNCTION("""COMPUTED_VALUE"""),43533)</f>
        <v>43533</v>
      </c>
    </row>
    <row r="2355" spans="1:10" x14ac:dyDescent="0.25">
      <c r="A2355" s="1" t="str">
        <f ca="1">IFERROR(__xludf.DUMMYFUNCTION("""COMPUTED_VALUE"""),"T(r)ollas SE")</f>
        <v>T(r)ollas SE</v>
      </c>
      <c r="B2355" s="1" t="str">
        <f ca="1">IFERROR(__xludf.DUMMYFUNCTION("""COMPUTED_VALUE"""),"Yu Jun")</f>
        <v>Yu Jun</v>
      </c>
      <c r="C2355" s="1"/>
      <c r="D2355" s="1" t="str">
        <f ca="1">IFERROR(__xludf.DUMMYFUNCTION("""COMPUTED_VALUE"""),"Férfi")</f>
        <v>Férfi</v>
      </c>
      <c r="E2355" s="1"/>
      <c r="F2355" s="1">
        <f ca="1">IFERROR(__xludf.DUMMYFUNCTION("""COMPUTED_VALUE"""),1964)</f>
        <v>1964</v>
      </c>
      <c r="G2355" s="1">
        <f ca="1">IFERROR(__xludf.DUMMYFUNCTION("""COMPUTED_VALUE"""),3106)</f>
        <v>3106</v>
      </c>
      <c r="H2355" s="1" t="str">
        <f ca="1">IFERROR(__xludf.DUMMYFUNCTION("""COMPUTED_VALUE"""),"MTLSZ003106A18")</f>
        <v>MTLSZ003106A18</v>
      </c>
      <c r="I2355" s="2">
        <f ca="1">IFERROR(__xludf.DUMMYFUNCTION("""COMPUTED_VALUE"""),43169)</f>
        <v>43169</v>
      </c>
      <c r="J2355" s="2">
        <f ca="1">IFERROR(__xludf.DUMMYFUNCTION("""COMPUTED_VALUE"""),43533)</f>
        <v>43533</v>
      </c>
    </row>
    <row r="2356" spans="1:10" x14ac:dyDescent="0.25">
      <c r="A2356" s="1" t="str">
        <f ca="1">IFERROR(__xludf.DUMMYFUNCTION("""COMPUTED_VALUE"""),"Danubius KSE")</f>
        <v>Danubius KSE</v>
      </c>
      <c r="B2356" s="1" t="str">
        <f ca="1">IFERROR(__xludf.DUMMYFUNCTION("""COMPUTED_VALUE"""),"Dobrovitz Barabás Zoltán")</f>
        <v>Dobrovitz Barabás Zoltán</v>
      </c>
      <c r="C2356" s="1"/>
      <c r="D2356" s="1" t="str">
        <f ca="1">IFERROR(__xludf.DUMMYFUNCTION("""COMPUTED_VALUE"""),"Férfi")</f>
        <v>Férfi</v>
      </c>
      <c r="E2356" s="1"/>
      <c r="F2356" s="1">
        <f ca="1">IFERROR(__xludf.DUMMYFUNCTION("""COMPUTED_VALUE"""),2004)</f>
        <v>2004</v>
      </c>
      <c r="G2356" s="1">
        <f ca="1">IFERROR(__xludf.DUMMYFUNCTION("""COMPUTED_VALUE"""),2617)</f>
        <v>2617</v>
      </c>
      <c r="H2356" s="1" t="str">
        <f ca="1">IFERROR(__xludf.DUMMYFUNCTION("""COMPUTED_VALUE"""),"MTLSZ002617A18")</f>
        <v>MTLSZ002617A18</v>
      </c>
      <c r="I2356" s="2">
        <f ca="1">IFERROR(__xludf.DUMMYFUNCTION("""COMPUTED_VALUE"""),43152)</f>
        <v>43152</v>
      </c>
      <c r="J2356" s="2">
        <f ca="1">IFERROR(__xludf.DUMMYFUNCTION("""COMPUTED_VALUE"""),43516)</f>
        <v>43516</v>
      </c>
    </row>
    <row r="2357" spans="1:10" x14ac:dyDescent="0.25">
      <c r="A2357" s="1" t="str">
        <f ca="1">IFERROR(__xludf.DUMMYFUNCTION("""COMPUTED_VALUE"""),"Hajdú TSE")</f>
        <v>Hajdú TSE</v>
      </c>
      <c r="B2357" s="1" t="str">
        <f ca="1">IFERROR(__xludf.DUMMYFUNCTION("""COMPUTED_VALUE"""),"Czeglédi Amira")</f>
        <v>Czeglédi Amira</v>
      </c>
      <c r="C2357" s="1"/>
      <c r="D2357" s="1" t="str">
        <f ca="1">IFERROR(__xludf.DUMMYFUNCTION("""COMPUTED_VALUE"""),"Nő")</f>
        <v>Nő</v>
      </c>
      <c r="E2357" s="1"/>
      <c r="F2357" s="1">
        <f ca="1">IFERROR(__xludf.DUMMYFUNCTION("""COMPUTED_VALUE"""),2007)</f>
        <v>2007</v>
      </c>
      <c r="G2357" s="1">
        <f ca="1">IFERROR(__xludf.DUMMYFUNCTION("""COMPUTED_VALUE"""),3092)</f>
        <v>3092</v>
      </c>
      <c r="H2357" s="1" t="str">
        <f ca="1">IFERROR(__xludf.DUMMYFUNCTION("""COMPUTED_VALUE"""),"MTLSZ003092A18")</f>
        <v>MTLSZ003092A18</v>
      </c>
      <c r="I2357" s="2">
        <f ca="1">IFERROR(__xludf.DUMMYFUNCTION("""COMPUTED_VALUE"""),43139)</f>
        <v>43139</v>
      </c>
      <c r="J2357" s="2">
        <f ca="1">IFERROR(__xludf.DUMMYFUNCTION("""COMPUTED_VALUE"""),43503)</f>
        <v>43503</v>
      </c>
    </row>
    <row r="2358" spans="1:10" x14ac:dyDescent="0.25">
      <c r="A2358" s="1" t="str">
        <f ca="1">IFERROR(__xludf.DUMMYFUNCTION("""COMPUTED_VALUE"""),"Ludovika SE")</f>
        <v>Ludovika SE</v>
      </c>
      <c r="B2358" s="1" t="str">
        <f ca="1">IFERROR(__xludf.DUMMYFUNCTION("""COMPUTED_VALUE"""),"Ludmann Mira")</f>
        <v>Ludmann Mira</v>
      </c>
      <c r="C2358" s="1"/>
      <c r="D2358" s="1" t="str">
        <f ca="1">IFERROR(__xludf.DUMMYFUNCTION("""COMPUTED_VALUE"""),"Nő")</f>
        <v>Nő</v>
      </c>
      <c r="E2358" s="1"/>
      <c r="F2358" s="1">
        <f ca="1">IFERROR(__xludf.DUMMYFUNCTION("""COMPUTED_VALUE"""),2005)</f>
        <v>2005</v>
      </c>
      <c r="G2358" s="1">
        <f ca="1">IFERROR(__xludf.DUMMYFUNCTION("""COMPUTED_VALUE"""),2594)</f>
        <v>2594</v>
      </c>
      <c r="H2358" s="1" t="str">
        <f ca="1">IFERROR(__xludf.DUMMYFUNCTION("""COMPUTED_VALUE"""),"MTLSZ002594A18")</f>
        <v>MTLSZ002594A18</v>
      </c>
      <c r="I2358" s="2">
        <f ca="1">IFERROR(__xludf.DUMMYFUNCTION("""COMPUTED_VALUE"""),43119)</f>
        <v>43119</v>
      </c>
      <c r="J2358" s="2">
        <f ca="1">IFERROR(__xludf.DUMMYFUNCTION("""COMPUTED_VALUE"""),43483)</f>
        <v>43483</v>
      </c>
    </row>
    <row r="2359" spans="1:10" x14ac:dyDescent="0.25">
      <c r="A2359" s="1" t="str">
        <f ca="1">IFERROR(__xludf.DUMMYFUNCTION("""COMPUTED_VALUE"""),"Talentum TSE")</f>
        <v>Talentum TSE</v>
      </c>
      <c r="B2359" s="1" t="str">
        <f ca="1">IFERROR(__xludf.DUMMYFUNCTION("""COMPUTED_VALUE"""),"Antal Dorka")</f>
        <v>Antal Dorka</v>
      </c>
      <c r="C2359" s="1"/>
      <c r="D2359" s="1" t="str">
        <f ca="1">IFERROR(__xludf.DUMMYFUNCTION("""COMPUTED_VALUE"""),"Nő")</f>
        <v>Nő</v>
      </c>
      <c r="E2359" s="1"/>
      <c r="F2359" s="1">
        <f ca="1">IFERROR(__xludf.DUMMYFUNCTION("""COMPUTED_VALUE"""),2005)</f>
        <v>2005</v>
      </c>
      <c r="G2359" s="1">
        <f ca="1">IFERROR(__xludf.DUMMYFUNCTION("""COMPUTED_VALUE"""),2970)</f>
        <v>2970</v>
      </c>
      <c r="H2359" s="1" t="str">
        <f ca="1">IFERROR(__xludf.DUMMYFUNCTION("""COMPUTED_VALUE"""),"MTLSZ002970A18")</f>
        <v>MTLSZ002970A18</v>
      </c>
      <c r="I2359" s="2">
        <f ca="1">IFERROR(__xludf.DUMMYFUNCTION("""COMPUTED_VALUE"""),43116)</f>
        <v>43116</v>
      </c>
      <c r="J2359" s="2">
        <f ca="1">IFERROR(__xludf.DUMMYFUNCTION("""COMPUTED_VALUE"""),43480)</f>
        <v>43480</v>
      </c>
    </row>
    <row r="2360" spans="1:10" x14ac:dyDescent="0.25">
      <c r="A2360" s="1" t="str">
        <f ca="1">IFERROR(__xludf.DUMMYFUNCTION("""COMPUTED_VALUE"""),"Talentum TSE")</f>
        <v>Talentum TSE</v>
      </c>
      <c r="B2360" s="1" t="str">
        <f ca="1">IFERROR(__xludf.DUMMYFUNCTION("""COMPUTED_VALUE"""),"Pavlovsky Péter")</f>
        <v>Pavlovsky Péter</v>
      </c>
      <c r="C2360" s="1"/>
      <c r="D2360" s="1" t="str">
        <f ca="1">IFERROR(__xludf.DUMMYFUNCTION("""COMPUTED_VALUE"""),"Férfi")</f>
        <v>Férfi</v>
      </c>
      <c r="E2360" s="1"/>
      <c r="F2360" s="1">
        <f ca="1">IFERROR(__xludf.DUMMYFUNCTION("""COMPUTED_VALUE"""),2007)</f>
        <v>2007</v>
      </c>
      <c r="G2360" s="1">
        <f ca="1">IFERROR(__xludf.DUMMYFUNCTION("""COMPUTED_VALUE"""),3084)</f>
        <v>3084</v>
      </c>
      <c r="H2360" s="1" t="str">
        <f ca="1">IFERROR(__xludf.DUMMYFUNCTION("""COMPUTED_VALUE"""),"MTLSZ003084A18")</f>
        <v>MTLSZ003084A18</v>
      </c>
      <c r="I2360" s="2">
        <f ca="1">IFERROR(__xludf.DUMMYFUNCTION("""COMPUTED_VALUE"""),43116)</f>
        <v>43116</v>
      </c>
      <c r="J2360" s="2">
        <f ca="1">IFERROR(__xludf.DUMMYFUNCTION("""COMPUTED_VALUE"""),43480)</f>
        <v>43480</v>
      </c>
    </row>
    <row r="2361" spans="1:10" x14ac:dyDescent="0.25">
      <c r="A2361" s="1" t="str">
        <f ca="1">IFERROR(__xludf.DUMMYFUNCTION("""COMPUTED_VALUE"""),"MEAFC")</f>
        <v>MEAFC</v>
      </c>
      <c r="B2361" s="1" t="str">
        <f ca="1">IFERROR(__xludf.DUMMYFUNCTION("""COMPUTED_VALUE"""),"Sipos Ákos")</f>
        <v>Sipos Ákos</v>
      </c>
      <c r="C2361" s="1"/>
      <c r="D2361" s="1" t="str">
        <f ca="1">IFERROR(__xludf.DUMMYFUNCTION("""COMPUTED_VALUE"""),"Férfi")</f>
        <v>Férfi</v>
      </c>
      <c r="E2361" s="1"/>
      <c r="F2361" s="1">
        <f ca="1">IFERROR(__xludf.DUMMYFUNCTION("""COMPUTED_VALUE"""),1995)</f>
        <v>1995</v>
      </c>
      <c r="G2361" s="1">
        <f ca="1">IFERROR(__xludf.DUMMYFUNCTION("""COMPUTED_VALUE"""),3077)</f>
        <v>3077</v>
      </c>
      <c r="H2361" s="1" t="str">
        <f ca="1">IFERROR(__xludf.DUMMYFUNCTION("""COMPUTED_VALUE"""),"MTLSZ003077A17")</f>
        <v>MTLSZ003077A17</v>
      </c>
      <c r="I2361" s="2">
        <f ca="1">IFERROR(__xludf.DUMMYFUNCTION("""COMPUTED_VALUE"""),43076)</f>
        <v>43076</v>
      </c>
      <c r="J2361" s="2">
        <f ca="1">IFERROR(__xludf.DUMMYFUNCTION("""COMPUTED_VALUE"""),43440)</f>
        <v>43440</v>
      </c>
    </row>
    <row r="2362" spans="1:10" x14ac:dyDescent="0.25">
      <c r="A2362" s="1" t="str">
        <f ca="1">IFERROR(__xludf.DUMMYFUNCTION("""COMPUTED_VALUE"""),"DSC-SI")</f>
        <v>DSC-SI</v>
      </c>
      <c r="B2362" s="1" t="str">
        <f ca="1">IFERROR(__xludf.DUMMYFUNCTION("""COMPUTED_VALUE"""),"Solymosi Sára")</f>
        <v>Solymosi Sára</v>
      </c>
      <c r="C2362" s="1"/>
      <c r="D2362" s="1" t="str">
        <f ca="1">IFERROR(__xludf.DUMMYFUNCTION("""COMPUTED_VALUE"""),"Nő")</f>
        <v>Nő</v>
      </c>
      <c r="E2362" s="1"/>
      <c r="F2362" s="1">
        <f ca="1">IFERROR(__xludf.DUMMYFUNCTION("""COMPUTED_VALUE"""),2006)</f>
        <v>2006</v>
      </c>
      <c r="G2362" s="1">
        <f ca="1">IFERROR(__xludf.DUMMYFUNCTION("""COMPUTED_VALUE"""),3072)</f>
        <v>3072</v>
      </c>
      <c r="H2362" s="1" t="str">
        <f ca="1">IFERROR(__xludf.DUMMYFUNCTION("""COMPUTED_VALUE"""),"MTLSZ003072A17")</f>
        <v>MTLSZ003072A17</v>
      </c>
      <c r="I2362" s="2">
        <f ca="1">IFERROR(__xludf.DUMMYFUNCTION("""COMPUTED_VALUE"""),43070)</f>
        <v>43070</v>
      </c>
      <c r="J2362" s="2">
        <f ca="1">IFERROR(__xludf.DUMMYFUNCTION("""COMPUTED_VALUE"""),43434)</f>
        <v>43434</v>
      </c>
    </row>
    <row r="2363" spans="1:10" x14ac:dyDescent="0.25">
      <c r="A2363" s="1" t="str">
        <f ca="1">IFERROR(__xludf.DUMMYFUNCTION("""COMPUTED_VALUE"""),"Talentum TSE")</f>
        <v>Talentum TSE</v>
      </c>
      <c r="B2363" s="1" t="str">
        <f ca="1">IFERROR(__xludf.DUMMYFUNCTION("""COMPUTED_VALUE"""),"Zuggó Panna")</f>
        <v>Zuggó Panna</v>
      </c>
      <c r="C2363" s="1"/>
      <c r="D2363" s="1" t="str">
        <f ca="1">IFERROR(__xludf.DUMMYFUNCTION("""COMPUTED_VALUE"""),"Nő")</f>
        <v>Nő</v>
      </c>
      <c r="E2363" s="1"/>
      <c r="F2363" s="1">
        <f ca="1">IFERROR(__xludf.DUMMYFUNCTION("""COMPUTED_VALUE"""),2005)</f>
        <v>2005</v>
      </c>
      <c r="G2363" s="1">
        <f ca="1">IFERROR(__xludf.DUMMYFUNCTION("""COMPUTED_VALUE"""),3065)</f>
        <v>3065</v>
      </c>
      <c r="H2363" s="1" t="str">
        <f ca="1">IFERROR(__xludf.DUMMYFUNCTION("""COMPUTED_VALUE"""),"MTLSZ003065A17")</f>
        <v>MTLSZ003065A17</v>
      </c>
      <c r="I2363" s="2">
        <f ca="1">IFERROR(__xludf.DUMMYFUNCTION("""COMPUTED_VALUE"""),43070)</f>
        <v>43070</v>
      </c>
      <c r="J2363" s="2">
        <f ca="1">IFERROR(__xludf.DUMMYFUNCTION("""COMPUTED_VALUE"""),43434)</f>
        <v>43434</v>
      </c>
    </row>
    <row r="2364" spans="1:10" x14ac:dyDescent="0.25">
      <c r="A2364" s="1" t="str">
        <f ca="1">IFERROR(__xludf.DUMMYFUNCTION("""COMPUTED_VALUE"""),"Talentum TSE")</f>
        <v>Talentum TSE</v>
      </c>
      <c r="B2364" s="1" t="str">
        <f ca="1">IFERROR(__xludf.DUMMYFUNCTION("""COMPUTED_VALUE"""),"Zuggó Zsombor")</f>
        <v>Zuggó Zsombor</v>
      </c>
      <c r="C2364" s="1"/>
      <c r="D2364" s="1" t="str">
        <f ca="1">IFERROR(__xludf.DUMMYFUNCTION("""COMPUTED_VALUE"""),"Férfi")</f>
        <v>Férfi</v>
      </c>
      <c r="E2364" s="1"/>
      <c r="F2364" s="1">
        <f ca="1">IFERROR(__xludf.DUMMYFUNCTION("""COMPUTED_VALUE"""),2005)</f>
        <v>2005</v>
      </c>
      <c r="G2364" s="1">
        <f ca="1">IFERROR(__xludf.DUMMYFUNCTION("""COMPUTED_VALUE"""),3066)</f>
        <v>3066</v>
      </c>
      <c r="H2364" s="1" t="str">
        <f ca="1">IFERROR(__xludf.DUMMYFUNCTION("""COMPUTED_VALUE"""),"MTLSZ003066A17")</f>
        <v>MTLSZ003066A17</v>
      </c>
      <c r="I2364" s="2">
        <f ca="1">IFERROR(__xludf.DUMMYFUNCTION("""COMPUTED_VALUE"""),43070)</f>
        <v>43070</v>
      </c>
      <c r="J2364" s="2">
        <f ca="1">IFERROR(__xludf.DUMMYFUNCTION("""COMPUTED_VALUE"""),43434)</f>
        <v>43434</v>
      </c>
    </row>
    <row r="2365" spans="1:10" x14ac:dyDescent="0.25">
      <c r="A2365" s="1" t="str">
        <f ca="1">IFERROR(__xludf.DUMMYFUNCTION("""COMPUTED_VALUE"""),"T(r)ollas SE")</f>
        <v>T(r)ollas SE</v>
      </c>
      <c r="B2365" s="1" t="str">
        <f ca="1">IFERROR(__xludf.DUMMYFUNCTION("""COMPUTED_VALUE"""),"Hou Yun Wang")</f>
        <v>Hou Yun Wang</v>
      </c>
      <c r="C2365" s="1"/>
      <c r="D2365" s="1" t="str">
        <f ca="1">IFERROR(__xludf.DUMMYFUNCTION("""COMPUTED_VALUE"""),"Férfi")</f>
        <v>Férfi</v>
      </c>
      <c r="E2365" s="1"/>
      <c r="F2365" s="1">
        <f ca="1">IFERROR(__xludf.DUMMYFUNCTION("""COMPUTED_VALUE"""),2006)</f>
        <v>2006</v>
      </c>
      <c r="G2365" s="1">
        <f ca="1">IFERROR(__xludf.DUMMYFUNCTION("""COMPUTED_VALUE"""),3069)</f>
        <v>3069</v>
      </c>
      <c r="H2365" s="1" t="str">
        <f ca="1">IFERROR(__xludf.DUMMYFUNCTION("""COMPUTED_VALUE"""),"MTLSZ003069A17")</f>
        <v>MTLSZ003069A17</v>
      </c>
      <c r="I2365" s="2">
        <f ca="1">IFERROR(__xludf.DUMMYFUNCTION("""COMPUTED_VALUE"""),43070)</f>
        <v>43070</v>
      </c>
      <c r="J2365" s="2">
        <f ca="1">IFERROR(__xludf.DUMMYFUNCTION("""COMPUTED_VALUE"""),43434)</f>
        <v>43434</v>
      </c>
    </row>
    <row r="2366" spans="1:10" x14ac:dyDescent="0.25">
      <c r="A2366" s="1" t="str">
        <f ca="1">IFERROR(__xludf.DUMMYFUNCTION("""COMPUTED_VALUE"""),"DSC-SI")</f>
        <v>DSC-SI</v>
      </c>
      <c r="B2366" s="1" t="str">
        <f ca="1">IFERROR(__xludf.DUMMYFUNCTION("""COMPUTED_VALUE"""),"Rejtő Balázs")</f>
        <v>Rejtő Balázs</v>
      </c>
      <c r="C2366" s="1"/>
      <c r="D2366" s="1" t="str">
        <f ca="1">IFERROR(__xludf.DUMMYFUNCTION("""COMPUTED_VALUE"""),"Férfi")</f>
        <v>Férfi</v>
      </c>
      <c r="E2366" s="1"/>
      <c r="F2366" s="1">
        <f ca="1">IFERROR(__xludf.DUMMYFUNCTION("""COMPUTED_VALUE"""),2008)</f>
        <v>2008</v>
      </c>
      <c r="G2366" s="1">
        <f ca="1">IFERROR(__xludf.DUMMYFUNCTION("""COMPUTED_VALUE"""),3049)</f>
        <v>3049</v>
      </c>
      <c r="H2366" s="1" t="str">
        <f ca="1">IFERROR(__xludf.DUMMYFUNCTION("""COMPUTED_VALUE"""),"MTLSZ003049A17")</f>
        <v>MTLSZ003049A17</v>
      </c>
      <c r="I2366" s="2">
        <f ca="1">IFERROR(__xludf.DUMMYFUNCTION("""COMPUTED_VALUE"""),43060)</f>
        <v>43060</v>
      </c>
      <c r="J2366" s="2">
        <f ca="1">IFERROR(__xludf.DUMMYFUNCTION("""COMPUTED_VALUE"""),43424)</f>
        <v>43424</v>
      </c>
    </row>
    <row r="2367" spans="1:10" x14ac:dyDescent="0.25">
      <c r="A2367" s="1" t="str">
        <f ca="1">IFERROR(__xludf.DUMMYFUNCTION("""COMPUTED_VALUE"""),"DSC-SI")</f>
        <v>DSC-SI</v>
      </c>
      <c r="B2367" s="1" t="str">
        <f ca="1">IFERROR(__xludf.DUMMYFUNCTION("""COMPUTED_VALUE"""),"Veres Georgina")</f>
        <v>Veres Georgina</v>
      </c>
      <c r="C2367" s="1"/>
      <c r="D2367" s="1" t="str">
        <f ca="1">IFERROR(__xludf.DUMMYFUNCTION("""COMPUTED_VALUE"""),"Nő")</f>
        <v>Nő</v>
      </c>
      <c r="E2367" s="1"/>
      <c r="F2367" s="1">
        <f ca="1">IFERROR(__xludf.DUMMYFUNCTION("""COMPUTED_VALUE"""),2004)</f>
        <v>2004</v>
      </c>
      <c r="G2367" s="1">
        <f ca="1">IFERROR(__xludf.DUMMYFUNCTION("""COMPUTED_VALUE"""),3052)</f>
        <v>3052</v>
      </c>
      <c r="H2367" s="1" t="str">
        <f ca="1">IFERROR(__xludf.DUMMYFUNCTION("""COMPUTED_VALUE"""),"MTLSZ003052A17")</f>
        <v>MTLSZ003052A17</v>
      </c>
      <c r="I2367" s="2">
        <f ca="1">IFERROR(__xludf.DUMMYFUNCTION("""COMPUTED_VALUE"""),43060)</f>
        <v>43060</v>
      </c>
      <c r="J2367" s="2">
        <f ca="1">IFERROR(__xludf.DUMMYFUNCTION("""COMPUTED_VALUE"""),43424)</f>
        <v>43424</v>
      </c>
    </row>
    <row r="2368" spans="1:10" x14ac:dyDescent="0.25">
      <c r="A2368" s="1" t="str">
        <f ca="1">IFERROR(__xludf.DUMMYFUNCTION("""COMPUTED_VALUE"""),"Győri TSE")</f>
        <v>Győri TSE</v>
      </c>
      <c r="B2368" s="1" t="str">
        <f ca="1">IFERROR(__xludf.DUMMYFUNCTION("""COMPUTED_VALUE"""),"Szalay Zsolt")</f>
        <v>Szalay Zsolt</v>
      </c>
      <c r="C2368" s="1"/>
      <c r="D2368" s="1" t="str">
        <f ca="1">IFERROR(__xludf.DUMMYFUNCTION("""COMPUTED_VALUE"""),"Férfi")</f>
        <v>Férfi</v>
      </c>
      <c r="E2368" s="1"/>
      <c r="F2368" s="1">
        <f ca="1">IFERROR(__xludf.DUMMYFUNCTION("""COMPUTED_VALUE"""),1970)</f>
        <v>1970</v>
      </c>
      <c r="G2368" s="1">
        <f ca="1">IFERROR(__xludf.DUMMYFUNCTION("""COMPUTED_VALUE"""),2426)</f>
        <v>2426</v>
      </c>
      <c r="H2368" s="1" t="str">
        <f ca="1">IFERROR(__xludf.DUMMYFUNCTION("""COMPUTED_VALUE"""),"MTLSZ002426A17")</f>
        <v>MTLSZ002426A17</v>
      </c>
      <c r="I2368" s="2">
        <f ca="1">IFERROR(__xludf.DUMMYFUNCTION("""COMPUTED_VALUE"""),43060)</f>
        <v>43060</v>
      </c>
      <c r="J2368" s="2">
        <f ca="1">IFERROR(__xludf.DUMMYFUNCTION("""COMPUTED_VALUE"""),43424)</f>
        <v>43424</v>
      </c>
    </row>
    <row r="2369" spans="1:10" x14ac:dyDescent="0.25">
      <c r="A2369" s="1" t="str">
        <f ca="1">IFERROR(__xludf.DUMMYFUNCTION("""COMPUTED_VALUE"""),"Talentum TSE")</f>
        <v>Talentum TSE</v>
      </c>
      <c r="B2369" s="1" t="str">
        <f ca="1">IFERROR(__xludf.DUMMYFUNCTION("""COMPUTED_VALUE"""),"Jánosi Luca")</f>
        <v>Jánosi Luca</v>
      </c>
      <c r="C2369" s="1"/>
      <c r="D2369" s="1" t="str">
        <f ca="1">IFERROR(__xludf.DUMMYFUNCTION("""COMPUTED_VALUE"""),"Nő")</f>
        <v>Nő</v>
      </c>
      <c r="E2369" s="1"/>
      <c r="F2369" s="1">
        <f ca="1">IFERROR(__xludf.DUMMYFUNCTION("""COMPUTED_VALUE"""),2004)</f>
        <v>2004</v>
      </c>
      <c r="G2369" s="1">
        <f ca="1">IFERROR(__xludf.DUMMYFUNCTION("""COMPUTED_VALUE"""),3034)</f>
        <v>3034</v>
      </c>
      <c r="H2369" s="1" t="str">
        <f ca="1">IFERROR(__xludf.DUMMYFUNCTION("""COMPUTED_VALUE"""),"MTLSZ003034A17")</f>
        <v>MTLSZ003034A17</v>
      </c>
      <c r="I2369" s="2">
        <f ca="1">IFERROR(__xludf.DUMMYFUNCTION("""COMPUTED_VALUE"""),43060)</f>
        <v>43060</v>
      </c>
      <c r="J2369" s="2">
        <f ca="1">IFERROR(__xludf.DUMMYFUNCTION("""COMPUTED_VALUE"""),43424)</f>
        <v>43424</v>
      </c>
    </row>
    <row r="2370" spans="1:10" x14ac:dyDescent="0.25">
      <c r="A2370" s="1" t="str">
        <f ca="1">IFERROR(__xludf.DUMMYFUNCTION("""COMPUTED_VALUE"""),"Gyöngyösoroszi SK")</f>
        <v>Gyöngyösoroszi SK</v>
      </c>
      <c r="B2370" s="1" t="str">
        <f ca="1">IFERROR(__xludf.DUMMYFUNCTION("""COMPUTED_VALUE"""),"Zimány Tamás")</f>
        <v>Zimány Tamás</v>
      </c>
      <c r="C2370" s="1"/>
      <c r="D2370" s="1" t="str">
        <f ca="1">IFERROR(__xludf.DUMMYFUNCTION("""COMPUTED_VALUE"""),"Férfi")</f>
        <v>Férfi</v>
      </c>
      <c r="E2370" s="1"/>
      <c r="F2370" s="1">
        <f ca="1">IFERROR(__xludf.DUMMYFUNCTION("""COMPUTED_VALUE"""),1980)</f>
        <v>1980</v>
      </c>
      <c r="G2370" s="1">
        <f ca="1">IFERROR(__xludf.DUMMYFUNCTION("""COMPUTED_VALUE"""),1142)</f>
        <v>1142</v>
      </c>
      <c r="H2370" s="1" t="str">
        <f ca="1">IFERROR(__xludf.DUMMYFUNCTION("""COMPUTED_VALUE"""),"MTLSZ001142A17")</f>
        <v>MTLSZ001142A17</v>
      </c>
      <c r="I2370" s="2">
        <f ca="1">IFERROR(__xludf.DUMMYFUNCTION("""COMPUTED_VALUE"""),43059)</f>
        <v>43059</v>
      </c>
      <c r="J2370" s="2">
        <f ca="1">IFERROR(__xludf.DUMMYFUNCTION("""COMPUTED_VALUE"""),43423)</f>
        <v>43423</v>
      </c>
    </row>
    <row r="2371" spans="1:10" x14ac:dyDescent="0.25">
      <c r="A2371" s="1" t="str">
        <f ca="1">IFERROR(__xludf.DUMMYFUNCTION("""COMPUTED_VALUE"""),"Klébi DSE")</f>
        <v>Klébi DSE</v>
      </c>
      <c r="B2371" s="1" t="str">
        <f ca="1">IFERROR(__xludf.DUMMYFUNCTION("""COMPUTED_VALUE"""),"Parlagh Márton Gábor")</f>
        <v>Parlagh Márton Gábor</v>
      </c>
      <c r="C2371" s="1"/>
      <c r="D2371" s="1" t="str">
        <f ca="1">IFERROR(__xludf.DUMMYFUNCTION("""COMPUTED_VALUE"""),"Férfi")</f>
        <v>Férfi</v>
      </c>
      <c r="E2371" s="1"/>
      <c r="F2371" s="1">
        <f ca="1">IFERROR(__xludf.DUMMYFUNCTION("""COMPUTED_VALUE"""),1977)</f>
        <v>1977</v>
      </c>
      <c r="G2371" s="1">
        <f ca="1">IFERROR(__xludf.DUMMYFUNCTION("""COMPUTED_VALUE"""),757)</f>
        <v>757</v>
      </c>
      <c r="H2371" s="1" t="str">
        <f ca="1">IFERROR(__xludf.DUMMYFUNCTION("""COMPUTED_VALUE"""),"MTLSZ000757A17")</f>
        <v>MTLSZ000757A17</v>
      </c>
      <c r="I2371" s="2">
        <f ca="1">IFERROR(__xludf.DUMMYFUNCTION("""COMPUTED_VALUE"""),43059)</f>
        <v>43059</v>
      </c>
      <c r="J2371" s="2">
        <f ca="1">IFERROR(__xludf.DUMMYFUNCTION("""COMPUTED_VALUE"""),43423)</f>
        <v>43423</v>
      </c>
    </row>
    <row r="2372" spans="1:10" x14ac:dyDescent="0.25">
      <c r="A2372" s="1" t="str">
        <f ca="1">IFERROR(__xludf.DUMMYFUNCTION("""COMPUTED_VALUE"""),"BEAC")</f>
        <v>BEAC</v>
      </c>
      <c r="B2372" s="1" t="str">
        <f ca="1">IFERROR(__xludf.DUMMYFUNCTION("""COMPUTED_VALUE"""),"Vajda László")</f>
        <v>Vajda László</v>
      </c>
      <c r="C2372" s="1"/>
      <c r="D2372" s="1" t="str">
        <f ca="1">IFERROR(__xludf.DUMMYFUNCTION("""COMPUTED_VALUE"""),"Férfi")</f>
        <v>Férfi</v>
      </c>
      <c r="E2372" s="1"/>
      <c r="F2372" s="1">
        <f ca="1">IFERROR(__xludf.DUMMYFUNCTION("""COMPUTED_VALUE"""),1970)</f>
        <v>1970</v>
      </c>
      <c r="G2372" s="1">
        <f ca="1">IFERROR(__xludf.DUMMYFUNCTION("""COMPUTED_VALUE"""),1080)</f>
        <v>1080</v>
      </c>
      <c r="H2372" s="1" t="str">
        <f ca="1">IFERROR(__xludf.DUMMYFUNCTION("""COMPUTED_VALUE"""),"MTLSZ001080A17")</f>
        <v>MTLSZ001080A17</v>
      </c>
      <c r="I2372" s="2">
        <f ca="1">IFERROR(__xludf.DUMMYFUNCTION("""COMPUTED_VALUE"""),43058)</f>
        <v>43058</v>
      </c>
      <c r="J2372" s="2">
        <f ca="1">IFERROR(__xludf.DUMMYFUNCTION("""COMPUTED_VALUE"""),43422)</f>
        <v>43422</v>
      </c>
    </row>
    <row r="2373" spans="1:10" x14ac:dyDescent="0.25">
      <c r="A2373" s="1" t="str">
        <f ca="1">IFERROR(__xludf.DUMMYFUNCTION("""COMPUTED_VALUE"""),"Bodajki TSE")</f>
        <v>Bodajki TSE</v>
      </c>
      <c r="B2373" s="1" t="str">
        <f ca="1">IFERROR(__xludf.DUMMYFUNCTION("""COMPUTED_VALUE"""),"Bajcsi Egon")</f>
        <v>Bajcsi Egon</v>
      </c>
      <c r="C2373" s="1"/>
      <c r="D2373" s="1" t="str">
        <f ca="1">IFERROR(__xludf.DUMMYFUNCTION("""COMPUTED_VALUE"""),"Férfi")</f>
        <v>Férfi</v>
      </c>
      <c r="E2373" s="1"/>
      <c r="F2373" s="1">
        <f ca="1">IFERROR(__xludf.DUMMYFUNCTION("""COMPUTED_VALUE"""),1962)</f>
        <v>1962</v>
      </c>
      <c r="G2373" s="1">
        <f ca="1">IFERROR(__xludf.DUMMYFUNCTION("""COMPUTED_VALUE"""),2010)</f>
        <v>2010</v>
      </c>
      <c r="H2373" s="1" t="str">
        <f ca="1">IFERROR(__xludf.DUMMYFUNCTION("""COMPUTED_VALUE"""),"MTLSZ002010A17")</f>
        <v>MTLSZ002010A17</v>
      </c>
      <c r="I2373" s="2">
        <f ca="1">IFERROR(__xludf.DUMMYFUNCTION("""COMPUTED_VALUE"""),43058)</f>
        <v>43058</v>
      </c>
      <c r="J2373" s="2">
        <f ca="1">IFERROR(__xludf.DUMMYFUNCTION("""COMPUTED_VALUE"""),43422)</f>
        <v>43422</v>
      </c>
    </row>
    <row r="2374" spans="1:10" x14ac:dyDescent="0.25">
      <c r="A2374" s="1" t="str">
        <f ca="1">IFERROR(__xludf.DUMMYFUNCTION("""COMPUTED_VALUE"""),"Diaboló SE")</f>
        <v>Diaboló SE</v>
      </c>
      <c r="B2374" s="1" t="str">
        <f ca="1">IFERROR(__xludf.DUMMYFUNCTION("""COMPUTED_VALUE"""),"Dali Imre")</f>
        <v>Dali Imre</v>
      </c>
      <c r="C2374" s="1"/>
      <c r="D2374" s="1" t="str">
        <f ca="1">IFERROR(__xludf.DUMMYFUNCTION("""COMPUTED_VALUE"""),"Férfi")</f>
        <v>Férfi</v>
      </c>
      <c r="E2374" s="1"/>
      <c r="F2374" s="1">
        <f ca="1">IFERROR(__xludf.DUMMYFUNCTION("""COMPUTED_VALUE"""),1976)</f>
        <v>1976</v>
      </c>
      <c r="G2374" s="1">
        <f ca="1">IFERROR(__xludf.DUMMYFUNCTION("""COMPUTED_VALUE"""),2450)</f>
        <v>2450</v>
      </c>
      <c r="H2374" s="1" t="str">
        <f ca="1">IFERROR(__xludf.DUMMYFUNCTION("""COMPUTED_VALUE"""),"MTLSZ002450A17")</f>
        <v>MTLSZ002450A17</v>
      </c>
      <c r="I2374" s="2">
        <f ca="1">IFERROR(__xludf.DUMMYFUNCTION("""COMPUTED_VALUE"""),43058)</f>
        <v>43058</v>
      </c>
      <c r="J2374" s="2">
        <f ca="1">IFERROR(__xludf.DUMMYFUNCTION("""COMPUTED_VALUE"""),43422)</f>
        <v>43422</v>
      </c>
    </row>
    <row r="2375" spans="1:10" x14ac:dyDescent="0.25">
      <c r="A2375" s="1" t="str">
        <f ca="1">IFERROR(__xludf.DUMMYFUNCTION("""COMPUTED_VALUE"""),"MEAFC")</f>
        <v>MEAFC</v>
      </c>
      <c r="B2375" s="1" t="str">
        <f ca="1">IFERROR(__xludf.DUMMYFUNCTION("""COMPUTED_VALUE"""),"Porkoláb Zsófia")</f>
        <v>Porkoláb Zsófia</v>
      </c>
      <c r="C2375" s="1"/>
      <c r="D2375" s="1" t="str">
        <f ca="1">IFERROR(__xludf.DUMMYFUNCTION("""COMPUTED_VALUE"""),"Nő")</f>
        <v>Nő</v>
      </c>
      <c r="E2375" s="1"/>
      <c r="F2375" s="1">
        <f ca="1">IFERROR(__xludf.DUMMYFUNCTION("""COMPUTED_VALUE"""),1996)</f>
        <v>1996</v>
      </c>
      <c r="G2375" s="1">
        <f ca="1">IFERROR(__xludf.DUMMYFUNCTION("""COMPUTED_VALUE"""),3022)</f>
        <v>3022</v>
      </c>
      <c r="H2375" s="1" t="str">
        <f ca="1">IFERROR(__xludf.DUMMYFUNCTION("""COMPUTED_VALUE"""),"MTLSZ003022A17")</f>
        <v>MTLSZ003022A17</v>
      </c>
      <c r="I2375" s="2">
        <f ca="1">IFERROR(__xludf.DUMMYFUNCTION("""COMPUTED_VALUE"""),43053)</f>
        <v>43053</v>
      </c>
      <c r="J2375" s="2">
        <f ca="1">IFERROR(__xludf.DUMMYFUNCTION("""COMPUTED_VALUE"""),43417)</f>
        <v>43417</v>
      </c>
    </row>
    <row r="2376" spans="1:10" x14ac:dyDescent="0.25">
      <c r="A2376" s="1" t="str">
        <f ca="1">IFERROR(__xludf.DUMMYFUNCTION("""COMPUTED_VALUE"""),"Érdi VSE")</f>
        <v>Érdi VSE</v>
      </c>
      <c r="B2376" s="1" t="str">
        <f ca="1">IFERROR(__xludf.DUMMYFUNCTION("""COMPUTED_VALUE"""),"Boros Boglárka")</f>
        <v>Boros Boglárka</v>
      </c>
      <c r="C2376" s="1"/>
      <c r="D2376" s="1" t="str">
        <f ca="1">IFERROR(__xludf.DUMMYFUNCTION("""COMPUTED_VALUE"""),"Nő")</f>
        <v>Nő</v>
      </c>
      <c r="E2376" s="1"/>
      <c r="F2376" s="1">
        <f ca="1">IFERROR(__xludf.DUMMYFUNCTION("""COMPUTED_VALUE"""),2000)</f>
        <v>2000</v>
      </c>
      <c r="G2376" s="1">
        <f ca="1">IFERROR(__xludf.DUMMYFUNCTION("""COMPUTED_VALUE"""),2077)</f>
        <v>2077</v>
      </c>
      <c r="H2376" s="1" t="str">
        <f ca="1">IFERROR(__xludf.DUMMYFUNCTION("""COMPUTED_VALUE"""),"MTLSZ002077A17")</f>
        <v>MTLSZ002077A17</v>
      </c>
      <c r="I2376" s="2">
        <f ca="1">IFERROR(__xludf.DUMMYFUNCTION("""COMPUTED_VALUE"""),43048)</f>
        <v>43048</v>
      </c>
      <c r="J2376" s="2">
        <f ca="1">IFERROR(__xludf.DUMMYFUNCTION("""COMPUTED_VALUE"""),43412)</f>
        <v>43412</v>
      </c>
    </row>
    <row r="2377" spans="1:10" x14ac:dyDescent="0.25">
      <c r="A2377" s="1" t="str">
        <f ca="1">IFERROR(__xludf.DUMMYFUNCTION("""COMPUTED_VALUE"""),"Érdi VSE")</f>
        <v>Érdi VSE</v>
      </c>
      <c r="B2377" s="1" t="str">
        <f ca="1">IFERROR(__xludf.DUMMYFUNCTION("""COMPUTED_VALUE"""),"Boros Gergely")</f>
        <v>Boros Gergely</v>
      </c>
      <c r="C2377" s="1"/>
      <c r="D2377" s="1" t="str">
        <f ca="1">IFERROR(__xludf.DUMMYFUNCTION("""COMPUTED_VALUE"""),"Férfi")</f>
        <v>Férfi</v>
      </c>
      <c r="E2377" s="1"/>
      <c r="F2377" s="1">
        <f ca="1">IFERROR(__xludf.DUMMYFUNCTION("""COMPUTED_VALUE"""),2001)</f>
        <v>2001</v>
      </c>
      <c r="G2377" s="1">
        <f ca="1">IFERROR(__xludf.DUMMYFUNCTION("""COMPUTED_VALUE"""),2080)</f>
        <v>2080</v>
      </c>
      <c r="H2377" s="1" t="str">
        <f ca="1">IFERROR(__xludf.DUMMYFUNCTION("""COMPUTED_VALUE"""),"MTLSZ002080A17")</f>
        <v>MTLSZ002080A17</v>
      </c>
      <c r="I2377" s="2">
        <f ca="1">IFERROR(__xludf.DUMMYFUNCTION("""COMPUTED_VALUE"""),43048)</f>
        <v>43048</v>
      </c>
      <c r="J2377" s="2">
        <f ca="1">IFERROR(__xludf.DUMMYFUNCTION("""COMPUTED_VALUE"""),43412)</f>
        <v>43412</v>
      </c>
    </row>
    <row r="2378" spans="1:10" x14ac:dyDescent="0.25">
      <c r="A2378" s="1" t="str">
        <f ca="1">IFERROR(__xludf.DUMMYFUNCTION("""COMPUTED_VALUE"""),"Érdi VSE")</f>
        <v>Érdi VSE</v>
      </c>
      <c r="B2378" s="1" t="str">
        <f ca="1">IFERROR(__xludf.DUMMYFUNCTION("""COMPUTED_VALUE"""),"Boros Zsófia")</f>
        <v>Boros Zsófia</v>
      </c>
      <c r="C2378" s="1"/>
      <c r="D2378" s="1" t="str">
        <f ca="1">IFERROR(__xludf.DUMMYFUNCTION("""COMPUTED_VALUE"""),"Nő")</f>
        <v>Nő</v>
      </c>
      <c r="E2378" s="1"/>
      <c r="F2378" s="1">
        <f ca="1">IFERROR(__xludf.DUMMYFUNCTION("""COMPUTED_VALUE"""),2003)</f>
        <v>2003</v>
      </c>
      <c r="G2378" s="1">
        <f ca="1">IFERROR(__xludf.DUMMYFUNCTION("""COMPUTED_VALUE"""),2295)</f>
        <v>2295</v>
      </c>
      <c r="H2378" s="1" t="str">
        <f ca="1">IFERROR(__xludf.DUMMYFUNCTION("""COMPUTED_VALUE"""),"MTLSZ002295A17")</f>
        <v>MTLSZ002295A17</v>
      </c>
      <c r="I2378" s="2">
        <f ca="1">IFERROR(__xludf.DUMMYFUNCTION("""COMPUTED_VALUE"""),43048)</f>
        <v>43048</v>
      </c>
      <c r="J2378" s="2">
        <f ca="1">IFERROR(__xludf.DUMMYFUNCTION("""COMPUTED_VALUE"""),43412)</f>
        <v>43412</v>
      </c>
    </row>
    <row r="2379" spans="1:10" x14ac:dyDescent="0.25">
      <c r="A2379" s="1" t="str">
        <f ca="1">IFERROR(__xludf.DUMMYFUNCTION("""COMPUTED_VALUE"""),"Érdi VSE")</f>
        <v>Érdi VSE</v>
      </c>
      <c r="B2379" s="1" t="str">
        <f ca="1">IFERROR(__xludf.DUMMYFUNCTION("""COMPUTED_VALUE"""),"Csányi Zoé Lili")</f>
        <v>Csányi Zoé Lili</v>
      </c>
      <c r="C2379" s="1"/>
      <c r="D2379" s="1" t="str">
        <f ca="1">IFERROR(__xludf.DUMMYFUNCTION("""COMPUTED_VALUE"""),"Nő")</f>
        <v>Nő</v>
      </c>
      <c r="E2379" s="1"/>
      <c r="F2379" s="1">
        <f ca="1">IFERROR(__xludf.DUMMYFUNCTION("""COMPUTED_VALUE"""),2005)</f>
        <v>2005</v>
      </c>
      <c r="G2379" s="1">
        <f ca="1">IFERROR(__xludf.DUMMYFUNCTION("""COMPUTED_VALUE"""),2745)</f>
        <v>2745</v>
      </c>
      <c r="H2379" s="1" t="str">
        <f ca="1">IFERROR(__xludf.DUMMYFUNCTION("""COMPUTED_VALUE"""),"MTLSZ002745A17")</f>
        <v>MTLSZ002745A17</v>
      </c>
      <c r="I2379" s="2">
        <f ca="1">IFERROR(__xludf.DUMMYFUNCTION("""COMPUTED_VALUE"""),43048)</f>
        <v>43048</v>
      </c>
      <c r="J2379" s="2">
        <f ca="1">IFERROR(__xludf.DUMMYFUNCTION("""COMPUTED_VALUE"""),43412)</f>
        <v>43412</v>
      </c>
    </row>
    <row r="2380" spans="1:10" x14ac:dyDescent="0.25">
      <c r="A2380" s="1" t="str">
        <f ca="1">IFERROR(__xludf.DUMMYFUNCTION("""COMPUTED_VALUE"""),"Érdi VSE")</f>
        <v>Érdi VSE</v>
      </c>
      <c r="B2380" s="1" t="str">
        <f ca="1">IFERROR(__xludf.DUMMYFUNCTION("""COMPUTED_VALUE"""),"Nagy Eszter")</f>
        <v>Nagy Eszter</v>
      </c>
      <c r="C2380" s="1"/>
      <c r="D2380" s="1" t="str">
        <f ca="1">IFERROR(__xludf.DUMMYFUNCTION("""COMPUTED_VALUE"""),"Nő")</f>
        <v>Nő</v>
      </c>
      <c r="E2380" s="1"/>
      <c r="F2380" s="1">
        <f ca="1">IFERROR(__xludf.DUMMYFUNCTION("""COMPUTED_VALUE"""),2005)</f>
        <v>2005</v>
      </c>
      <c r="G2380" s="1">
        <f ca="1">IFERROR(__xludf.DUMMYFUNCTION("""COMPUTED_VALUE"""),2701)</f>
        <v>2701</v>
      </c>
      <c r="H2380" s="1" t="str">
        <f ca="1">IFERROR(__xludf.DUMMYFUNCTION("""COMPUTED_VALUE"""),"MTLSZ002701A17")</f>
        <v>MTLSZ002701A17</v>
      </c>
      <c r="I2380" s="2">
        <f ca="1">IFERROR(__xludf.DUMMYFUNCTION("""COMPUTED_VALUE"""),43048)</f>
        <v>43048</v>
      </c>
      <c r="J2380" s="2">
        <f ca="1">IFERROR(__xludf.DUMMYFUNCTION("""COMPUTED_VALUE"""),43412)</f>
        <v>43412</v>
      </c>
    </row>
    <row r="2381" spans="1:10" x14ac:dyDescent="0.25">
      <c r="A2381" s="1" t="str">
        <f ca="1">IFERROR(__xludf.DUMMYFUNCTION("""COMPUTED_VALUE"""),"Érdi VSE")</f>
        <v>Érdi VSE</v>
      </c>
      <c r="B2381" s="1" t="str">
        <f ca="1">IFERROR(__xludf.DUMMYFUNCTION("""COMPUTED_VALUE"""),"Szabó Fanni")</f>
        <v>Szabó Fanni</v>
      </c>
      <c r="C2381" s="1"/>
      <c r="D2381" s="1" t="str">
        <f ca="1">IFERROR(__xludf.DUMMYFUNCTION("""COMPUTED_VALUE"""),"Nő")</f>
        <v>Nő</v>
      </c>
      <c r="E2381" s="1"/>
      <c r="F2381" s="1">
        <f ca="1">IFERROR(__xludf.DUMMYFUNCTION("""COMPUTED_VALUE"""),2003)</f>
        <v>2003</v>
      </c>
      <c r="G2381" s="1">
        <f ca="1">IFERROR(__xludf.DUMMYFUNCTION("""COMPUTED_VALUE"""),2799)</f>
        <v>2799</v>
      </c>
      <c r="H2381" s="1" t="str">
        <f ca="1">IFERROR(__xludf.DUMMYFUNCTION("""COMPUTED_VALUE"""),"MTLSZ002799A17")</f>
        <v>MTLSZ002799A17</v>
      </c>
      <c r="I2381" s="2">
        <f ca="1">IFERROR(__xludf.DUMMYFUNCTION("""COMPUTED_VALUE"""),43048)</f>
        <v>43048</v>
      </c>
      <c r="J2381" s="2">
        <f ca="1">IFERROR(__xludf.DUMMYFUNCTION("""COMPUTED_VALUE"""),43412)</f>
        <v>43412</v>
      </c>
    </row>
    <row r="2382" spans="1:10" x14ac:dyDescent="0.25">
      <c r="A2382" s="1" t="str">
        <f ca="1">IFERROR(__xludf.DUMMYFUNCTION("""COMPUTED_VALUE"""),"Keszthelyi TE")</f>
        <v>Keszthelyi TE</v>
      </c>
      <c r="B2382" s="1" t="str">
        <f ca="1">IFERROR(__xludf.DUMMYFUNCTION("""COMPUTED_VALUE"""),"Farkas Réka Luca")</f>
        <v>Farkas Réka Luca</v>
      </c>
      <c r="C2382" s="1"/>
      <c r="D2382" s="1" t="str">
        <f ca="1">IFERROR(__xludf.DUMMYFUNCTION("""COMPUTED_VALUE"""),"Nő")</f>
        <v>Nő</v>
      </c>
      <c r="E2382" s="1"/>
      <c r="F2382" s="1">
        <f ca="1">IFERROR(__xludf.DUMMYFUNCTION("""COMPUTED_VALUE"""),2005)</f>
        <v>2005</v>
      </c>
      <c r="G2382" s="1">
        <f ca="1">IFERROR(__xludf.DUMMYFUNCTION("""COMPUTED_VALUE"""),3019)</f>
        <v>3019</v>
      </c>
      <c r="H2382" s="1" t="str">
        <f ca="1">IFERROR(__xludf.DUMMYFUNCTION("""COMPUTED_VALUE"""),"MTLSZ003019A17")</f>
        <v>MTLSZ003019A17</v>
      </c>
      <c r="I2382" s="2">
        <f ca="1">IFERROR(__xludf.DUMMYFUNCTION("""COMPUTED_VALUE"""),43046)</f>
        <v>43046</v>
      </c>
      <c r="J2382" s="2">
        <f ca="1">IFERROR(__xludf.DUMMYFUNCTION("""COMPUTED_VALUE"""),43410)</f>
        <v>43410</v>
      </c>
    </row>
    <row r="2383" spans="1:10" x14ac:dyDescent="0.25">
      <c r="A2383" s="1" t="str">
        <f ca="1">IFERROR(__xludf.DUMMYFUNCTION("""COMPUTED_VALUE"""),"Keszthelyi TE")</f>
        <v>Keszthelyi TE</v>
      </c>
      <c r="B2383" s="1" t="str">
        <f ca="1">IFERROR(__xludf.DUMMYFUNCTION("""COMPUTED_VALUE"""),"Kovács-Markó Ákos")</f>
        <v>Kovács-Markó Ákos</v>
      </c>
      <c r="C2383" s="1"/>
      <c r="D2383" s="1" t="str">
        <f ca="1">IFERROR(__xludf.DUMMYFUNCTION("""COMPUTED_VALUE"""),"Férfi")</f>
        <v>Férfi</v>
      </c>
      <c r="E2383" s="1"/>
      <c r="F2383" s="1">
        <f ca="1">IFERROR(__xludf.DUMMYFUNCTION("""COMPUTED_VALUE"""),2006)</f>
        <v>2006</v>
      </c>
      <c r="G2383" s="1">
        <f ca="1">IFERROR(__xludf.DUMMYFUNCTION("""COMPUTED_VALUE"""),2842)</f>
        <v>2842</v>
      </c>
      <c r="H2383" s="1" t="str">
        <f ca="1">IFERROR(__xludf.DUMMYFUNCTION("""COMPUTED_VALUE"""),"MTLSZ002842A17")</f>
        <v>MTLSZ002842A17</v>
      </c>
      <c r="I2383" s="2">
        <f ca="1">IFERROR(__xludf.DUMMYFUNCTION("""COMPUTED_VALUE"""),43046)</f>
        <v>43046</v>
      </c>
      <c r="J2383" s="2">
        <f ca="1">IFERROR(__xludf.DUMMYFUNCTION("""COMPUTED_VALUE"""),43410)</f>
        <v>43410</v>
      </c>
    </row>
    <row r="2384" spans="1:10" x14ac:dyDescent="0.25">
      <c r="A2384" s="1" t="str">
        <f ca="1">IFERROR(__xludf.DUMMYFUNCTION("""COMPUTED_VALUE"""),"Keszthelyi TE")</f>
        <v>Keszthelyi TE</v>
      </c>
      <c r="B2384" s="1" t="str">
        <f ca="1">IFERROR(__xludf.DUMMYFUNCTION("""COMPUTED_VALUE"""),"Kutasy Kamilla")</f>
        <v>Kutasy Kamilla</v>
      </c>
      <c r="C2384" s="1"/>
      <c r="D2384" s="1" t="str">
        <f ca="1">IFERROR(__xludf.DUMMYFUNCTION("""COMPUTED_VALUE"""),"Nő")</f>
        <v>Nő</v>
      </c>
      <c r="E2384" s="1"/>
      <c r="F2384" s="1">
        <f ca="1">IFERROR(__xludf.DUMMYFUNCTION("""COMPUTED_VALUE"""),2005)</f>
        <v>2005</v>
      </c>
      <c r="G2384" s="1">
        <f ca="1">IFERROR(__xludf.DUMMYFUNCTION("""COMPUTED_VALUE"""),3020)</f>
        <v>3020</v>
      </c>
      <c r="H2384" s="1" t="str">
        <f ca="1">IFERROR(__xludf.DUMMYFUNCTION("""COMPUTED_VALUE"""),"MTLSZ003020A17")</f>
        <v>MTLSZ003020A17</v>
      </c>
      <c r="I2384" s="2">
        <f ca="1">IFERROR(__xludf.DUMMYFUNCTION("""COMPUTED_VALUE"""),43046)</f>
        <v>43046</v>
      </c>
      <c r="J2384" s="2">
        <f ca="1">IFERROR(__xludf.DUMMYFUNCTION("""COMPUTED_VALUE"""),43410)</f>
        <v>43410</v>
      </c>
    </row>
    <row r="2385" spans="1:10" x14ac:dyDescent="0.25">
      <c r="A2385" s="1" t="str">
        <f ca="1">IFERROR(__xludf.DUMMYFUNCTION("""COMPUTED_VALUE"""),"BTBK")</f>
        <v>BTBK</v>
      </c>
      <c r="B2385" s="1" t="str">
        <f ca="1">IFERROR(__xludf.DUMMYFUNCTION("""COMPUTED_VALUE"""),"Ecsegi Szilvia")</f>
        <v>Ecsegi Szilvia</v>
      </c>
      <c r="C2385" s="1"/>
      <c r="D2385" s="1" t="str">
        <f ca="1">IFERROR(__xludf.DUMMYFUNCTION("""COMPUTED_VALUE"""),"Nő")</f>
        <v>Nő</v>
      </c>
      <c r="E2385" s="1"/>
      <c r="F2385" s="1">
        <f ca="1">IFERROR(__xludf.DUMMYFUNCTION("""COMPUTED_VALUE"""),1979)</f>
        <v>1979</v>
      </c>
      <c r="G2385" s="1">
        <f ca="1">IFERROR(__xludf.DUMMYFUNCTION("""COMPUTED_VALUE"""),1212)</f>
        <v>1212</v>
      </c>
      <c r="H2385" s="1" t="str">
        <f ca="1">IFERROR(__xludf.DUMMYFUNCTION("""COMPUTED_VALUE"""),"MTLSZ001212A17")</f>
        <v>MTLSZ001212A17</v>
      </c>
      <c r="I2385" s="2">
        <f ca="1">IFERROR(__xludf.DUMMYFUNCTION("""COMPUTED_VALUE"""),43044)</f>
        <v>43044</v>
      </c>
      <c r="J2385" s="2">
        <f ca="1">IFERROR(__xludf.DUMMYFUNCTION("""COMPUTED_VALUE"""),43408)</f>
        <v>43408</v>
      </c>
    </row>
    <row r="2386" spans="1:10" x14ac:dyDescent="0.25">
      <c r="A2386" s="1" t="str">
        <f ca="1">IFERROR(__xludf.DUMMYFUNCTION("""COMPUTED_VALUE"""),"Seregélyesi PDSE")</f>
        <v>Seregélyesi PDSE</v>
      </c>
      <c r="B2386" s="1" t="str">
        <f ca="1">IFERROR(__xludf.DUMMYFUNCTION("""COMPUTED_VALUE"""),"Dulcz Bende")</f>
        <v>Dulcz Bende</v>
      </c>
      <c r="C2386" s="1"/>
      <c r="D2386" s="1" t="str">
        <f ca="1">IFERROR(__xludf.DUMMYFUNCTION("""COMPUTED_VALUE"""),"Férfi")</f>
        <v>Férfi</v>
      </c>
      <c r="E2386" s="1"/>
      <c r="F2386" s="1">
        <f ca="1">IFERROR(__xludf.DUMMYFUNCTION("""COMPUTED_VALUE"""),2003)</f>
        <v>2003</v>
      </c>
      <c r="G2386" s="1">
        <f ca="1">IFERROR(__xludf.DUMMYFUNCTION("""COMPUTED_VALUE"""),2297)</f>
        <v>2297</v>
      </c>
      <c r="H2386" s="1" t="str">
        <f ca="1">IFERROR(__xludf.DUMMYFUNCTION("""COMPUTED_VALUE"""),"MTLSZ002297A17")</f>
        <v>MTLSZ002297A17</v>
      </c>
      <c r="I2386" s="2">
        <f ca="1">IFERROR(__xludf.DUMMYFUNCTION("""COMPUTED_VALUE"""),43041)</f>
        <v>43041</v>
      </c>
      <c r="J2386" s="2">
        <f ca="1">IFERROR(__xludf.DUMMYFUNCTION("""COMPUTED_VALUE"""),43405)</f>
        <v>43405</v>
      </c>
    </row>
    <row r="2387" spans="1:10" x14ac:dyDescent="0.25">
      <c r="A2387" s="1" t="str">
        <f ca="1">IFERROR(__xludf.DUMMYFUNCTION("""COMPUTED_VALUE"""),"Ludovika SE")</f>
        <v>Ludovika SE</v>
      </c>
      <c r="B2387" s="1" t="str">
        <f ca="1">IFERROR(__xludf.DUMMYFUNCTION("""COMPUTED_VALUE"""),"Farkas Éva")</f>
        <v>Farkas Éva</v>
      </c>
      <c r="C2387" s="1"/>
      <c r="D2387" s="1" t="str">
        <f ca="1">IFERROR(__xludf.DUMMYFUNCTION("""COMPUTED_VALUE"""),"Nő")</f>
        <v>Nő</v>
      </c>
      <c r="E2387" s="1"/>
      <c r="F2387" s="1">
        <f ca="1">IFERROR(__xludf.DUMMYFUNCTION("""COMPUTED_VALUE"""),2003)</f>
        <v>2003</v>
      </c>
      <c r="G2387" s="1">
        <f ca="1">IFERROR(__xludf.DUMMYFUNCTION("""COMPUTED_VALUE"""),2505)</f>
        <v>2505</v>
      </c>
      <c r="H2387" s="1" t="str">
        <f ca="1">IFERROR(__xludf.DUMMYFUNCTION("""COMPUTED_VALUE"""),"MTLSZ002505A17")</f>
        <v>MTLSZ002505A17</v>
      </c>
      <c r="I2387" s="2">
        <f ca="1">IFERROR(__xludf.DUMMYFUNCTION("""COMPUTED_VALUE"""),43024)</f>
        <v>43024</v>
      </c>
      <c r="J2387" s="2">
        <f ca="1">IFERROR(__xludf.DUMMYFUNCTION("""COMPUTED_VALUE"""),43388)</f>
        <v>43388</v>
      </c>
    </row>
    <row r="2388" spans="1:10" x14ac:dyDescent="0.25">
      <c r="A2388" s="1" t="str">
        <f ca="1">IFERROR(__xludf.DUMMYFUNCTION("""COMPUTED_VALUE"""),"Érdi VSE")</f>
        <v>Érdi VSE</v>
      </c>
      <c r="B2388" s="1" t="str">
        <f ca="1">IFERROR(__xludf.DUMMYFUNCTION("""COMPUTED_VALUE"""),"Becker Vanda")</f>
        <v>Becker Vanda</v>
      </c>
      <c r="C2388" s="1"/>
      <c r="D2388" s="1" t="str">
        <f ca="1">IFERROR(__xludf.DUMMYFUNCTION("""COMPUTED_VALUE"""),"Nő")</f>
        <v>Nő</v>
      </c>
      <c r="E2388" s="1"/>
      <c r="F2388" s="1">
        <f ca="1">IFERROR(__xludf.DUMMYFUNCTION("""COMPUTED_VALUE"""),2004)</f>
        <v>2004</v>
      </c>
      <c r="G2388" s="1">
        <f ca="1">IFERROR(__xludf.DUMMYFUNCTION("""COMPUTED_VALUE"""),2682)</f>
        <v>2682</v>
      </c>
      <c r="H2388" s="1" t="str">
        <f ca="1">IFERROR(__xludf.DUMMYFUNCTION("""COMPUTED_VALUE"""),"MTLSZ002682A17")</f>
        <v>MTLSZ002682A17</v>
      </c>
      <c r="I2388" s="2">
        <f ca="1">IFERROR(__xludf.DUMMYFUNCTION("""COMPUTED_VALUE"""),43013)</f>
        <v>43013</v>
      </c>
      <c r="J2388" s="2">
        <f ca="1">IFERROR(__xludf.DUMMYFUNCTION("""COMPUTED_VALUE"""),43377)</f>
        <v>43377</v>
      </c>
    </row>
    <row r="2389" spans="1:10" x14ac:dyDescent="0.25">
      <c r="A2389" s="1" t="str">
        <f ca="1">IFERROR(__xludf.DUMMYFUNCTION("""COMPUTED_VALUE"""),"Érdi VSE")</f>
        <v>Érdi VSE</v>
      </c>
      <c r="B2389" s="1" t="str">
        <f ca="1">IFERROR(__xludf.DUMMYFUNCTION("""COMPUTED_VALUE"""),"Perényi Zsófia")</f>
        <v>Perényi Zsófia</v>
      </c>
      <c r="C2389" s="1"/>
      <c r="D2389" s="1" t="str">
        <f ca="1">IFERROR(__xludf.DUMMYFUNCTION("""COMPUTED_VALUE"""),"Nő")</f>
        <v>Nő</v>
      </c>
      <c r="E2389" s="1"/>
      <c r="F2389" s="1">
        <f ca="1">IFERROR(__xludf.DUMMYFUNCTION("""COMPUTED_VALUE"""),2003)</f>
        <v>2003</v>
      </c>
      <c r="G2389" s="1">
        <f ca="1">IFERROR(__xludf.DUMMYFUNCTION("""COMPUTED_VALUE"""),2515)</f>
        <v>2515</v>
      </c>
      <c r="H2389" s="1" t="str">
        <f ca="1">IFERROR(__xludf.DUMMYFUNCTION("""COMPUTED_VALUE"""),"MTLSZ002515A17")</f>
        <v>MTLSZ002515A17</v>
      </c>
      <c r="I2389" s="2">
        <f ca="1">IFERROR(__xludf.DUMMYFUNCTION("""COMPUTED_VALUE"""),43013)</f>
        <v>43013</v>
      </c>
      <c r="J2389" s="2">
        <f ca="1">IFERROR(__xludf.DUMMYFUNCTION("""COMPUTED_VALUE"""),43377)</f>
        <v>43377</v>
      </c>
    </row>
    <row r="2390" spans="1:10" x14ac:dyDescent="0.25">
      <c r="A2390" s="1" t="str">
        <f ca="1">IFERROR(__xludf.DUMMYFUNCTION("""COMPUTED_VALUE"""),"SZGYE SZE")</f>
        <v>SZGYE SZE</v>
      </c>
      <c r="B2390" s="1" t="str">
        <f ca="1">IFERROR(__xludf.DUMMYFUNCTION("""COMPUTED_VALUE"""),"Varga Luca")</f>
        <v>Varga Luca</v>
      </c>
      <c r="C2390" s="1"/>
      <c r="D2390" s="1" t="str">
        <f ca="1">IFERROR(__xludf.DUMMYFUNCTION("""COMPUTED_VALUE"""),"Nő")</f>
        <v>Nő</v>
      </c>
      <c r="E2390" s="1"/>
      <c r="F2390" s="1">
        <f ca="1">IFERROR(__xludf.DUMMYFUNCTION("""COMPUTED_VALUE"""),2003)</f>
        <v>2003</v>
      </c>
      <c r="G2390" s="1">
        <f ca="1">IFERROR(__xludf.DUMMYFUNCTION("""COMPUTED_VALUE"""),2999)</f>
        <v>2999</v>
      </c>
      <c r="H2390" s="1" t="str">
        <f ca="1">IFERROR(__xludf.DUMMYFUNCTION("""COMPUTED_VALUE"""),"MTLSZ002999A17")</f>
        <v>MTLSZ002999A17</v>
      </c>
      <c r="I2390" s="2">
        <f ca="1">IFERROR(__xludf.DUMMYFUNCTION("""COMPUTED_VALUE"""),43013)</f>
        <v>43013</v>
      </c>
      <c r="J2390" s="2">
        <f ca="1">IFERROR(__xludf.DUMMYFUNCTION("""COMPUTED_VALUE"""),43377)</f>
        <v>43377</v>
      </c>
    </row>
    <row r="2391" spans="1:10" x14ac:dyDescent="0.25">
      <c r="A2391" s="1" t="str">
        <f ca="1">IFERROR(__xludf.DUMMYFUNCTION("""COMPUTED_VALUE"""),"Segesi DE")</f>
        <v>Segesi DE</v>
      </c>
      <c r="B2391" s="1" t="str">
        <f ca="1">IFERROR(__xludf.DUMMYFUNCTION("""COMPUTED_VALUE"""),"Cser Andrea")</f>
        <v>Cser Andrea</v>
      </c>
      <c r="C2391" s="1"/>
      <c r="D2391" s="1" t="str">
        <f ca="1">IFERROR(__xludf.DUMMYFUNCTION("""COMPUTED_VALUE"""),"Nő")</f>
        <v>Nő</v>
      </c>
      <c r="E2391" s="1"/>
      <c r="F2391" s="1">
        <f ca="1">IFERROR(__xludf.DUMMYFUNCTION("""COMPUTED_VALUE"""),1990)</f>
        <v>1990</v>
      </c>
      <c r="G2391" s="1">
        <f ca="1">IFERROR(__xludf.DUMMYFUNCTION("""COMPUTED_VALUE"""),136)</f>
        <v>136</v>
      </c>
      <c r="H2391" s="1" t="str">
        <f ca="1">IFERROR(__xludf.DUMMYFUNCTION("""COMPUTED_VALUE"""),"MTLSZ000136A17")</f>
        <v>MTLSZ000136A17</v>
      </c>
      <c r="I2391" s="2">
        <f ca="1">IFERROR(__xludf.DUMMYFUNCTION("""COMPUTED_VALUE"""),43012)</f>
        <v>43012</v>
      </c>
      <c r="J2391" s="2">
        <f ca="1">IFERROR(__xludf.DUMMYFUNCTION("""COMPUTED_VALUE"""),43376)</f>
        <v>43376</v>
      </c>
    </row>
    <row r="2392" spans="1:10" x14ac:dyDescent="0.25">
      <c r="A2392" s="1" t="str">
        <f ca="1">IFERROR(__xludf.DUMMYFUNCTION("""COMPUTED_VALUE"""),"Segesi DE")</f>
        <v>Segesi DE</v>
      </c>
      <c r="B2392" s="1" t="str">
        <f ca="1">IFERROR(__xludf.DUMMYFUNCTION("""COMPUTED_VALUE"""),"Györkös Bálint")</f>
        <v>Györkös Bálint</v>
      </c>
      <c r="C2392" s="1"/>
      <c r="D2392" s="1" t="str">
        <f ca="1">IFERROR(__xludf.DUMMYFUNCTION("""COMPUTED_VALUE"""),"Férfi")</f>
        <v>Férfi</v>
      </c>
      <c r="E2392" s="1"/>
      <c r="F2392" s="1">
        <f ca="1">IFERROR(__xludf.DUMMYFUNCTION("""COMPUTED_VALUE"""),2000)</f>
        <v>2000</v>
      </c>
      <c r="G2392" s="1">
        <f ca="1">IFERROR(__xludf.DUMMYFUNCTION("""COMPUTED_VALUE"""),2239)</f>
        <v>2239</v>
      </c>
      <c r="H2392" s="1" t="str">
        <f ca="1">IFERROR(__xludf.DUMMYFUNCTION("""COMPUTED_VALUE"""),"MTLSZ002239A17")</f>
        <v>MTLSZ002239A17</v>
      </c>
      <c r="I2392" s="2">
        <f ca="1">IFERROR(__xludf.DUMMYFUNCTION("""COMPUTED_VALUE"""),43012)</f>
        <v>43012</v>
      </c>
      <c r="J2392" s="2">
        <f ca="1">IFERROR(__xludf.DUMMYFUNCTION("""COMPUTED_VALUE"""),43376)</f>
        <v>43376</v>
      </c>
    </row>
    <row r="2393" spans="1:10" x14ac:dyDescent="0.25">
      <c r="A2393" s="1" t="str">
        <f ca="1">IFERROR(__xludf.DUMMYFUNCTION("""COMPUTED_VALUE"""),"Segesi DE")</f>
        <v>Segesi DE</v>
      </c>
      <c r="B2393" s="1" t="str">
        <f ca="1">IFERROR(__xludf.DUMMYFUNCTION("""COMPUTED_VALUE"""),"Németh Ádám")</f>
        <v>Németh Ádám</v>
      </c>
      <c r="C2393" s="1"/>
      <c r="D2393" s="1" t="str">
        <f ca="1">IFERROR(__xludf.DUMMYFUNCTION("""COMPUTED_VALUE"""),"Férfi")</f>
        <v>Férfi</v>
      </c>
      <c r="E2393" s="1"/>
      <c r="F2393" s="1">
        <f ca="1">IFERROR(__xludf.DUMMYFUNCTION("""COMPUTED_VALUE"""),1997)</f>
        <v>1997</v>
      </c>
      <c r="G2393" s="1">
        <f ca="1">IFERROR(__xludf.DUMMYFUNCTION("""COMPUTED_VALUE"""),2196)</f>
        <v>2196</v>
      </c>
      <c r="H2393" s="1" t="str">
        <f ca="1">IFERROR(__xludf.DUMMYFUNCTION("""COMPUTED_VALUE"""),"MTLSZ002196A17")</f>
        <v>MTLSZ002196A17</v>
      </c>
      <c r="I2393" s="2">
        <f ca="1">IFERROR(__xludf.DUMMYFUNCTION("""COMPUTED_VALUE"""),43012)</f>
        <v>43012</v>
      </c>
      <c r="J2393" s="2">
        <f ca="1">IFERROR(__xludf.DUMMYFUNCTION("""COMPUTED_VALUE"""),43376)</f>
        <v>43376</v>
      </c>
    </row>
    <row r="2394" spans="1:10" x14ac:dyDescent="0.25">
      <c r="A2394" s="1" t="str">
        <f ca="1">IFERROR(__xludf.DUMMYFUNCTION("""COMPUTED_VALUE"""),"Győri TSE")</f>
        <v>Győri TSE</v>
      </c>
      <c r="B2394" s="1" t="str">
        <f ca="1">IFERROR(__xludf.DUMMYFUNCTION("""COMPUTED_VALUE"""),"Solymos László")</f>
        <v>Solymos László</v>
      </c>
      <c r="C2394" s="1"/>
      <c r="D2394" s="1" t="str">
        <f ca="1">IFERROR(__xludf.DUMMYFUNCTION("""COMPUTED_VALUE"""),"Férfi")</f>
        <v>Férfi</v>
      </c>
      <c r="E2394" s="1"/>
      <c r="F2394" s="1">
        <f ca="1">IFERROR(__xludf.DUMMYFUNCTION("""COMPUTED_VALUE"""),1970)</f>
        <v>1970</v>
      </c>
      <c r="G2394" s="1">
        <f ca="1">IFERROR(__xludf.DUMMYFUNCTION("""COMPUTED_VALUE"""),2979)</f>
        <v>2979</v>
      </c>
      <c r="H2394" s="1" t="str">
        <f ca="1">IFERROR(__xludf.DUMMYFUNCTION("""COMPUTED_VALUE"""),"MTLSZ002979A17")</f>
        <v>MTLSZ002979A17</v>
      </c>
      <c r="I2394" s="2">
        <f ca="1">IFERROR(__xludf.DUMMYFUNCTION("""COMPUTED_VALUE"""),43007)</f>
        <v>43007</v>
      </c>
      <c r="J2394" s="2">
        <f ca="1">IFERROR(__xludf.DUMMYFUNCTION("""COMPUTED_VALUE"""),43371)</f>
        <v>43371</v>
      </c>
    </row>
    <row r="2395" spans="1:10" x14ac:dyDescent="0.25">
      <c r="A2395" s="1" t="str">
        <f ca="1">IFERROR(__xludf.DUMMYFUNCTION("""COMPUTED_VALUE"""),"Győri TSE")</f>
        <v>Győri TSE</v>
      </c>
      <c r="B2395" s="1" t="str">
        <f ca="1">IFERROR(__xludf.DUMMYFUNCTION("""COMPUTED_VALUE"""),"Szabó László")</f>
        <v>Szabó László</v>
      </c>
      <c r="C2395" s="1"/>
      <c r="D2395" s="1" t="str">
        <f ca="1">IFERROR(__xludf.DUMMYFUNCTION("""COMPUTED_VALUE"""),"Férfi")</f>
        <v>Férfi</v>
      </c>
      <c r="E2395" s="1"/>
      <c r="F2395" s="1">
        <f ca="1">IFERROR(__xludf.DUMMYFUNCTION("""COMPUTED_VALUE"""),1968)</f>
        <v>1968</v>
      </c>
      <c r="G2395" s="1">
        <f ca="1">IFERROR(__xludf.DUMMYFUNCTION("""COMPUTED_VALUE"""),2980)</f>
        <v>2980</v>
      </c>
      <c r="H2395" s="1" t="str">
        <f ca="1">IFERROR(__xludf.DUMMYFUNCTION("""COMPUTED_VALUE"""),"MTLSZ002980A17")</f>
        <v>MTLSZ002980A17</v>
      </c>
      <c r="I2395" s="2">
        <f ca="1">IFERROR(__xludf.DUMMYFUNCTION("""COMPUTED_VALUE"""),43007)</f>
        <v>43007</v>
      </c>
      <c r="J2395" s="2">
        <f ca="1">IFERROR(__xludf.DUMMYFUNCTION("""COMPUTED_VALUE"""),43371)</f>
        <v>43371</v>
      </c>
    </row>
    <row r="2396" spans="1:10" x14ac:dyDescent="0.25">
      <c r="A2396" s="1" t="str">
        <f ca="1">IFERROR(__xludf.DUMMYFUNCTION("""COMPUTED_VALUE"""),"Győri TSE")</f>
        <v>Győri TSE</v>
      </c>
      <c r="B2396" s="1" t="str">
        <f ca="1">IFERROR(__xludf.DUMMYFUNCTION("""COMPUTED_VALUE"""),"Sztanek Sándor")</f>
        <v>Sztanek Sándor</v>
      </c>
      <c r="C2396" s="1"/>
      <c r="D2396" s="1" t="str">
        <f ca="1">IFERROR(__xludf.DUMMYFUNCTION("""COMPUTED_VALUE"""),"Férfi")</f>
        <v>Férfi</v>
      </c>
      <c r="E2396" s="1"/>
      <c r="F2396" s="1">
        <f ca="1">IFERROR(__xludf.DUMMYFUNCTION("""COMPUTED_VALUE"""),1984)</f>
        <v>1984</v>
      </c>
      <c r="G2396" s="1">
        <f ca="1">IFERROR(__xludf.DUMMYFUNCTION("""COMPUTED_VALUE"""),973)</f>
        <v>973</v>
      </c>
      <c r="H2396" s="1" t="str">
        <f ca="1">IFERROR(__xludf.DUMMYFUNCTION("""COMPUTED_VALUE"""),"MTLSZ000973A17")</f>
        <v>MTLSZ000973A17</v>
      </c>
      <c r="I2396" s="2">
        <f ca="1">IFERROR(__xludf.DUMMYFUNCTION("""COMPUTED_VALUE"""),43007)</f>
        <v>43007</v>
      </c>
      <c r="J2396" s="2">
        <f ca="1">IFERROR(__xludf.DUMMYFUNCTION("""COMPUTED_VALUE"""),43371)</f>
        <v>43371</v>
      </c>
    </row>
    <row r="2397" spans="1:10" x14ac:dyDescent="0.25">
      <c r="A2397" s="1" t="str">
        <f ca="1">IFERROR(__xludf.DUMMYFUNCTION("""COMPUTED_VALUE"""),"Ludovika SE")</f>
        <v>Ludovika SE</v>
      </c>
      <c r="B2397" s="1" t="str">
        <f ca="1">IFERROR(__xludf.DUMMYFUNCTION("""COMPUTED_VALUE"""),"Kálcza Zsuzsanna")</f>
        <v>Kálcza Zsuzsanna</v>
      </c>
      <c r="C2397" s="1"/>
      <c r="D2397" s="1" t="str">
        <f ca="1">IFERROR(__xludf.DUMMYFUNCTION("""COMPUTED_VALUE"""),"Nő")</f>
        <v>Nő</v>
      </c>
      <c r="E2397" s="1"/>
      <c r="F2397" s="1">
        <f ca="1">IFERROR(__xludf.DUMMYFUNCTION("""COMPUTED_VALUE"""),1987)</f>
        <v>1987</v>
      </c>
      <c r="G2397" s="1">
        <f ca="1">IFERROR(__xludf.DUMMYFUNCTION("""COMPUTED_VALUE"""),421)</f>
        <v>421</v>
      </c>
      <c r="H2397" s="1" t="str">
        <f ca="1">IFERROR(__xludf.DUMMYFUNCTION("""COMPUTED_VALUE"""),"MTLSZ000421A17")</f>
        <v>MTLSZ000421A17</v>
      </c>
      <c r="I2397" s="2">
        <f ca="1">IFERROR(__xludf.DUMMYFUNCTION("""COMPUTED_VALUE"""),43006)</f>
        <v>43006</v>
      </c>
      <c r="J2397" s="2">
        <f ca="1">IFERROR(__xludf.DUMMYFUNCTION("""COMPUTED_VALUE"""),43370)</f>
        <v>43370</v>
      </c>
    </row>
    <row r="2398" spans="1:10" x14ac:dyDescent="0.25">
      <c r="A2398" s="1" t="str">
        <f ca="1">IFERROR(__xludf.DUMMYFUNCTION("""COMPUTED_VALUE"""),"Talentum TSE")</f>
        <v>Talentum TSE</v>
      </c>
      <c r="B2398" s="1" t="str">
        <f ca="1">IFERROR(__xludf.DUMMYFUNCTION("""COMPUTED_VALUE"""),"Halász Máté")</f>
        <v>Halász Máté</v>
      </c>
      <c r="C2398" s="1"/>
      <c r="D2398" s="1" t="str">
        <f ca="1">IFERROR(__xludf.DUMMYFUNCTION("""COMPUTED_VALUE"""),"Férfi")</f>
        <v>Férfi</v>
      </c>
      <c r="E2398" s="1"/>
      <c r="F2398" s="1">
        <f ca="1">IFERROR(__xludf.DUMMYFUNCTION("""COMPUTED_VALUE"""),2003)</f>
        <v>2003</v>
      </c>
      <c r="G2398" s="1">
        <f ca="1">IFERROR(__xludf.DUMMYFUNCTION("""COMPUTED_VALUE"""),2969)</f>
        <v>2969</v>
      </c>
      <c r="H2398" s="1" t="str">
        <f ca="1">IFERROR(__xludf.DUMMYFUNCTION("""COMPUTED_VALUE"""),"MTLSZ002969A17")</f>
        <v>MTLSZ002969A17</v>
      </c>
      <c r="I2398" s="2">
        <f ca="1">IFERROR(__xludf.DUMMYFUNCTION("""COMPUTED_VALUE"""),43005)</f>
        <v>43005</v>
      </c>
      <c r="J2398" s="2">
        <f ca="1">IFERROR(__xludf.DUMMYFUNCTION("""COMPUTED_VALUE"""),43369)</f>
        <v>43369</v>
      </c>
    </row>
    <row r="2399" spans="1:10" x14ac:dyDescent="0.25">
      <c r="A2399" s="1" t="str">
        <f ca="1">IFERROR(__xludf.DUMMYFUNCTION("""COMPUTED_VALUE"""),"BEAC")</f>
        <v>BEAC</v>
      </c>
      <c r="B2399" s="1" t="str">
        <f ca="1">IFERROR(__xludf.DUMMYFUNCTION("""COMPUTED_VALUE"""),"Gyurkovics Zsuzsa")</f>
        <v>Gyurkovics Zsuzsa</v>
      </c>
      <c r="C2399" s="1"/>
      <c r="D2399" s="1" t="str">
        <f ca="1">IFERROR(__xludf.DUMMYFUNCTION("""COMPUTED_VALUE"""),"Nő")</f>
        <v>Nő</v>
      </c>
      <c r="E2399" s="1"/>
      <c r="F2399" s="1">
        <f ca="1">IFERROR(__xludf.DUMMYFUNCTION("""COMPUTED_VALUE"""),1985)</f>
        <v>1985</v>
      </c>
      <c r="G2399" s="1">
        <f ca="1">IFERROR(__xludf.DUMMYFUNCTION("""COMPUTED_VALUE"""),318)</f>
        <v>318</v>
      </c>
      <c r="H2399" s="1" t="str">
        <f ca="1">IFERROR(__xludf.DUMMYFUNCTION("""COMPUTED_VALUE"""),"MTLSZ000318A17")</f>
        <v>MTLSZ000318A17</v>
      </c>
      <c r="I2399" s="2">
        <f ca="1">IFERROR(__xludf.DUMMYFUNCTION("""COMPUTED_VALUE"""),43004)</f>
        <v>43004</v>
      </c>
      <c r="J2399" s="2">
        <f ca="1">IFERROR(__xludf.DUMMYFUNCTION("""COMPUTED_VALUE"""),43368)</f>
        <v>43368</v>
      </c>
    </row>
    <row r="2400" spans="1:10" x14ac:dyDescent="0.25">
      <c r="A2400" s="1" t="str">
        <f ca="1">IFERROR(__xludf.DUMMYFUNCTION("""COMPUTED_VALUE"""),"NYVSC")</f>
        <v>NYVSC</v>
      </c>
      <c r="B2400" s="1" t="str">
        <f ca="1">IFERROR(__xludf.DUMMYFUNCTION("""COMPUTED_VALUE"""),"Simon Balázs")</f>
        <v>Simon Balázs</v>
      </c>
      <c r="C2400" s="1"/>
      <c r="D2400" s="1" t="str">
        <f ca="1">IFERROR(__xludf.DUMMYFUNCTION("""COMPUTED_VALUE"""),"Férfi")</f>
        <v>Férfi</v>
      </c>
      <c r="E2400" s="1"/>
      <c r="F2400" s="1">
        <f ca="1">IFERROR(__xludf.DUMMYFUNCTION("""COMPUTED_VALUE"""),2001)</f>
        <v>2001</v>
      </c>
      <c r="G2400" s="1">
        <f ca="1">IFERROR(__xludf.DUMMYFUNCTION("""COMPUTED_VALUE"""),2225)</f>
        <v>2225</v>
      </c>
      <c r="H2400" s="1" t="str">
        <f ca="1">IFERROR(__xludf.DUMMYFUNCTION("""COMPUTED_VALUE"""),"MTLSZ002225A17")</f>
        <v>MTLSZ002225A17</v>
      </c>
      <c r="I2400" s="2">
        <f ca="1">IFERROR(__xludf.DUMMYFUNCTION("""COMPUTED_VALUE"""),43004)</f>
        <v>43004</v>
      </c>
      <c r="J2400" s="2">
        <f ca="1">IFERROR(__xludf.DUMMYFUNCTION("""COMPUTED_VALUE"""),43368)</f>
        <v>43368</v>
      </c>
    </row>
    <row r="2401" spans="1:10" x14ac:dyDescent="0.25">
      <c r="A2401" s="1" t="str">
        <f ca="1">IFERROR(__xludf.DUMMYFUNCTION("""COMPUTED_VALUE"""),"Vízművek SK")</f>
        <v>Vízművek SK</v>
      </c>
      <c r="B2401" s="1" t="str">
        <f ca="1">IFERROR(__xludf.DUMMYFUNCTION("""COMPUTED_VALUE"""),"Horváth Barnabás")</f>
        <v>Horváth Barnabás</v>
      </c>
      <c r="C2401" s="1"/>
      <c r="D2401" s="1" t="str">
        <f ca="1">IFERROR(__xludf.DUMMYFUNCTION("""COMPUTED_VALUE"""),"Férfi")</f>
        <v>Férfi</v>
      </c>
      <c r="E2401" s="1"/>
      <c r="F2401" s="1">
        <f ca="1">IFERROR(__xludf.DUMMYFUNCTION("""COMPUTED_VALUE"""),1999)</f>
        <v>1999</v>
      </c>
      <c r="G2401" s="1">
        <f ca="1">IFERROR(__xludf.DUMMYFUNCTION("""COMPUTED_VALUE"""),2266)</f>
        <v>2266</v>
      </c>
      <c r="H2401" s="1" t="str">
        <f ca="1">IFERROR(__xludf.DUMMYFUNCTION("""COMPUTED_VALUE"""),"MTLSZ002266A17")</f>
        <v>MTLSZ002266A17</v>
      </c>
      <c r="I2401" s="2">
        <f ca="1">IFERROR(__xludf.DUMMYFUNCTION("""COMPUTED_VALUE"""),43000)</f>
        <v>43000</v>
      </c>
      <c r="J2401" s="2">
        <f ca="1">IFERROR(__xludf.DUMMYFUNCTION("""COMPUTED_VALUE"""),43364)</f>
        <v>43364</v>
      </c>
    </row>
    <row r="2402" spans="1:10" x14ac:dyDescent="0.25">
      <c r="A2402" s="1" t="str">
        <f ca="1">IFERROR(__xludf.DUMMYFUNCTION("""COMPUTED_VALUE"""),"JALTE")</f>
        <v>JALTE</v>
      </c>
      <c r="B2402" s="1" t="str">
        <f ca="1">IFERROR(__xludf.DUMMYFUNCTION("""COMPUTED_VALUE"""),"Sznida Tamás")</f>
        <v>Sznida Tamás</v>
      </c>
      <c r="C2402" s="1"/>
      <c r="D2402" s="1" t="str">
        <f ca="1">IFERROR(__xludf.DUMMYFUNCTION("""COMPUTED_VALUE"""),"Férfi")</f>
        <v>Férfi</v>
      </c>
      <c r="E2402" s="1"/>
      <c r="F2402" s="1">
        <f ca="1">IFERROR(__xludf.DUMMYFUNCTION("""COMPUTED_VALUE"""),1977)</f>
        <v>1977</v>
      </c>
      <c r="G2402" s="1">
        <f ca="1">IFERROR(__xludf.DUMMYFUNCTION("""COMPUTED_VALUE"""),2965)</f>
        <v>2965</v>
      </c>
      <c r="H2402" s="1" t="str">
        <f ca="1">IFERROR(__xludf.DUMMYFUNCTION("""COMPUTED_VALUE"""),"MTLSZ002965A17")</f>
        <v>MTLSZ002965A17</v>
      </c>
      <c r="I2402" s="2">
        <f ca="1">IFERROR(__xludf.DUMMYFUNCTION("""COMPUTED_VALUE"""),42997)</f>
        <v>42997</v>
      </c>
      <c r="J2402" s="2">
        <f ca="1">IFERROR(__xludf.DUMMYFUNCTION("""COMPUTED_VALUE"""),43361)</f>
        <v>43361</v>
      </c>
    </row>
    <row r="2403" spans="1:10" x14ac:dyDescent="0.25">
      <c r="A2403" s="1" t="str">
        <f ca="1">IFERROR(__xludf.DUMMYFUNCTION("""COMPUTED_VALUE"""),"Tisza TSE")</f>
        <v>Tisza TSE</v>
      </c>
      <c r="B2403" s="1" t="str">
        <f ca="1">IFERROR(__xludf.DUMMYFUNCTION("""COMPUTED_VALUE"""),"Joyireh Avi Manasiye")</f>
        <v>Joyireh Avi Manasiye</v>
      </c>
      <c r="C2403" s="1"/>
      <c r="D2403" s="1" t="str">
        <f ca="1">IFERROR(__xludf.DUMMYFUNCTION("""COMPUTED_VALUE"""),"Férfi")</f>
        <v>Férfi</v>
      </c>
      <c r="E2403" s="1"/>
      <c r="F2403" s="1">
        <f ca="1">IFERROR(__xludf.DUMMYFUNCTION("""COMPUTED_VALUE"""),1998)</f>
        <v>1998</v>
      </c>
      <c r="G2403" s="1">
        <f ca="1">IFERROR(__xludf.DUMMYFUNCTION("""COMPUTED_VALUE"""),2967)</f>
        <v>2967</v>
      </c>
      <c r="H2403" s="1" t="str">
        <f ca="1">IFERROR(__xludf.DUMMYFUNCTION("""COMPUTED_VALUE"""),"MTLSZ002967A17")</f>
        <v>MTLSZ002967A17</v>
      </c>
      <c r="I2403" s="2">
        <f ca="1">IFERROR(__xludf.DUMMYFUNCTION("""COMPUTED_VALUE"""),42997)</f>
        <v>42997</v>
      </c>
      <c r="J2403" s="2">
        <f ca="1">IFERROR(__xludf.DUMMYFUNCTION("""COMPUTED_VALUE"""),43361)</f>
        <v>43361</v>
      </c>
    </row>
    <row r="2404" spans="1:10" x14ac:dyDescent="0.25">
      <c r="A2404" s="1" t="str">
        <f ca="1">IFERROR(__xludf.DUMMYFUNCTION("""COMPUTED_VALUE"""),"Tisza TSE")</f>
        <v>Tisza TSE</v>
      </c>
      <c r="B2404" s="1" t="str">
        <f ca="1">IFERROR(__xludf.DUMMYFUNCTION("""COMPUTED_VALUE"""),"Sadaic Inga")</f>
        <v>Sadaic Inga</v>
      </c>
      <c r="C2404" s="1"/>
      <c r="D2404" s="1" t="str">
        <f ca="1">IFERROR(__xludf.DUMMYFUNCTION("""COMPUTED_VALUE"""),"Nő")</f>
        <v>Nő</v>
      </c>
      <c r="E2404" s="1"/>
      <c r="F2404" s="1">
        <f ca="1">IFERROR(__xludf.DUMMYFUNCTION("""COMPUTED_VALUE"""),2001)</f>
        <v>2001</v>
      </c>
      <c r="G2404" s="1">
        <f ca="1">IFERROR(__xludf.DUMMYFUNCTION("""COMPUTED_VALUE"""),2966)</f>
        <v>2966</v>
      </c>
      <c r="H2404" s="1" t="str">
        <f ca="1">IFERROR(__xludf.DUMMYFUNCTION("""COMPUTED_VALUE"""),"MTLSZ002966A17")</f>
        <v>MTLSZ002966A17</v>
      </c>
      <c r="I2404" s="2">
        <f ca="1">IFERROR(__xludf.DUMMYFUNCTION("""COMPUTED_VALUE"""),42997)</f>
        <v>42997</v>
      </c>
      <c r="J2404" s="2">
        <f ca="1">IFERROR(__xludf.DUMMYFUNCTION("""COMPUTED_VALUE"""),43361)</f>
        <v>43361</v>
      </c>
    </row>
    <row r="2405" spans="1:10" x14ac:dyDescent="0.25">
      <c r="A2405" s="1" t="str">
        <f ca="1">IFERROR(__xludf.DUMMYFUNCTION("""COMPUTED_VALUE"""),"Tisza TSE")</f>
        <v>Tisza TSE</v>
      </c>
      <c r="B2405" s="1" t="str">
        <f ca="1">IFERROR(__xludf.DUMMYFUNCTION("""COMPUTED_VALUE"""),"Sutara Dorotea")</f>
        <v>Sutara Dorotea</v>
      </c>
      <c r="C2405" s="1"/>
      <c r="D2405" s="1" t="str">
        <f ca="1">IFERROR(__xludf.DUMMYFUNCTION("""COMPUTED_VALUE"""),"Nő")</f>
        <v>Nő</v>
      </c>
      <c r="E2405" s="1"/>
      <c r="F2405" s="1">
        <f ca="1">IFERROR(__xludf.DUMMYFUNCTION("""COMPUTED_VALUE"""),1996)</f>
        <v>1996</v>
      </c>
      <c r="G2405" s="1">
        <f ca="1">IFERROR(__xludf.DUMMYFUNCTION("""COMPUTED_VALUE"""),2526)</f>
        <v>2526</v>
      </c>
      <c r="H2405" s="1" t="str">
        <f ca="1">IFERROR(__xludf.DUMMYFUNCTION("""COMPUTED_VALUE"""),"MTLSZ002526A17")</f>
        <v>MTLSZ002526A17</v>
      </c>
      <c r="I2405" s="2">
        <f ca="1">IFERROR(__xludf.DUMMYFUNCTION("""COMPUTED_VALUE"""),42997)</f>
        <v>42997</v>
      </c>
      <c r="J2405" s="2">
        <f ca="1">IFERROR(__xludf.DUMMYFUNCTION("""COMPUTED_VALUE"""),43361)</f>
        <v>43361</v>
      </c>
    </row>
    <row r="2406" spans="1:10" x14ac:dyDescent="0.25">
      <c r="A2406" s="1" t="str">
        <f ca="1">IFERROR(__xludf.DUMMYFUNCTION("""COMPUTED_VALUE"""),"Gődi SE")</f>
        <v>Gődi SE</v>
      </c>
      <c r="B2406" s="1" t="str">
        <f ca="1">IFERROR(__xludf.DUMMYFUNCTION("""COMPUTED_VALUE"""),"Parti Mira")</f>
        <v>Parti Mira</v>
      </c>
      <c r="C2406" s="1"/>
      <c r="D2406" s="1" t="str">
        <f ca="1">IFERROR(__xludf.DUMMYFUNCTION("""COMPUTED_VALUE"""),"Nő")</f>
        <v>Nő</v>
      </c>
      <c r="E2406" s="1"/>
      <c r="F2406" s="1">
        <f ca="1">IFERROR(__xludf.DUMMYFUNCTION("""COMPUTED_VALUE"""),2004)</f>
        <v>2004</v>
      </c>
      <c r="G2406" s="1">
        <f ca="1">IFERROR(__xludf.DUMMYFUNCTION("""COMPUTED_VALUE"""),2958)</f>
        <v>2958</v>
      </c>
      <c r="H2406" s="1" t="str">
        <f ca="1">IFERROR(__xludf.DUMMYFUNCTION("""COMPUTED_VALUE"""),"MTLSZ002958A17")</f>
        <v>MTLSZ002958A17</v>
      </c>
      <c r="I2406" s="2">
        <f ca="1">IFERROR(__xludf.DUMMYFUNCTION("""COMPUTED_VALUE"""),42996)</f>
        <v>42996</v>
      </c>
      <c r="J2406" s="2">
        <f ca="1">IFERROR(__xludf.DUMMYFUNCTION("""COMPUTED_VALUE"""),43360)</f>
        <v>43360</v>
      </c>
    </row>
    <row r="2407" spans="1:10" x14ac:dyDescent="0.25">
      <c r="A2407" s="1" t="str">
        <f ca="1">IFERROR(__xludf.DUMMYFUNCTION("""COMPUTED_VALUE"""),"Gődi SE")</f>
        <v>Gődi SE</v>
      </c>
      <c r="B2407" s="1" t="str">
        <f ca="1">IFERROR(__xludf.DUMMYFUNCTION("""COMPUTED_VALUE"""),"Százados Domonkos")</f>
        <v>Százados Domonkos</v>
      </c>
      <c r="C2407" s="1"/>
      <c r="D2407" s="1" t="str">
        <f ca="1">IFERROR(__xludf.DUMMYFUNCTION("""COMPUTED_VALUE"""),"Férfi")</f>
        <v>Férfi</v>
      </c>
      <c r="E2407" s="1"/>
      <c r="F2407" s="1">
        <f ca="1">IFERROR(__xludf.DUMMYFUNCTION("""COMPUTED_VALUE"""),2007)</f>
        <v>2007</v>
      </c>
      <c r="G2407" s="1">
        <f ca="1">IFERROR(__xludf.DUMMYFUNCTION("""COMPUTED_VALUE"""),2959)</f>
        <v>2959</v>
      </c>
      <c r="H2407" s="1" t="str">
        <f ca="1">IFERROR(__xludf.DUMMYFUNCTION("""COMPUTED_VALUE"""),"MTLSZ002959A17")</f>
        <v>MTLSZ002959A17</v>
      </c>
      <c r="I2407" s="2">
        <f ca="1">IFERROR(__xludf.DUMMYFUNCTION("""COMPUTED_VALUE"""),42996)</f>
        <v>42996</v>
      </c>
      <c r="J2407" s="2">
        <f ca="1">IFERROR(__xludf.DUMMYFUNCTION("""COMPUTED_VALUE"""),43360)</f>
        <v>43360</v>
      </c>
    </row>
    <row r="2408" spans="1:10" x14ac:dyDescent="0.25">
      <c r="A2408" s="1" t="str">
        <f ca="1">IFERROR(__xludf.DUMMYFUNCTION("""COMPUTED_VALUE"""),"Gődi SE")</f>
        <v>Gődi SE</v>
      </c>
      <c r="B2408" s="1" t="str">
        <f ca="1">IFERROR(__xludf.DUMMYFUNCTION("""COMPUTED_VALUE"""),"Wass Andor")</f>
        <v>Wass Andor</v>
      </c>
      <c r="C2408" s="1"/>
      <c r="D2408" s="1" t="str">
        <f ca="1">IFERROR(__xludf.DUMMYFUNCTION("""COMPUTED_VALUE"""),"Férfi")</f>
        <v>Férfi</v>
      </c>
      <c r="E2408" s="1"/>
      <c r="F2408" s="1">
        <f ca="1">IFERROR(__xludf.DUMMYFUNCTION("""COMPUTED_VALUE"""),2005)</f>
        <v>2005</v>
      </c>
      <c r="G2408" s="1">
        <f ca="1">IFERROR(__xludf.DUMMYFUNCTION("""COMPUTED_VALUE"""),2960)</f>
        <v>2960</v>
      </c>
      <c r="H2408" s="1" t="str">
        <f ca="1">IFERROR(__xludf.DUMMYFUNCTION("""COMPUTED_VALUE"""),"MTLSZ002960A17")</f>
        <v>MTLSZ002960A17</v>
      </c>
      <c r="I2408" s="2">
        <f ca="1">IFERROR(__xludf.DUMMYFUNCTION("""COMPUTED_VALUE"""),42996)</f>
        <v>42996</v>
      </c>
      <c r="J2408" s="2">
        <f ca="1">IFERROR(__xludf.DUMMYFUNCTION("""COMPUTED_VALUE"""),43360)</f>
        <v>43360</v>
      </c>
    </row>
    <row r="2409" spans="1:10" x14ac:dyDescent="0.25">
      <c r="A2409" s="1" t="str">
        <f ca="1">IFERROR(__xludf.DUMMYFUNCTION("""COMPUTED_VALUE"""),"Soproni TSE")</f>
        <v>Soproni TSE</v>
      </c>
      <c r="B2409" s="1" t="str">
        <f ca="1">IFERROR(__xludf.DUMMYFUNCTION("""COMPUTED_VALUE"""),"Horváth Eszter")</f>
        <v>Horváth Eszter</v>
      </c>
      <c r="C2409" s="1"/>
      <c r="D2409" s="1" t="str">
        <f ca="1">IFERROR(__xludf.DUMMYFUNCTION("""COMPUTED_VALUE"""),"Nő")</f>
        <v>Nő</v>
      </c>
      <c r="E2409" s="1"/>
      <c r="F2409" s="1">
        <f ca="1">IFERROR(__xludf.DUMMYFUNCTION("""COMPUTED_VALUE"""),1988)</f>
        <v>1988</v>
      </c>
      <c r="G2409" s="1">
        <f ca="1">IFERROR(__xludf.DUMMYFUNCTION("""COMPUTED_VALUE"""),1284)</f>
        <v>1284</v>
      </c>
      <c r="H2409" s="1" t="str">
        <f ca="1">IFERROR(__xludf.DUMMYFUNCTION("""COMPUTED_VALUE"""),"MTLSZ001284A17")</f>
        <v>MTLSZ001284A17</v>
      </c>
      <c r="I2409" s="2">
        <f ca="1">IFERROR(__xludf.DUMMYFUNCTION("""COMPUTED_VALUE"""),42996)</f>
        <v>42996</v>
      </c>
      <c r="J2409" s="2">
        <f ca="1">IFERROR(__xludf.DUMMYFUNCTION("""COMPUTED_VALUE"""),43360)</f>
        <v>43360</v>
      </c>
    </row>
    <row r="2410" spans="1:10" x14ac:dyDescent="0.25">
      <c r="A2410" s="1" t="str">
        <f ca="1">IFERROR(__xludf.DUMMYFUNCTION("""COMPUTED_VALUE"""),"Soproni TSE")</f>
        <v>Soproni TSE</v>
      </c>
      <c r="B2410" s="1" t="str">
        <f ca="1">IFERROR(__xludf.DUMMYFUNCTION("""COMPUTED_VALUE"""),"Mihalcsik Gábor")</f>
        <v>Mihalcsik Gábor</v>
      </c>
      <c r="C2410" s="1"/>
      <c r="D2410" s="1" t="str">
        <f ca="1">IFERROR(__xludf.DUMMYFUNCTION("""COMPUTED_VALUE"""),"Férfi")</f>
        <v>Férfi</v>
      </c>
      <c r="E2410" s="1"/>
      <c r="F2410" s="1">
        <f ca="1">IFERROR(__xludf.DUMMYFUNCTION("""COMPUTED_VALUE"""),1993)</f>
        <v>1993</v>
      </c>
      <c r="G2410" s="1">
        <f ca="1">IFERROR(__xludf.DUMMYFUNCTION("""COMPUTED_VALUE"""),1884)</f>
        <v>1884</v>
      </c>
      <c r="H2410" s="1" t="str">
        <f ca="1">IFERROR(__xludf.DUMMYFUNCTION("""COMPUTED_VALUE"""),"MTLSZ001884A17")</f>
        <v>MTLSZ001884A17</v>
      </c>
      <c r="I2410" s="2">
        <f ca="1">IFERROR(__xludf.DUMMYFUNCTION("""COMPUTED_VALUE"""),42996)</f>
        <v>42996</v>
      </c>
      <c r="J2410" s="2">
        <f ca="1">IFERROR(__xludf.DUMMYFUNCTION("""COMPUTED_VALUE"""),43360)</f>
        <v>43360</v>
      </c>
    </row>
    <row r="2411" spans="1:10" x14ac:dyDescent="0.25">
      <c r="A2411" s="1" t="str">
        <f ca="1">IFERROR(__xludf.DUMMYFUNCTION("""COMPUTED_VALUE"""),"T(r)ollas SE")</f>
        <v>T(r)ollas SE</v>
      </c>
      <c r="B2411" s="1" t="str">
        <f ca="1">IFERROR(__xludf.DUMMYFUNCTION("""COMPUTED_VALUE"""),"Krasztev Lili")</f>
        <v>Krasztev Lili</v>
      </c>
      <c r="C2411" s="1"/>
      <c r="D2411" s="1" t="str">
        <f ca="1">IFERROR(__xludf.DUMMYFUNCTION("""COMPUTED_VALUE"""),"Nő")</f>
        <v>Nő</v>
      </c>
      <c r="E2411" s="1"/>
      <c r="F2411" s="1">
        <f ca="1">IFERROR(__xludf.DUMMYFUNCTION("""COMPUTED_VALUE"""),1994)</f>
        <v>1994</v>
      </c>
      <c r="G2411" s="1">
        <f ca="1">IFERROR(__xludf.DUMMYFUNCTION("""COMPUTED_VALUE"""),1546)</f>
        <v>1546</v>
      </c>
      <c r="H2411" s="1" t="str">
        <f ca="1">IFERROR(__xludf.DUMMYFUNCTION("""COMPUTED_VALUE"""),"MTLSZ001546A17")</f>
        <v>MTLSZ001546A17</v>
      </c>
      <c r="I2411" s="2">
        <f ca="1">IFERROR(__xludf.DUMMYFUNCTION("""COMPUTED_VALUE"""),42996)</f>
        <v>42996</v>
      </c>
      <c r="J2411" s="2">
        <f ca="1">IFERROR(__xludf.DUMMYFUNCTION("""COMPUTED_VALUE"""),43360)</f>
        <v>43360</v>
      </c>
    </row>
    <row r="2412" spans="1:10" x14ac:dyDescent="0.25">
      <c r="A2412" s="1" t="str">
        <f ca="1">IFERROR(__xludf.DUMMYFUNCTION("""COMPUTED_VALUE"""),"T(r)ollas SE")</f>
        <v>T(r)ollas SE</v>
      </c>
      <c r="B2412" s="1" t="str">
        <f ca="1">IFERROR(__xludf.DUMMYFUNCTION("""COMPUTED_VALUE"""),"Lengyel Csaba")</f>
        <v>Lengyel Csaba</v>
      </c>
      <c r="C2412" s="1"/>
      <c r="D2412" s="1" t="str">
        <f ca="1">IFERROR(__xludf.DUMMYFUNCTION("""COMPUTED_VALUE"""),"Férfi")</f>
        <v>Férfi</v>
      </c>
      <c r="E2412" s="1"/>
      <c r="F2412" s="1">
        <f ca="1">IFERROR(__xludf.DUMMYFUNCTION("""COMPUTED_VALUE"""),1975)</f>
        <v>1975</v>
      </c>
      <c r="G2412" s="1">
        <f ca="1">IFERROR(__xludf.DUMMYFUNCTION("""COMPUTED_VALUE"""),2770)</f>
        <v>2770</v>
      </c>
      <c r="H2412" s="1" t="str">
        <f ca="1">IFERROR(__xludf.DUMMYFUNCTION("""COMPUTED_VALUE"""),"MTLSZ002770A17")</f>
        <v>MTLSZ002770A17</v>
      </c>
      <c r="I2412" s="2">
        <f ca="1">IFERROR(__xludf.DUMMYFUNCTION("""COMPUTED_VALUE"""),42996)</f>
        <v>42996</v>
      </c>
      <c r="J2412" s="2">
        <f ca="1">IFERROR(__xludf.DUMMYFUNCTION("""COMPUTED_VALUE"""),43360)</f>
        <v>43360</v>
      </c>
    </row>
    <row r="2413" spans="1:10" x14ac:dyDescent="0.25">
      <c r="A2413" s="1" t="str">
        <f ca="1">IFERROR(__xludf.DUMMYFUNCTION("""COMPUTED_VALUE"""),"Ludovika SE")</f>
        <v>Ludovika SE</v>
      </c>
      <c r="B2413" s="1" t="str">
        <f ca="1">IFERROR(__xludf.DUMMYFUNCTION("""COMPUTED_VALUE"""),"Madarász Tamás")</f>
        <v>Madarász Tamás</v>
      </c>
      <c r="C2413" s="1"/>
      <c r="D2413" s="1" t="str">
        <f ca="1">IFERROR(__xludf.DUMMYFUNCTION("""COMPUTED_VALUE"""),"Férfi")</f>
        <v>Férfi</v>
      </c>
      <c r="E2413" s="1"/>
      <c r="F2413" s="1">
        <f ca="1">IFERROR(__xludf.DUMMYFUNCTION("""COMPUTED_VALUE"""),1997)</f>
        <v>1997</v>
      </c>
      <c r="G2413" s="1">
        <f ca="1">IFERROR(__xludf.DUMMYFUNCTION("""COMPUTED_VALUE"""),1982)</f>
        <v>1982</v>
      </c>
      <c r="H2413" s="1" t="str">
        <f ca="1">IFERROR(__xludf.DUMMYFUNCTION("""COMPUTED_VALUE"""),"MTLSZ001982A17")</f>
        <v>MTLSZ001982A17</v>
      </c>
      <c r="I2413" s="2">
        <f ca="1">IFERROR(__xludf.DUMMYFUNCTION("""COMPUTED_VALUE"""),42992)</f>
        <v>42992</v>
      </c>
      <c r="J2413" s="2">
        <f ca="1">IFERROR(__xludf.DUMMYFUNCTION("""COMPUTED_VALUE"""),43356)</f>
        <v>43356</v>
      </c>
    </row>
    <row r="2414" spans="1:10" x14ac:dyDescent="0.25">
      <c r="A2414" s="1" t="str">
        <f ca="1">IFERROR(__xludf.DUMMYFUNCTION("""COMPUTED_VALUE"""),"Ludovika SE")</f>
        <v>Ludovika SE</v>
      </c>
      <c r="B2414" s="1" t="str">
        <f ca="1">IFERROR(__xludf.DUMMYFUNCTION("""COMPUTED_VALUE"""),"Pásztor Renáta")</f>
        <v>Pásztor Renáta</v>
      </c>
      <c r="C2414" s="1"/>
      <c r="D2414" s="1" t="str">
        <f ca="1">IFERROR(__xludf.DUMMYFUNCTION("""COMPUTED_VALUE"""),"Nő")</f>
        <v>Nő</v>
      </c>
      <c r="E2414" s="1"/>
      <c r="F2414" s="1">
        <f ca="1">IFERROR(__xludf.DUMMYFUNCTION("""COMPUTED_VALUE"""),1996)</f>
        <v>1996</v>
      </c>
      <c r="G2414" s="1">
        <f ca="1">IFERROR(__xludf.DUMMYFUNCTION("""COMPUTED_VALUE"""),1901)</f>
        <v>1901</v>
      </c>
      <c r="H2414" s="1" t="str">
        <f ca="1">IFERROR(__xludf.DUMMYFUNCTION("""COMPUTED_VALUE"""),"MTLSZ001901A17")</f>
        <v>MTLSZ001901A17</v>
      </c>
      <c r="I2414" s="2">
        <f ca="1">IFERROR(__xludf.DUMMYFUNCTION("""COMPUTED_VALUE"""),42992)</f>
        <v>42992</v>
      </c>
      <c r="J2414" s="2">
        <f ca="1">IFERROR(__xludf.DUMMYFUNCTION("""COMPUTED_VALUE"""),43356)</f>
        <v>43356</v>
      </c>
    </row>
    <row r="2415" spans="1:10" x14ac:dyDescent="0.25">
      <c r="A2415" s="1" t="str">
        <f ca="1">IFERROR(__xludf.DUMMYFUNCTION("""COMPUTED_VALUE"""),"OSC")</f>
        <v>OSC</v>
      </c>
      <c r="B2415" s="1" t="str">
        <f ca="1">IFERROR(__xludf.DUMMYFUNCTION("""COMPUTED_VALUE"""),"Kovács Eszter")</f>
        <v>Kovács Eszter</v>
      </c>
      <c r="C2415" s="1"/>
      <c r="D2415" s="1" t="str">
        <f ca="1">IFERROR(__xludf.DUMMYFUNCTION("""COMPUTED_VALUE"""),"Nő")</f>
        <v>Nő</v>
      </c>
      <c r="E2415" s="1"/>
      <c r="F2415" s="1">
        <f ca="1">IFERROR(__xludf.DUMMYFUNCTION("""COMPUTED_VALUE"""),2008)</f>
        <v>2008</v>
      </c>
      <c r="G2415" s="1">
        <f ca="1">IFERROR(__xludf.DUMMYFUNCTION("""COMPUTED_VALUE"""),2947)</f>
        <v>2947</v>
      </c>
      <c r="H2415" s="1" t="str">
        <f ca="1">IFERROR(__xludf.DUMMYFUNCTION("""COMPUTED_VALUE"""),"MTLSZ002947A17")</f>
        <v>MTLSZ002947A17</v>
      </c>
      <c r="I2415" s="2">
        <f ca="1">IFERROR(__xludf.DUMMYFUNCTION("""COMPUTED_VALUE"""),42992)</f>
        <v>42992</v>
      </c>
      <c r="J2415" s="2">
        <f ca="1">IFERROR(__xludf.DUMMYFUNCTION("""COMPUTED_VALUE"""),43356)</f>
        <v>43356</v>
      </c>
    </row>
    <row r="2416" spans="1:10" x14ac:dyDescent="0.25">
      <c r="A2416" s="1" t="str">
        <f ca="1">IFERROR(__xludf.DUMMYFUNCTION("""COMPUTED_VALUE"""),"OSC")</f>
        <v>OSC</v>
      </c>
      <c r="B2416" s="1" t="str">
        <f ca="1">IFERROR(__xludf.DUMMYFUNCTION("""COMPUTED_VALUE"""),"Tiborcz Janka")</f>
        <v>Tiborcz Janka</v>
      </c>
      <c r="C2416" s="1"/>
      <c r="D2416" s="1" t="str">
        <f ca="1">IFERROR(__xludf.DUMMYFUNCTION("""COMPUTED_VALUE"""),"Nő")</f>
        <v>Nő</v>
      </c>
      <c r="E2416" s="1"/>
      <c r="F2416" s="1">
        <f ca="1">IFERROR(__xludf.DUMMYFUNCTION("""COMPUTED_VALUE"""),2005)</f>
        <v>2005</v>
      </c>
      <c r="G2416" s="1">
        <f ca="1">IFERROR(__xludf.DUMMYFUNCTION("""COMPUTED_VALUE"""),2948)</f>
        <v>2948</v>
      </c>
      <c r="H2416" s="1" t="str">
        <f ca="1">IFERROR(__xludf.DUMMYFUNCTION("""COMPUTED_VALUE"""),"MTLSZ002948A17")</f>
        <v>MTLSZ002948A17</v>
      </c>
      <c r="I2416" s="2">
        <f ca="1">IFERROR(__xludf.DUMMYFUNCTION("""COMPUTED_VALUE"""),42992)</f>
        <v>42992</v>
      </c>
      <c r="J2416" s="2">
        <f ca="1">IFERROR(__xludf.DUMMYFUNCTION("""COMPUTED_VALUE"""),43356)</f>
        <v>43356</v>
      </c>
    </row>
    <row r="2417" spans="1:10" x14ac:dyDescent="0.25">
      <c r="A2417" s="1" t="str">
        <f ca="1">IFERROR(__xludf.DUMMYFUNCTION("""COMPUTED_VALUE"""),"Talentum TSE")</f>
        <v>Talentum TSE</v>
      </c>
      <c r="B2417" s="1" t="str">
        <f ca="1">IFERROR(__xludf.DUMMYFUNCTION("""COMPUTED_VALUE"""),"Dankó Emese")</f>
        <v>Dankó Emese</v>
      </c>
      <c r="C2417" s="1"/>
      <c r="D2417" s="1" t="str">
        <f ca="1">IFERROR(__xludf.DUMMYFUNCTION("""COMPUTED_VALUE"""),"Nő")</f>
        <v>Nő</v>
      </c>
      <c r="E2417" s="1"/>
      <c r="F2417" s="1">
        <f ca="1">IFERROR(__xludf.DUMMYFUNCTION("""COMPUTED_VALUE"""),1999)</f>
        <v>1999</v>
      </c>
      <c r="G2417" s="1">
        <f ca="1">IFERROR(__xludf.DUMMYFUNCTION("""COMPUTED_VALUE"""),2944)</f>
        <v>2944</v>
      </c>
      <c r="H2417" s="1" t="str">
        <f ca="1">IFERROR(__xludf.DUMMYFUNCTION("""COMPUTED_VALUE"""),"MTLSZ002944A17")</f>
        <v>MTLSZ002944A17</v>
      </c>
      <c r="I2417" s="2">
        <f ca="1">IFERROR(__xludf.DUMMYFUNCTION("""COMPUTED_VALUE"""),42992)</f>
        <v>42992</v>
      </c>
      <c r="J2417" s="2">
        <f ca="1">IFERROR(__xludf.DUMMYFUNCTION("""COMPUTED_VALUE"""),43356)</f>
        <v>43356</v>
      </c>
    </row>
    <row r="2418" spans="1:10" x14ac:dyDescent="0.25">
      <c r="A2418" s="1" t="str">
        <f ca="1">IFERROR(__xludf.DUMMYFUNCTION("""COMPUTED_VALUE"""),"Vízművek SK")</f>
        <v>Vízművek SK</v>
      </c>
      <c r="B2418" s="1" t="str">
        <f ca="1">IFERROR(__xludf.DUMMYFUNCTION("""COMPUTED_VALUE"""),"Helybély Zsombor")</f>
        <v>Helybély Zsombor</v>
      </c>
      <c r="C2418" s="1"/>
      <c r="D2418" s="1" t="str">
        <f ca="1">IFERROR(__xludf.DUMMYFUNCTION("""COMPUTED_VALUE"""),"Férfi")</f>
        <v>Férfi</v>
      </c>
      <c r="E2418" s="1"/>
      <c r="F2418" s="1">
        <f ca="1">IFERROR(__xludf.DUMMYFUNCTION("""COMPUTED_VALUE"""),2001)</f>
        <v>2001</v>
      </c>
      <c r="G2418" s="1">
        <f ca="1">IFERROR(__xludf.DUMMYFUNCTION("""COMPUTED_VALUE"""),2735)</f>
        <v>2735</v>
      </c>
      <c r="H2418" s="1" t="str">
        <f ca="1">IFERROR(__xludf.DUMMYFUNCTION("""COMPUTED_VALUE"""),"MTLSZ002735A17")</f>
        <v>MTLSZ002735A17</v>
      </c>
      <c r="I2418" s="2">
        <f ca="1">IFERROR(__xludf.DUMMYFUNCTION("""COMPUTED_VALUE"""),42990)</f>
        <v>42990</v>
      </c>
      <c r="J2418" s="2">
        <f ca="1">IFERROR(__xludf.DUMMYFUNCTION("""COMPUTED_VALUE"""),43354)</f>
        <v>43354</v>
      </c>
    </row>
    <row r="2419" spans="1:10" x14ac:dyDescent="0.25">
      <c r="A2419" s="1" t="str">
        <f ca="1">IFERROR(__xludf.DUMMYFUNCTION("""COMPUTED_VALUE"""),"Vízművek SK")</f>
        <v>Vízművek SK</v>
      </c>
      <c r="B2419" s="1" t="str">
        <f ca="1">IFERROR(__xludf.DUMMYFUNCTION("""COMPUTED_VALUE"""),"Kónya Bernadett")</f>
        <v>Kónya Bernadett</v>
      </c>
      <c r="C2419" s="1"/>
      <c r="D2419" s="1" t="str">
        <f ca="1">IFERROR(__xludf.DUMMYFUNCTION("""COMPUTED_VALUE"""),"Nő")</f>
        <v>Nő</v>
      </c>
      <c r="E2419" s="1"/>
      <c r="F2419" s="1">
        <f ca="1">IFERROR(__xludf.DUMMYFUNCTION("""COMPUTED_VALUE"""),2001)</f>
        <v>2001</v>
      </c>
      <c r="G2419" s="1">
        <f ca="1">IFERROR(__xludf.DUMMYFUNCTION("""COMPUTED_VALUE"""),2510)</f>
        <v>2510</v>
      </c>
      <c r="H2419" s="1" t="str">
        <f ca="1">IFERROR(__xludf.DUMMYFUNCTION("""COMPUTED_VALUE"""),"MTLSZ002510A17")</f>
        <v>MTLSZ002510A17</v>
      </c>
      <c r="I2419" s="2">
        <f ca="1">IFERROR(__xludf.DUMMYFUNCTION("""COMPUTED_VALUE"""),42990)</f>
        <v>42990</v>
      </c>
      <c r="J2419" s="2">
        <f ca="1">IFERROR(__xludf.DUMMYFUNCTION("""COMPUTED_VALUE"""),43354)</f>
        <v>43354</v>
      </c>
    </row>
    <row r="2420" spans="1:10" x14ac:dyDescent="0.25">
      <c r="A2420" s="1" t="str">
        <f ca="1">IFERROR(__xludf.DUMMYFUNCTION("""COMPUTED_VALUE"""),"Vízművek SK")</f>
        <v>Vízművek SK</v>
      </c>
      <c r="B2420" s="1" t="str">
        <f ca="1">IFERROR(__xludf.DUMMYFUNCTION("""COMPUTED_VALUE"""),"Losonci Bertalan")</f>
        <v>Losonci Bertalan</v>
      </c>
      <c r="C2420" s="1"/>
      <c r="D2420" s="1" t="str">
        <f ca="1">IFERROR(__xludf.DUMMYFUNCTION("""COMPUTED_VALUE"""),"Férfi")</f>
        <v>Férfi</v>
      </c>
      <c r="E2420" s="1"/>
      <c r="F2420" s="1">
        <f ca="1">IFERROR(__xludf.DUMMYFUNCTION("""COMPUTED_VALUE"""),2001)</f>
        <v>2001</v>
      </c>
      <c r="G2420" s="1">
        <f ca="1">IFERROR(__xludf.DUMMYFUNCTION("""COMPUTED_VALUE"""),2493)</f>
        <v>2493</v>
      </c>
      <c r="H2420" s="1" t="str">
        <f ca="1">IFERROR(__xludf.DUMMYFUNCTION("""COMPUTED_VALUE"""),"MTLSZ002493A17")</f>
        <v>MTLSZ002493A17</v>
      </c>
      <c r="I2420" s="2">
        <f ca="1">IFERROR(__xludf.DUMMYFUNCTION("""COMPUTED_VALUE"""),42990)</f>
        <v>42990</v>
      </c>
      <c r="J2420" s="2">
        <f ca="1">IFERROR(__xludf.DUMMYFUNCTION("""COMPUTED_VALUE"""),43354)</f>
        <v>43354</v>
      </c>
    </row>
    <row r="2421" spans="1:10" x14ac:dyDescent="0.25">
      <c r="A2421" s="1" t="str">
        <f ca="1">IFERROR(__xludf.DUMMYFUNCTION("""COMPUTED_VALUE"""),"Vízművek SK")</f>
        <v>Vízművek SK</v>
      </c>
      <c r="B2421" s="1" t="str">
        <f ca="1">IFERROR(__xludf.DUMMYFUNCTION("""COMPUTED_VALUE"""),"Szabó Bence")</f>
        <v>Szabó Bence</v>
      </c>
      <c r="C2421" s="1"/>
      <c r="D2421" s="1" t="str">
        <f ca="1">IFERROR(__xludf.DUMMYFUNCTION("""COMPUTED_VALUE"""),"Férfi")</f>
        <v>Férfi</v>
      </c>
      <c r="E2421" s="1"/>
      <c r="F2421" s="1">
        <f ca="1">IFERROR(__xludf.DUMMYFUNCTION("""COMPUTED_VALUE"""),1999)</f>
        <v>1999</v>
      </c>
      <c r="G2421" s="1">
        <f ca="1">IFERROR(__xludf.DUMMYFUNCTION("""COMPUTED_VALUE"""),2602)</f>
        <v>2602</v>
      </c>
      <c r="H2421" s="1" t="str">
        <f ca="1">IFERROR(__xludf.DUMMYFUNCTION("""COMPUTED_VALUE"""),"MTLSZ002602A17")</f>
        <v>MTLSZ002602A17</v>
      </c>
      <c r="I2421" s="2">
        <f ca="1">IFERROR(__xludf.DUMMYFUNCTION("""COMPUTED_VALUE"""),42990)</f>
        <v>42990</v>
      </c>
      <c r="J2421" s="2">
        <f ca="1">IFERROR(__xludf.DUMMYFUNCTION("""COMPUTED_VALUE"""),43354)</f>
        <v>43354</v>
      </c>
    </row>
    <row r="2422" spans="1:10" x14ac:dyDescent="0.25">
      <c r="A2422" s="1" t="str">
        <f ca="1">IFERROR(__xludf.DUMMYFUNCTION("""COMPUTED_VALUE"""),"Multi Alarm SE")</f>
        <v>Multi Alarm SE</v>
      </c>
      <c r="B2422" s="1" t="str">
        <f ca="1">IFERROR(__xludf.DUMMYFUNCTION("""COMPUTED_VALUE"""),"Pehr Alexandra Anna")</f>
        <v>Pehr Alexandra Anna</v>
      </c>
      <c r="C2422" s="1"/>
      <c r="D2422" s="1" t="str">
        <f ca="1">IFERROR(__xludf.DUMMYFUNCTION("""COMPUTED_VALUE"""),"Nő")</f>
        <v>Nő</v>
      </c>
      <c r="E2422" s="1"/>
      <c r="F2422" s="1">
        <f ca="1">IFERROR(__xludf.DUMMYFUNCTION("""COMPUTED_VALUE"""),2002)</f>
        <v>2002</v>
      </c>
      <c r="G2422" s="1">
        <f ca="1">IFERROR(__xludf.DUMMYFUNCTION("""COMPUTED_VALUE"""),2538)</f>
        <v>2538</v>
      </c>
      <c r="H2422" s="1" t="str">
        <f ca="1">IFERROR(__xludf.DUMMYFUNCTION("""COMPUTED_VALUE"""),"MTLSZ002538A17")</f>
        <v>MTLSZ002538A17</v>
      </c>
      <c r="I2422" s="2">
        <f ca="1">IFERROR(__xludf.DUMMYFUNCTION("""COMPUTED_VALUE"""),42990)</f>
        <v>42990</v>
      </c>
      <c r="J2422" s="2">
        <f ca="1">IFERROR(__xludf.DUMMYFUNCTION("""COMPUTED_VALUE"""),43354)</f>
        <v>43354</v>
      </c>
    </row>
    <row r="2423" spans="1:10" x14ac:dyDescent="0.25">
      <c r="A2423" s="1" t="str">
        <f ca="1">IFERROR(__xludf.DUMMYFUNCTION("""COMPUTED_VALUE"""),"Multi Alarm SE")</f>
        <v>Multi Alarm SE</v>
      </c>
      <c r="B2423" s="1" t="str">
        <f ca="1">IFERROR(__xludf.DUMMYFUNCTION("""COMPUTED_VALUE"""),"Perusza Zoltán")</f>
        <v>Perusza Zoltán</v>
      </c>
      <c r="C2423" s="1"/>
      <c r="D2423" s="1" t="str">
        <f ca="1">IFERROR(__xludf.DUMMYFUNCTION("""COMPUTED_VALUE"""),"Férfi")</f>
        <v>Férfi</v>
      </c>
      <c r="E2423" s="1"/>
      <c r="F2423" s="1">
        <f ca="1">IFERROR(__xludf.DUMMYFUNCTION("""COMPUTED_VALUE"""),2000)</f>
        <v>2000</v>
      </c>
      <c r="G2423" s="1">
        <f ca="1">IFERROR(__xludf.DUMMYFUNCTION("""COMPUTED_VALUE"""),1969)</f>
        <v>1969</v>
      </c>
      <c r="H2423" s="1" t="str">
        <f ca="1">IFERROR(__xludf.DUMMYFUNCTION("""COMPUTED_VALUE"""),"MTLSZ001969A17")</f>
        <v>MTLSZ001969A17</v>
      </c>
      <c r="I2423" s="2">
        <f ca="1">IFERROR(__xludf.DUMMYFUNCTION("""COMPUTED_VALUE"""),42990)</f>
        <v>42990</v>
      </c>
      <c r="J2423" s="2">
        <f ca="1">IFERROR(__xludf.DUMMYFUNCTION("""COMPUTED_VALUE"""),43354)</f>
        <v>43354</v>
      </c>
    </row>
    <row r="2424" spans="1:10" x14ac:dyDescent="0.25">
      <c r="A2424" s="1" t="str">
        <f ca="1">IFERROR(__xludf.DUMMYFUNCTION("""COMPUTED_VALUE"""),"NYVSC")</f>
        <v>NYVSC</v>
      </c>
      <c r="B2424" s="1" t="str">
        <f ca="1">IFERROR(__xludf.DUMMYFUNCTION("""COMPUTED_VALUE"""),"Szentpáli Ákos")</f>
        <v>Szentpáli Ákos</v>
      </c>
      <c r="C2424" s="1"/>
      <c r="D2424" s="1" t="str">
        <f ca="1">IFERROR(__xludf.DUMMYFUNCTION("""COMPUTED_VALUE"""),"Férfi")</f>
        <v>Férfi</v>
      </c>
      <c r="E2424" s="1"/>
      <c r="F2424" s="1">
        <f ca="1">IFERROR(__xludf.DUMMYFUNCTION("""COMPUTED_VALUE"""),2008)</f>
        <v>2008</v>
      </c>
      <c r="G2424" s="1">
        <f ca="1">IFERROR(__xludf.DUMMYFUNCTION("""COMPUTED_VALUE"""),2853)</f>
        <v>2853</v>
      </c>
      <c r="H2424" s="1" t="str">
        <f ca="1">IFERROR(__xludf.DUMMYFUNCTION("""COMPUTED_VALUE"""),"MTLSZ002853A17")</f>
        <v>MTLSZ002853A17</v>
      </c>
      <c r="I2424" s="2">
        <f ca="1">IFERROR(__xludf.DUMMYFUNCTION("""COMPUTED_VALUE"""),42989)</f>
        <v>42989</v>
      </c>
      <c r="J2424" s="2">
        <f ca="1">IFERROR(__xludf.DUMMYFUNCTION("""COMPUTED_VALUE"""),43353)</f>
        <v>43353</v>
      </c>
    </row>
    <row r="2425" spans="1:10" x14ac:dyDescent="0.25">
      <c r="A2425" s="1" t="str">
        <f ca="1">IFERROR(__xludf.DUMMYFUNCTION("""COMPUTED_VALUE"""),"Danubius KSE")</f>
        <v>Danubius KSE</v>
      </c>
      <c r="B2425" s="1" t="str">
        <f ca="1">IFERROR(__xludf.DUMMYFUNCTION("""COMPUTED_VALUE"""),"Lendvay Katalin")</f>
        <v>Lendvay Katalin</v>
      </c>
      <c r="C2425" s="1"/>
      <c r="D2425" s="1" t="str">
        <f ca="1">IFERROR(__xludf.DUMMYFUNCTION("""COMPUTED_VALUE"""),"Nő")</f>
        <v>Nő</v>
      </c>
      <c r="E2425" s="1"/>
      <c r="F2425" s="1">
        <f ca="1">IFERROR(__xludf.DUMMYFUNCTION("""COMPUTED_VALUE"""),1982)</f>
        <v>1982</v>
      </c>
      <c r="G2425" s="1">
        <f ca="1">IFERROR(__xludf.DUMMYFUNCTION("""COMPUTED_VALUE"""),1672)</f>
        <v>1672</v>
      </c>
      <c r="H2425" s="1" t="str">
        <f ca="1">IFERROR(__xludf.DUMMYFUNCTION("""COMPUTED_VALUE"""),"MTLSZ001672A17")</f>
        <v>MTLSZ001672A17</v>
      </c>
      <c r="I2425" s="2">
        <f ca="1">IFERROR(__xludf.DUMMYFUNCTION("""COMPUTED_VALUE"""),42988)</f>
        <v>42988</v>
      </c>
      <c r="J2425" s="2">
        <f ca="1">IFERROR(__xludf.DUMMYFUNCTION("""COMPUTED_VALUE"""),43352)</f>
        <v>43352</v>
      </c>
    </row>
    <row r="2426" spans="1:10" x14ac:dyDescent="0.25">
      <c r="A2426" s="1" t="str">
        <f ca="1">IFERROR(__xludf.DUMMYFUNCTION("""COMPUTED_VALUE"""),"Danubius KSE")</f>
        <v>Danubius KSE</v>
      </c>
      <c r="B2426" s="1" t="str">
        <f ca="1">IFERROR(__xludf.DUMMYFUNCTION("""COMPUTED_VALUE"""),"Vagyóczki Dávid")</f>
        <v>Vagyóczki Dávid</v>
      </c>
      <c r="C2426" s="1"/>
      <c r="D2426" s="1" t="str">
        <f ca="1">IFERROR(__xludf.DUMMYFUNCTION("""COMPUTED_VALUE"""),"Férfi")</f>
        <v>Férfi</v>
      </c>
      <c r="E2426" s="1"/>
      <c r="F2426" s="1">
        <f ca="1">IFERROR(__xludf.DUMMYFUNCTION("""COMPUTED_VALUE"""),2005)</f>
        <v>2005</v>
      </c>
      <c r="G2426" s="1">
        <f ca="1">IFERROR(__xludf.DUMMYFUNCTION("""COMPUTED_VALUE"""),2621)</f>
        <v>2621</v>
      </c>
      <c r="H2426" s="1" t="str">
        <f ca="1">IFERROR(__xludf.DUMMYFUNCTION("""COMPUTED_VALUE"""),"MTLSZ002621A17")</f>
        <v>MTLSZ002621A17</v>
      </c>
      <c r="I2426" s="2">
        <f ca="1">IFERROR(__xludf.DUMMYFUNCTION("""COMPUTED_VALUE"""),42988)</f>
        <v>42988</v>
      </c>
      <c r="J2426" s="2">
        <f ca="1">IFERROR(__xludf.DUMMYFUNCTION("""COMPUTED_VALUE"""),43352)</f>
        <v>43352</v>
      </c>
    </row>
    <row r="2427" spans="1:10" x14ac:dyDescent="0.25">
      <c r="A2427" s="1" t="str">
        <f ca="1">IFERROR(__xludf.DUMMYFUNCTION("""COMPUTED_VALUE"""),"Tisza TSE")</f>
        <v>Tisza TSE</v>
      </c>
      <c r="B2427" s="1" t="str">
        <f ca="1">IFERROR(__xludf.DUMMYFUNCTION("""COMPUTED_VALUE"""),"Prágai Patrik")</f>
        <v>Prágai Patrik</v>
      </c>
      <c r="C2427" s="1"/>
      <c r="D2427" s="1" t="str">
        <f ca="1">IFERROR(__xludf.DUMMYFUNCTION("""COMPUTED_VALUE"""),"Férfi")</f>
        <v>Férfi</v>
      </c>
      <c r="E2427" s="1"/>
      <c r="F2427" s="1">
        <f ca="1">IFERROR(__xludf.DUMMYFUNCTION("""COMPUTED_VALUE"""),2002)</f>
        <v>2002</v>
      </c>
      <c r="G2427" s="1">
        <f ca="1">IFERROR(__xludf.DUMMYFUNCTION("""COMPUTED_VALUE"""),2811)</f>
        <v>2811</v>
      </c>
      <c r="H2427" s="1" t="str">
        <f ca="1">IFERROR(__xludf.DUMMYFUNCTION("""COMPUTED_VALUE"""),"MTLSZ002811A17")</f>
        <v>MTLSZ002811A17</v>
      </c>
      <c r="I2427" s="2">
        <f ca="1">IFERROR(__xludf.DUMMYFUNCTION("""COMPUTED_VALUE"""),42985)</f>
        <v>42985</v>
      </c>
      <c r="J2427" s="2">
        <f ca="1">IFERROR(__xludf.DUMMYFUNCTION("""COMPUTED_VALUE"""),43349)</f>
        <v>43349</v>
      </c>
    </row>
    <row r="2428" spans="1:10" x14ac:dyDescent="0.25">
      <c r="A2428" s="1" t="str">
        <f ca="1">IFERROR(__xludf.DUMMYFUNCTION("""COMPUTED_VALUE"""),"Tisza TSE")</f>
        <v>Tisza TSE</v>
      </c>
      <c r="B2428" s="1" t="str">
        <f ca="1">IFERROR(__xludf.DUMMYFUNCTION("""COMPUTED_VALUE"""),"Vas Dorottya Kata")</f>
        <v>Vas Dorottya Kata</v>
      </c>
      <c r="C2428" s="1"/>
      <c r="D2428" s="1" t="str">
        <f ca="1">IFERROR(__xludf.DUMMYFUNCTION("""COMPUTED_VALUE"""),"Nő")</f>
        <v>Nő</v>
      </c>
      <c r="E2428" s="1"/>
      <c r="F2428" s="1">
        <f ca="1">IFERROR(__xludf.DUMMYFUNCTION("""COMPUTED_VALUE"""),2003)</f>
        <v>2003</v>
      </c>
      <c r="G2428" s="1">
        <f ca="1">IFERROR(__xludf.DUMMYFUNCTION("""COMPUTED_VALUE"""),2716)</f>
        <v>2716</v>
      </c>
      <c r="H2428" s="1" t="str">
        <f ca="1">IFERROR(__xludf.DUMMYFUNCTION("""COMPUTED_VALUE"""),"MTLSZ002716A17")</f>
        <v>MTLSZ002716A17</v>
      </c>
      <c r="I2428" s="2">
        <f ca="1">IFERROR(__xludf.DUMMYFUNCTION("""COMPUTED_VALUE"""),42985)</f>
        <v>42985</v>
      </c>
      <c r="J2428" s="2">
        <f ca="1">IFERROR(__xludf.DUMMYFUNCTION("""COMPUTED_VALUE"""),43349)</f>
        <v>43349</v>
      </c>
    </row>
    <row r="2429" spans="1:10" x14ac:dyDescent="0.25">
      <c r="A2429" s="1" t="str">
        <f ca="1">IFERROR(__xludf.DUMMYFUNCTION("""COMPUTED_VALUE"""),"DSC-SI")</f>
        <v>DSC-SI</v>
      </c>
      <c r="B2429" s="1" t="str">
        <f ca="1">IFERROR(__xludf.DUMMYFUNCTION("""COMPUTED_VALUE"""),"Czifra Zsuzsa")</f>
        <v>Czifra Zsuzsa</v>
      </c>
      <c r="C2429" s="1"/>
      <c r="D2429" s="1" t="str">
        <f ca="1">IFERROR(__xludf.DUMMYFUNCTION("""COMPUTED_VALUE"""),"Nő")</f>
        <v>Nő</v>
      </c>
      <c r="E2429" s="1"/>
      <c r="F2429" s="1">
        <f ca="1">IFERROR(__xludf.DUMMYFUNCTION("""COMPUTED_VALUE"""),1984)</f>
        <v>1984</v>
      </c>
      <c r="G2429" s="1">
        <f ca="1">IFERROR(__xludf.DUMMYFUNCTION("""COMPUTED_VALUE"""),164)</f>
        <v>164</v>
      </c>
      <c r="H2429" s="1" t="str">
        <f ca="1">IFERROR(__xludf.DUMMYFUNCTION("""COMPUTED_VALUE"""),"MTLSZ000164A17")</f>
        <v>MTLSZ000164A17</v>
      </c>
      <c r="I2429" s="2">
        <f ca="1">IFERROR(__xludf.DUMMYFUNCTION("""COMPUTED_VALUE"""),42979)</f>
        <v>42979</v>
      </c>
      <c r="J2429" s="2">
        <f ca="1">IFERROR(__xludf.DUMMYFUNCTION("""COMPUTED_VALUE"""),43343)</f>
        <v>43343</v>
      </c>
    </row>
    <row r="2430" spans="1:10" x14ac:dyDescent="0.25">
      <c r="A2430" s="1" t="str">
        <f ca="1">IFERROR(__xludf.DUMMYFUNCTION("""COMPUTED_VALUE"""),"DSC-SI")</f>
        <v>DSC-SI</v>
      </c>
      <c r="B2430" s="1" t="str">
        <f ca="1">IFERROR(__xludf.DUMMYFUNCTION("""COMPUTED_VALUE"""),"Kása Emese")</f>
        <v>Kása Emese</v>
      </c>
      <c r="C2430" s="1"/>
      <c r="D2430" s="1" t="str">
        <f ca="1">IFERROR(__xludf.DUMMYFUNCTION("""COMPUTED_VALUE"""),"Nő")</f>
        <v>Nő</v>
      </c>
      <c r="E2430" s="1"/>
      <c r="F2430" s="1">
        <f ca="1">IFERROR(__xludf.DUMMYFUNCTION("""COMPUTED_VALUE"""),1998)</f>
        <v>1998</v>
      </c>
      <c r="G2430" s="1">
        <f ca="1">IFERROR(__xludf.DUMMYFUNCTION("""COMPUTED_VALUE"""),2350)</f>
        <v>2350</v>
      </c>
      <c r="H2430" s="1" t="str">
        <f ca="1">IFERROR(__xludf.DUMMYFUNCTION("""COMPUTED_VALUE"""),"MTLSZ002350A17")</f>
        <v>MTLSZ002350A17</v>
      </c>
      <c r="I2430" s="2">
        <f ca="1">IFERROR(__xludf.DUMMYFUNCTION("""COMPUTED_VALUE"""),42979)</f>
        <v>42979</v>
      </c>
      <c r="J2430" s="2">
        <f ca="1">IFERROR(__xludf.DUMMYFUNCTION("""COMPUTED_VALUE"""),43343)</f>
        <v>43343</v>
      </c>
    </row>
    <row r="2431" spans="1:10" x14ac:dyDescent="0.25">
      <c r="A2431" s="1" t="str">
        <f ca="1">IFERROR(__xludf.DUMMYFUNCTION("""COMPUTED_VALUE"""),"DSC-SI")</f>
        <v>DSC-SI</v>
      </c>
      <c r="B2431" s="1" t="str">
        <f ca="1">IFERROR(__xludf.DUMMYFUNCTION("""COMPUTED_VALUE"""),"Kiss Balázs")</f>
        <v>Kiss Balázs</v>
      </c>
      <c r="C2431" s="1"/>
      <c r="D2431" s="1" t="str">
        <f ca="1">IFERROR(__xludf.DUMMYFUNCTION("""COMPUTED_VALUE"""),"Férfi")</f>
        <v>Férfi</v>
      </c>
      <c r="E2431" s="1"/>
      <c r="F2431" s="1">
        <f ca="1">IFERROR(__xludf.DUMMYFUNCTION("""COMPUTED_VALUE"""),1999)</f>
        <v>1999</v>
      </c>
      <c r="G2431" s="1">
        <f ca="1">IFERROR(__xludf.DUMMYFUNCTION("""COMPUTED_VALUE"""),2354)</f>
        <v>2354</v>
      </c>
      <c r="H2431" s="1" t="str">
        <f ca="1">IFERROR(__xludf.DUMMYFUNCTION("""COMPUTED_VALUE"""),"MTLSZ002354A17")</f>
        <v>MTLSZ002354A17</v>
      </c>
      <c r="I2431" s="2">
        <f ca="1">IFERROR(__xludf.DUMMYFUNCTION("""COMPUTED_VALUE"""),42979)</f>
        <v>42979</v>
      </c>
      <c r="J2431" s="2">
        <f ca="1">IFERROR(__xludf.DUMMYFUNCTION("""COMPUTED_VALUE"""),43343)</f>
        <v>43343</v>
      </c>
    </row>
    <row r="2432" spans="1:10" x14ac:dyDescent="0.25">
      <c r="A2432" s="1" t="str">
        <f ca="1">IFERROR(__xludf.DUMMYFUNCTION("""COMPUTED_VALUE"""),"DSC-SI")</f>
        <v>DSC-SI</v>
      </c>
      <c r="B2432" s="1" t="str">
        <f ca="1">IFERROR(__xludf.DUMMYFUNCTION("""COMPUTED_VALUE"""),"Kmetty Sándor")</f>
        <v>Kmetty Sándor</v>
      </c>
      <c r="C2432" s="1"/>
      <c r="D2432" s="1" t="str">
        <f ca="1">IFERROR(__xludf.DUMMYFUNCTION("""COMPUTED_VALUE"""),"Férfi")</f>
        <v>Férfi</v>
      </c>
      <c r="E2432" s="1"/>
      <c r="F2432" s="1">
        <f ca="1">IFERROR(__xludf.DUMMYFUNCTION("""COMPUTED_VALUE"""),1983)</f>
        <v>1983</v>
      </c>
      <c r="G2432" s="1">
        <f ca="1">IFERROR(__xludf.DUMMYFUNCTION("""COMPUTED_VALUE"""),502)</f>
        <v>502</v>
      </c>
      <c r="H2432" s="1" t="str">
        <f ca="1">IFERROR(__xludf.DUMMYFUNCTION("""COMPUTED_VALUE"""),"MTLSZ000502A17")</f>
        <v>MTLSZ000502A17</v>
      </c>
      <c r="I2432" s="2">
        <f ca="1">IFERROR(__xludf.DUMMYFUNCTION("""COMPUTED_VALUE"""),42979)</f>
        <v>42979</v>
      </c>
      <c r="J2432" s="2">
        <f ca="1">IFERROR(__xludf.DUMMYFUNCTION("""COMPUTED_VALUE"""),43343)</f>
        <v>43343</v>
      </c>
    </row>
    <row r="2433" spans="1:10" x14ac:dyDescent="0.25">
      <c r="A2433" s="1" t="str">
        <f ca="1">IFERROR(__xludf.DUMMYFUNCTION("""COMPUTED_VALUE"""),"Hajdú TSE")</f>
        <v>Hajdú TSE</v>
      </c>
      <c r="B2433" s="1" t="str">
        <f ca="1">IFERROR(__xludf.DUMMYFUNCTION("""COMPUTED_VALUE"""),"Palczert Benedek")</f>
        <v>Palczert Benedek</v>
      </c>
      <c r="C2433" s="1"/>
      <c r="D2433" s="1" t="str">
        <f ca="1">IFERROR(__xludf.DUMMYFUNCTION("""COMPUTED_VALUE"""),"Férfi")</f>
        <v>Férfi</v>
      </c>
      <c r="E2433" s="1"/>
      <c r="F2433" s="1">
        <f ca="1">IFERROR(__xludf.DUMMYFUNCTION("""COMPUTED_VALUE"""),1999)</f>
        <v>1999</v>
      </c>
      <c r="G2433" s="1">
        <f ca="1">IFERROR(__xludf.DUMMYFUNCTION("""COMPUTED_VALUE"""),2407)</f>
        <v>2407</v>
      </c>
      <c r="H2433" s="1" t="str">
        <f ca="1">IFERROR(__xludf.DUMMYFUNCTION("""COMPUTED_VALUE"""),"MTLSZ002407A17")</f>
        <v>MTLSZ002407A17</v>
      </c>
      <c r="I2433" s="2">
        <f ca="1">IFERROR(__xludf.DUMMYFUNCTION("""COMPUTED_VALUE"""),42979)</f>
        <v>42979</v>
      </c>
      <c r="J2433" s="2">
        <f ca="1">IFERROR(__xludf.DUMMYFUNCTION("""COMPUTED_VALUE"""),43343)</f>
        <v>43343</v>
      </c>
    </row>
    <row r="2434" spans="1:10" x14ac:dyDescent="0.25">
      <c r="A2434" s="1" t="str">
        <f ca="1">IFERROR(__xludf.DUMMYFUNCTION("""COMPUTED_VALUE"""),"Győri TSE")</f>
        <v>Győri TSE</v>
      </c>
      <c r="B2434" s="1" t="str">
        <f ca="1">IFERROR(__xludf.DUMMYFUNCTION("""COMPUTED_VALUE"""),"Keszei András")</f>
        <v>Keszei András</v>
      </c>
      <c r="C2434" s="1"/>
      <c r="D2434" s="1" t="str">
        <f ca="1">IFERROR(__xludf.DUMMYFUNCTION("""COMPUTED_VALUE"""),"Férfi")</f>
        <v>Férfi</v>
      </c>
      <c r="E2434" s="1"/>
      <c r="F2434" s="1">
        <f ca="1">IFERROR(__xludf.DUMMYFUNCTION("""COMPUTED_VALUE"""),2000)</f>
        <v>2000</v>
      </c>
      <c r="G2434" s="1">
        <f ca="1">IFERROR(__xludf.DUMMYFUNCTION("""COMPUTED_VALUE"""),2912)</f>
        <v>2912</v>
      </c>
      <c r="H2434" s="1" t="str">
        <f ca="1">IFERROR(__xludf.DUMMYFUNCTION("""COMPUTED_VALUE"""),"MTLSZ002912A17")</f>
        <v>MTLSZ002912A17</v>
      </c>
      <c r="I2434" s="2">
        <f ca="1">IFERROR(__xludf.DUMMYFUNCTION("""COMPUTED_VALUE"""),42867)</f>
        <v>42867</v>
      </c>
      <c r="J2434" s="2">
        <f ca="1">IFERROR(__xludf.DUMMYFUNCTION("""COMPUTED_VALUE"""),43231)</f>
        <v>43231</v>
      </c>
    </row>
    <row r="2435" spans="1:10" x14ac:dyDescent="0.25">
      <c r="A2435" s="1" t="str">
        <f ca="1">IFERROR(__xludf.DUMMYFUNCTION("""COMPUTED_VALUE"""),"Érdi VSE")</f>
        <v>Érdi VSE</v>
      </c>
      <c r="B2435" s="1" t="str">
        <f ca="1">IFERROR(__xludf.DUMMYFUNCTION("""COMPUTED_VALUE"""),"Harmos Borbála")</f>
        <v>Harmos Borbála</v>
      </c>
      <c r="C2435" s="1"/>
      <c r="D2435" s="1" t="str">
        <f ca="1">IFERROR(__xludf.DUMMYFUNCTION("""COMPUTED_VALUE"""),"Nő")</f>
        <v>Nő</v>
      </c>
      <c r="E2435" s="1"/>
      <c r="F2435" s="1">
        <f ca="1">IFERROR(__xludf.DUMMYFUNCTION("""COMPUTED_VALUE"""),2006)</f>
        <v>2006</v>
      </c>
      <c r="G2435" s="1">
        <f ca="1">IFERROR(__xludf.DUMMYFUNCTION("""COMPUTED_VALUE"""),2911)</f>
        <v>2911</v>
      </c>
      <c r="H2435" s="1" t="str">
        <f ca="1">IFERROR(__xludf.DUMMYFUNCTION("""COMPUTED_VALUE"""),"MTLSZ002911A17")</f>
        <v>MTLSZ002911A17</v>
      </c>
      <c r="I2435" s="2">
        <f ca="1">IFERROR(__xludf.DUMMYFUNCTION("""COMPUTED_VALUE"""),42856)</f>
        <v>42856</v>
      </c>
      <c r="J2435" s="2">
        <f ca="1">IFERROR(__xludf.DUMMYFUNCTION("""COMPUTED_VALUE"""),43220)</f>
        <v>43220</v>
      </c>
    </row>
    <row r="2436" spans="1:10" x14ac:dyDescent="0.25">
      <c r="A2436" s="1" t="str">
        <f ca="1">IFERROR(__xludf.DUMMYFUNCTION("""COMPUTED_VALUE"""),"Érdi VSE")</f>
        <v>Érdi VSE</v>
      </c>
      <c r="B2436" s="1" t="str">
        <f ca="1">IFERROR(__xludf.DUMMYFUNCTION("""COMPUTED_VALUE"""),"Horváth Bence")</f>
        <v>Horváth Bence</v>
      </c>
      <c r="C2436" s="1"/>
      <c r="D2436" s="1" t="str">
        <f ca="1">IFERROR(__xludf.DUMMYFUNCTION("""COMPUTED_VALUE"""),"Férfi")</f>
        <v>Férfi</v>
      </c>
      <c r="E2436" s="1"/>
      <c r="F2436" s="1">
        <f ca="1">IFERROR(__xludf.DUMMYFUNCTION("""COMPUTED_VALUE"""),2002)</f>
        <v>2002</v>
      </c>
      <c r="G2436" s="1">
        <f ca="1">IFERROR(__xludf.DUMMYFUNCTION("""COMPUTED_VALUE"""),2681)</f>
        <v>2681</v>
      </c>
      <c r="H2436" s="1" t="str">
        <f ca="1">IFERROR(__xludf.DUMMYFUNCTION("""COMPUTED_VALUE"""),"MTLSZ002681A17")</f>
        <v>MTLSZ002681A17</v>
      </c>
      <c r="I2436" s="2">
        <f ca="1">IFERROR(__xludf.DUMMYFUNCTION("""COMPUTED_VALUE"""),42853)</f>
        <v>42853</v>
      </c>
      <c r="J2436" s="2">
        <f ca="1">IFERROR(__xludf.DUMMYFUNCTION("""COMPUTED_VALUE"""),43217)</f>
        <v>43217</v>
      </c>
    </row>
    <row r="2437" spans="1:10" x14ac:dyDescent="0.25">
      <c r="A2437" s="1" t="str">
        <f ca="1">IFERROR(__xludf.DUMMYFUNCTION("""COMPUTED_VALUE"""),"Danubius KSE")</f>
        <v>Danubius KSE</v>
      </c>
      <c r="B2437" s="1" t="str">
        <f ca="1">IFERROR(__xludf.DUMMYFUNCTION("""COMPUTED_VALUE"""),"Kákonyi Marcell")</f>
        <v>Kákonyi Marcell</v>
      </c>
      <c r="C2437" s="1"/>
      <c r="D2437" s="1" t="str">
        <f ca="1">IFERROR(__xludf.DUMMYFUNCTION("""COMPUTED_VALUE"""),"Férfi")</f>
        <v>Férfi</v>
      </c>
      <c r="E2437" s="1"/>
      <c r="F2437" s="1">
        <f ca="1">IFERROR(__xludf.DUMMYFUNCTION("""COMPUTED_VALUE"""),2008)</f>
        <v>2008</v>
      </c>
      <c r="G2437" s="1">
        <f ca="1">IFERROR(__xludf.DUMMYFUNCTION("""COMPUTED_VALUE"""),2908)</f>
        <v>2908</v>
      </c>
      <c r="H2437" s="1" t="str">
        <f ca="1">IFERROR(__xludf.DUMMYFUNCTION("""COMPUTED_VALUE"""),"MTLSZ002908A17")</f>
        <v>MTLSZ002908A17</v>
      </c>
      <c r="I2437" s="2">
        <f ca="1">IFERROR(__xludf.DUMMYFUNCTION("""COMPUTED_VALUE"""),42848)</f>
        <v>42848</v>
      </c>
      <c r="J2437" s="2">
        <f ca="1">IFERROR(__xludf.DUMMYFUNCTION("""COMPUTED_VALUE"""),43212)</f>
        <v>43212</v>
      </c>
    </row>
    <row r="2438" spans="1:10" x14ac:dyDescent="0.25">
      <c r="A2438" s="1" t="str">
        <f ca="1">IFERROR(__xludf.DUMMYFUNCTION("""COMPUTED_VALUE"""),"Danubius KSE")</f>
        <v>Danubius KSE</v>
      </c>
      <c r="B2438" s="1" t="str">
        <f ca="1">IFERROR(__xludf.DUMMYFUNCTION("""COMPUTED_VALUE"""),"Nagy Noel Richárd")</f>
        <v>Nagy Noel Richárd</v>
      </c>
      <c r="C2438" s="1"/>
      <c r="D2438" s="1" t="str">
        <f ca="1">IFERROR(__xludf.DUMMYFUNCTION("""COMPUTED_VALUE"""),"Férfi")</f>
        <v>Férfi</v>
      </c>
      <c r="E2438" s="1"/>
      <c r="F2438" s="1">
        <f ca="1">IFERROR(__xludf.DUMMYFUNCTION("""COMPUTED_VALUE"""),2008)</f>
        <v>2008</v>
      </c>
      <c r="G2438" s="1">
        <f ca="1">IFERROR(__xludf.DUMMYFUNCTION("""COMPUTED_VALUE"""),2909)</f>
        <v>2909</v>
      </c>
      <c r="H2438" s="1" t="str">
        <f ca="1">IFERROR(__xludf.DUMMYFUNCTION("""COMPUTED_VALUE"""),"MTLSZ002909A17")</f>
        <v>MTLSZ002909A17</v>
      </c>
      <c r="I2438" s="2">
        <f ca="1">IFERROR(__xludf.DUMMYFUNCTION("""COMPUTED_VALUE"""),42848)</f>
        <v>42848</v>
      </c>
      <c r="J2438" s="2">
        <f ca="1">IFERROR(__xludf.DUMMYFUNCTION("""COMPUTED_VALUE"""),43212)</f>
        <v>43212</v>
      </c>
    </row>
    <row r="2439" spans="1:10" x14ac:dyDescent="0.25">
      <c r="A2439" s="1" t="str">
        <f ca="1">IFERROR(__xludf.DUMMYFUNCTION("""COMPUTED_VALUE"""),"Vízművek SK")</f>
        <v>Vízművek SK</v>
      </c>
      <c r="B2439" s="1" t="str">
        <f ca="1">IFERROR(__xludf.DUMMYFUNCTION("""COMPUTED_VALUE"""),"Horváth Ábel")</f>
        <v>Horváth Ábel</v>
      </c>
      <c r="C2439" s="1"/>
      <c r="D2439" s="1" t="str">
        <f ca="1">IFERROR(__xludf.DUMMYFUNCTION("""COMPUTED_VALUE"""),"Férfi")</f>
        <v>Férfi</v>
      </c>
      <c r="E2439" s="1"/>
      <c r="F2439" s="1">
        <f ca="1">IFERROR(__xludf.DUMMYFUNCTION("""COMPUTED_VALUE"""),1999)</f>
        <v>1999</v>
      </c>
      <c r="G2439" s="1">
        <f ca="1">IFERROR(__xludf.DUMMYFUNCTION("""COMPUTED_VALUE"""),2601)</f>
        <v>2601</v>
      </c>
      <c r="H2439" s="1" t="str">
        <f ca="1">IFERROR(__xludf.DUMMYFUNCTION("""COMPUTED_VALUE"""),"MTLSZ002601A17")</f>
        <v>MTLSZ002601A17</v>
      </c>
      <c r="I2439" s="2">
        <f ca="1">IFERROR(__xludf.DUMMYFUNCTION("""COMPUTED_VALUE"""),42844)</f>
        <v>42844</v>
      </c>
      <c r="J2439" s="2">
        <f ca="1">IFERROR(__xludf.DUMMYFUNCTION("""COMPUTED_VALUE"""),43208)</f>
        <v>43208</v>
      </c>
    </row>
    <row r="2440" spans="1:10" x14ac:dyDescent="0.25">
      <c r="A2440" s="1" t="str">
        <f ca="1">IFERROR(__xludf.DUMMYFUNCTION("""COMPUTED_VALUE"""),"Danubius KSE")</f>
        <v>Danubius KSE</v>
      </c>
      <c r="B2440" s="1" t="str">
        <f ca="1">IFERROR(__xludf.DUMMYFUNCTION("""COMPUTED_VALUE"""),"Kovács Nikolett")</f>
        <v>Kovács Nikolett</v>
      </c>
      <c r="C2440" s="1"/>
      <c r="D2440" s="1" t="str">
        <f ca="1">IFERROR(__xludf.DUMMYFUNCTION("""COMPUTED_VALUE"""),"Nő")</f>
        <v>Nő</v>
      </c>
      <c r="E2440" s="1"/>
      <c r="F2440" s="1">
        <f ca="1">IFERROR(__xludf.DUMMYFUNCTION("""COMPUTED_VALUE"""),2006)</f>
        <v>2006</v>
      </c>
      <c r="G2440" s="1">
        <f ca="1">IFERROR(__xludf.DUMMYFUNCTION("""COMPUTED_VALUE"""),2813)</f>
        <v>2813</v>
      </c>
      <c r="H2440" s="1" t="str">
        <f ca="1">IFERROR(__xludf.DUMMYFUNCTION("""COMPUTED_VALUE"""),"MTLSZ002813A17")</f>
        <v>MTLSZ002813A17</v>
      </c>
      <c r="I2440" s="2">
        <f ca="1">IFERROR(__xludf.DUMMYFUNCTION("""COMPUTED_VALUE"""),42838)</f>
        <v>42838</v>
      </c>
      <c r="J2440" s="2">
        <f ca="1">IFERROR(__xludf.DUMMYFUNCTION("""COMPUTED_VALUE"""),43202)</f>
        <v>43202</v>
      </c>
    </row>
    <row r="2441" spans="1:10" x14ac:dyDescent="0.25">
      <c r="A2441" s="1" t="str">
        <f ca="1">IFERROR(__xludf.DUMMYFUNCTION("""COMPUTED_VALUE"""),"Seregélyesi PDSE")</f>
        <v>Seregélyesi PDSE</v>
      </c>
      <c r="B2441" s="1" t="str">
        <f ca="1">IFERROR(__xludf.DUMMYFUNCTION("""COMPUTED_VALUE"""),"Halmi Adrián")</f>
        <v>Halmi Adrián</v>
      </c>
      <c r="C2441" s="1"/>
      <c r="D2441" s="1" t="str">
        <f ca="1">IFERROR(__xludf.DUMMYFUNCTION("""COMPUTED_VALUE"""),"Férfi")</f>
        <v>Férfi</v>
      </c>
      <c r="E2441" s="1"/>
      <c r="F2441" s="1">
        <f ca="1">IFERROR(__xludf.DUMMYFUNCTION("""COMPUTED_VALUE"""),2002)</f>
        <v>2002</v>
      </c>
      <c r="G2441" s="1">
        <f ca="1">IFERROR(__xludf.DUMMYFUNCTION("""COMPUTED_VALUE"""),2474)</f>
        <v>2474</v>
      </c>
      <c r="H2441" s="1" t="str">
        <f ca="1">IFERROR(__xludf.DUMMYFUNCTION("""COMPUTED_VALUE"""),"MTLSZ002474A17")</f>
        <v>MTLSZ002474A17</v>
      </c>
      <c r="I2441" s="2">
        <f ca="1">IFERROR(__xludf.DUMMYFUNCTION("""COMPUTED_VALUE"""),42838)</f>
        <v>42838</v>
      </c>
      <c r="J2441" s="2">
        <f ca="1">IFERROR(__xludf.DUMMYFUNCTION("""COMPUTED_VALUE"""),43202)</f>
        <v>43202</v>
      </c>
    </row>
    <row r="2442" spans="1:10" x14ac:dyDescent="0.25">
      <c r="A2442" s="1" t="str">
        <f ca="1">IFERROR(__xludf.DUMMYFUNCTION("""COMPUTED_VALUE"""),"SZGYE SZE")</f>
        <v>SZGYE SZE</v>
      </c>
      <c r="B2442" s="1" t="str">
        <f ca="1">IFERROR(__xludf.DUMMYFUNCTION("""COMPUTED_VALUE"""),"Belányi Bálint")</f>
        <v>Belányi Bálint</v>
      </c>
      <c r="C2442" s="1"/>
      <c r="D2442" s="1" t="str">
        <f ca="1">IFERROR(__xludf.DUMMYFUNCTION("""COMPUTED_VALUE"""),"Férfi")</f>
        <v>Férfi</v>
      </c>
      <c r="E2442" s="1"/>
      <c r="F2442" s="1">
        <f ca="1">IFERROR(__xludf.DUMMYFUNCTION("""COMPUTED_VALUE"""),2004)</f>
        <v>2004</v>
      </c>
      <c r="G2442" s="1">
        <f ca="1">IFERROR(__xludf.DUMMYFUNCTION("""COMPUTED_VALUE"""),2902)</f>
        <v>2902</v>
      </c>
      <c r="H2442" s="1" t="str">
        <f ca="1">IFERROR(__xludf.DUMMYFUNCTION("""COMPUTED_VALUE"""),"MTLSZ002902A17")</f>
        <v>MTLSZ002902A17</v>
      </c>
      <c r="I2442" s="2">
        <f ca="1">IFERROR(__xludf.DUMMYFUNCTION("""COMPUTED_VALUE"""),42837)</f>
        <v>42837</v>
      </c>
      <c r="J2442" s="2">
        <f ca="1">IFERROR(__xludf.DUMMYFUNCTION("""COMPUTED_VALUE"""),43201)</f>
        <v>43201</v>
      </c>
    </row>
    <row r="2443" spans="1:10" x14ac:dyDescent="0.25">
      <c r="A2443" s="1" t="str">
        <f ca="1">IFERROR(__xludf.DUMMYFUNCTION("""COMPUTED_VALUE"""),"FBSE")</f>
        <v>FBSE</v>
      </c>
      <c r="B2443" s="1" t="str">
        <f ca="1">IFERROR(__xludf.DUMMYFUNCTION("""COMPUTED_VALUE"""),"Gombos Luca")</f>
        <v>Gombos Luca</v>
      </c>
      <c r="C2443" s="1"/>
      <c r="D2443" s="1" t="str">
        <f ca="1">IFERROR(__xludf.DUMMYFUNCTION("""COMPUTED_VALUE"""),"Nő")</f>
        <v>Nő</v>
      </c>
      <c r="E2443" s="1"/>
      <c r="F2443" s="1">
        <f ca="1">IFERROR(__xludf.DUMMYFUNCTION("""COMPUTED_VALUE"""),2001)</f>
        <v>2001</v>
      </c>
      <c r="G2443" s="1">
        <f ca="1">IFERROR(__xludf.DUMMYFUNCTION("""COMPUTED_VALUE"""),2900)</f>
        <v>2900</v>
      </c>
      <c r="H2443" s="1" t="str">
        <f ca="1">IFERROR(__xludf.DUMMYFUNCTION("""COMPUTED_VALUE"""),"MTLSZ002900A17")</f>
        <v>MTLSZ002900A17</v>
      </c>
      <c r="I2443" s="2">
        <f ca="1">IFERROR(__xludf.DUMMYFUNCTION("""COMPUTED_VALUE"""),42823)</f>
        <v>42823</v>
      </c>
      <c r="J2443" s="2">
        <f ca="1">IFERROR(__xludf.DUMMYFUNCTION("""COMPUTED_VALUE"""),43187)</f>
        <v>43187</v>
      </c>
    </row>
    <row r="2444" spans="1:10" x14ac:dyDescent="0.25">
      <c r="A2444" s="1" t="str">
        <f ca="1">IFERROR(__xludf.DUMMYFUNCTION("""COMPUTED_VALUE"""),"Szegedi TSE")</f>
        <v>Szegedi TSE</v>
      </c>
      <c r="B2444" s="1" t="str">
        <f ca="1">IFERROR(__xludf.DUMMYFUNCTION("""COMPUTED_VALUE"""),"Ruzicska Máté")</f>
        <v>Ruzicska Máté</v>
      </c>
      <c r="C2444" s="1"/>
      <c r="D2444" s="1" t="str">
        <f ca="1">IFERROR(__xludf.DUMMYFUNCTION("""COMPUTED_VALUE"""),"Férfi")</f>
        <v>Férfi</v>
      </c>
      <c r="E2444" s="1"/>
      <c r="F2444" s="1">
        <f ca="1">IFERROR(__xludf.DUMMYFUNCTION("""COMPUTED_VALUE"""),1997)</f>
        <v>1997</v>
      </c>
      <c r="G2444" s="1">
        <f ca="1">IFERROR(__xludf.DUMMYFUNCTION("""COMPUTED_VALUE"""),1873)</f>
        <v>1873</v>
      </c>
      <c r="H2444" s="1" t="str">
        <f ca="1">IFERROR(__xludf.DUMMYFUNCTION("""COMPUTED_VALUE"""),"MTLSZ001873A17")</f>
        <v>MTLSZ001873A17</v>
      </c>
      <c r="I2444" s="2">
        <f ca="1">IFERROR(__xludf.DUMMYFUNCTION("""COMPUTED_VALUE"""),42823)</f>
        <v>42823</v>
      </c>
      <c r="J2444" s="2">
        <f ca="1">IFERROR(__xludf.DUMMYFUNCTION("""COMPUTED_VALUE"""),43187)</f>
        <v>43187</v>
      </c>
    </row>
    <row r="2445" spans="1:10" x14ac:dyDescent="0.25">
      <c r="A2445" s="1" t="str">
        <f ca="1">IFERROR(__xludf.DUMMYFUNCTION("""COMPUTED_VALUE"""),"Érdi VSE")</f>
        <v>Érdi VSE</v>
      </c>
      <c r="B2445" s="1" t="str">
        <f ca="1">IFERROR(__xludf.DUMMYFUNCTION("""COMPUTED_VALUE"""),"Kis-Kasza Fábián")</f>
        <v>Kis-Kasza Fábián</v>
      </c>
      <c r="C2445" s="1"/>
      <c r="D2445" s="1" t="str">
        <f ca="1">IFERROR(__xludf.DUMMYFUNCTION("""COMPUTED_VALUE"""),"Férfi")</f>
        <v>Férfi</v>
      </c>
      <c r="E2445" s="1"/>
      <c r="F2445" s="1">
        <f ca="1">IFERROR(__xludf.DUMMYFUNCTION("""COMPUTED_VALUE"""),2006)</f>
        <v>2006</v>
      </c>
      <c r="G2445" s="1">
        <f ca="1">IFERROR(__xludf.DUMMYFUNCTION("""COMPUTED_VALUE"""),2898)</f>
        <v>2898</v>
      </c>
      <c r="H2445" s="1" t="str">
        <f ca="1">IFERROR(__xludf.DUMMYFUNCTION("""COMPUTED_VALUE"""),"MTLSZ002898A17")</f>
        <v>MTLSZ002898A17</v>
      </c>
      <c r="I2445" s="2">
        <f ca="1">IFERROR(__xludf.DUMMYFUNCTION("""COMPUTED_VALUE"""),42814)</f>
        <v>42814</v>
      </c>
      <c r="J2445" s="2">
        <f ca="1">IFERROR(__xludf.DUMMYFUNCTION("""COMPUTED_VALUE"""),43178)</f>
        <v>43178</v>
      </c>
    </row>
    <row r="2446" spans="1:10" x14ac:dyDescent="0.25">
      <c r="A2446" s="1" t="str">
        <f ca="1">IFERROR(__xludf.DUMMYFUNCTION("""COMPUTED_VALUE"""),"Vízművek SK")</f>
        <v>Vízművek SK</v>
      </c>
      <c r="B2446" s="1" t="str">
        <f ca="1">IFERROR(__xludf.DUMMYFUNCTION("""COMPUTED_VALUE"""),"Horváth Benedek Mór")</f>
        <v>Horváth Benedek Mór</v>
      </c>
      <c r="C2446" s="1"/>
      <c r="D2446" s="1" t="str">
        <f ca="1">IFERROR(__xludf.DUMMYFUNCTION("""COMPUTED_VALUE"""),"Férfi")</f>
        <v>Férfi</v>
      </c>
      <c r="E2446" s="1"/>
      <c r="F2446" s="1">
        <f ca="1">IFERROR(__xludf.DUMMYFUNCTION("""COMPUTED_VALUE"""),2002)</f>
        <v>2002</v>
      </c>
      <c r="G2446" s="1">
        <f ca="1">IFERROR(__xludf.DUMMYFUNCTION("""COMPUTED_VALUE"""),2582)</f>
        <v>2582</v>
      </c>
      <c r="H2446" s="1" t="str">
        <f ca="1">IFERROR(__xludf.DUMMYFUNCTION("""COMPUTED_VALUE"""),"MTLSZ002582A17")</f>
        <v>MTLSZ002582A17</v>
      </c>
      <c r="I2446" s="2">
        <f ca="1">IFERROR(__xludf.DUMMYFUNCTION("""COMPUTED_VALUE"""),42807)</f>
        <v>42807</v>
      </c>
      <c r="J2446" s="2">
        <f ca="1">IFERROR(__xludf.DUMMYFUNCTION("""COMPUTED_VALUE"""),43171)</f>
        <v>43171</v>
      </c>
    </row>
    <row r="2447" spans="1:10" x14ac:dyDescent="0.25">
      <c r="A2447" s="1" t="str">
        <f ca="1">IFERROR(__xludf.DUMMYFUNCTION("""COMPUTED_VALUE"""),"Vízművek SK")</f>
        <v>Vízművek SK</v>
      </c>
      <c r="B2447" s="1" t="str">
        <f ca="1">IFERROR(__xludf.DUMMYFUNCTION("""COMPUTED_VALUE"""),"Horváth Gréta")</f>
        <v>Horváth Gréta</v>
      </c>
      <c r="C2447" s="1"/>
      <c r="D2447" s="1" t="str">
        <f ca="1">IFERROR(__xludf.DUMMYFUNCTION("""COMPUTED_VALUE"""),"Nő")</f>
        <v>Nő</v>
      </c>
      <c r="E2447" s="1"/>
      <c r="F2447" s="1">
        <f ca="1">IFERROR(__xludf.DUMMYFUNCTION("""COMPUTED_VALUE"""),2001)</f>
        <v>2001</v>
      </c>
      <c r="G2447" s="1">
        <f ca="1">IFERROR(__xludf.DUMMYFUNCTION("""COMPUTED_VALUE"""),2583)</f>
        <v>2583</v>
      </c>
      <c r="H2447" s="1" t="str">
        <f ca="1">IFERROR(__xludf.DUMMYFUNCTION("""COMPUTED_VALUE"""),"MTLSZ002583A17")</f>
        <v>MTLSZ002583A17</v>
      </c>
      <c r="I2447" s="2">
        <f ca="1">IFERROR(__xludf.DUMMYFUNCTION("""COMPUTED_VALUE"""),42807)</f>
        <v>42807</v>
      </c>
      <c r="J2447" s="2">
        <f ca="1">IFERROR(__xludf.DUMMYFUNCTION("""COMPUTED_VALUE"""),43171)</f>
        <v>43171</v>
      </c>
    </row>
    <row r="2448" spans="1:10" x14ac:dyDescent="0.25">
      <c r="A2448" s="1" t="str">
        <f ca="1">IFERROR(__xludf.DUMMYFUNCTION("""COMPUTED_VALUE"""),"Formás SE")</f>
        <v>Formás SE</v>
      </c>
      <c r="B2448" s="1" t="str">
        <f ca="1">IFERROR(__xludf.DUMMYFUNCTION("""COMPUTED_VALUE"""),"Perjési Botond")</f>
        <v>Perjési Botond</v>
      </c>
      <c r="C2448" s="1"/>
      <c r="D2448" s="1" t="str">
        <f ca="1">IFERROR(__xludf.DUMMYFUNCTION("""COMPUTED_VALUE"""),"Férfi")</f>
        <v>Férfi</v>
      </c>
      <c r="E2448" s="1"/>
      <c r="F2448" s="1">
        <f ca="1">IFERROR(__xludf.DUMMYFUNCTION("""COMPUTED_VALUE"""),2003)</f>
        <v>2003</v>
      </c>
      <c r="G2448" s="1">
        <f ca="1">IFERROR(__xludf.DUMMYFUNCTION("""COMPUTED_VALUE"""),2896)</f>
        <v>2896</v>
      </c>
      <c r="H2448" s="1" t="str">
        <f ca="1">IFERROR(__xludf.DUMMYFUNCTION("""COMPUTED_VALUE"""),"MTLSZ002896A17")</f>
        <v>MTLSZ002896A17</v>
      </c>
      <c r="I2448" s="2">
        <f ca="1">IFERROR(__xludf.DUMMYFUNCTION("""COMPUTED_VALUE"""),42802)</f>
        <v>42802</v>
      </c>
      <c r="J2448" s="2">
        <f ca="1">IFERROR(__xludf.DUMMYFUNCTION("""COMPUTED_VALUE"""),43166)</f>
        <v>43166</v>
      </c>
    </row>
    <row r="2449" spans="1:10" x14ac:dyDescent="0.25">
      <c r="A2449" s="1" t="str">
        <f ca="1">IFERROR(__xludf.DUMMYFUNCTION("""COMPUTED_VALUE"""),"Vízművek SK")</f>
        <v>Vízművek SK</v>
      </c>
      <c r="B2449" s="1" t="str">
        <f ca="1">IFERROR(__xludf.DUMMYFUNCTION("""COMPUTED_VALUE"""),"Zsembery Norbert")</f>
        <v>Zsembery Norbert</v>
      </c>
      <c r="C2449" s="1"/>
      <c r="D2449" s="1" t="str">
        <f ca="1">IFERROR(__xludf.DUMMYFUNCTION("""COMPUTED_VALUE"""),"Férfi")</f>
        <v>Férfi</v>
      </c>
      <c r="E2449" s="1"/>
      <c r="F2449" s="1">
        <f ca="1">IFERROR(__xludf.DUMMYFUNCTION("""COMPUTED_VALUE"""),1998)</f>
        <v>1998</v>
      </c>
      <c r="G2449" s="1">
        <f ca="1">IFERROR(__xludf.DUMMYFUNCTION("""COMPUTED_VALUE"""),2270)</f>
        <v>2270</v>
      </c>
      <c r="H2449" s="1" t="str">
        <f ca="1">IFERROR(__xludf.DUMMYFUNCTION("""COMPUTED_VALUE"""),"MTLSZ002270A17")</f>
        <v>MTLSZ002270A17</v>
      </c>
      <c r="I2449" s="2">
        <f ca="1">IFERROR(__xludf.DUMMYFUNCTION("""COMPUTED_VALUE"""),42768)</f>
        <v>42768</v>
      </c>
      <c r="J2449" s="2">
        <f ca="1">IFERROR(__xludf.DUMMYFUNCTION("""COMPUTED_VALUE"""),43132)</f>
        <v>43132</v>
      </c>
    </row>
    <row r="2450" spans="1:10" x14ac:dyDescent="0.25">
      <c r="A2450" s="1" t="str">
        <f ca="1">IFERROR(__xludf.DUMMYFUNCTION("""COMPUTED_VALUE"""),"Vízművek SK")</f>
        <v>Vízművek SK</v>
      </c>
      <c r="B2450" s="1" t="str">
        <f ca="1">IFERROR(__xludf.DUMMYFUNCTION("""COMPUTED_VALUE"""),"Tóth Lili")</f>
        <v>Tóth Lili</v>
      </c>
      <c r="C2450" s="1"/>
      <c r="D2450" s="1" t="str">
        <f ca="1">IFERROR(__xludf.DUMMYFUNCTION("""COMPUTED_VALUE"""),"Nő")</f>
        <v>Nő</v>
      </c>
      <c r="E2450" s="1"/>
      <c r="F2450" s="1">
        <f ca="1">IFERROR(__xludf.DUMMYFUNCTION("""COMPUTED_VALUE"""),2004)</f>
        <v>2004</v>
      </c>
      <c r="G2450" s="1">
        <f ca="1">IFERROR(__xludf.DUMMYFUNCTION("""COMPUTED_VALUE"""),2889)</f>
        <v>2889</v>
      </c>
      <c r="H2450" s="1" t="str">
        <f ca="1">IFERROR(__xludf.DUMMYFUNCTION("""COMPUTED_VALUE"""),"MTLSZ002889A17")</f>
        <v>MTLSZ002889A17</v>
      </c>
      <c r="I2450" s="2">
        <f ca="1">IFERROR(__xludf.DUMMYFUNCTION("""COMPUTED_VALUE"""),42760)</f>
        <v>42760</v>
      </c>
      <c r="J2450" s="2">
        <f ca="1">IFERROR(__xludf.DUMMYFUNCTION("""COMPUTED_VALUE"""),43124)</f>
        <v>43124</v>
      </c>
    </row>
    <row r="2451" spans="1:10" x14ac:dyDescent="0.25">
      <c r="A2451" s="1" t="str">
        <f ca="1">IFERROR(__xludf.DUMMYFUNCTION("""COMPUTED_VALUE"""),"Klébi DSE")</f>
        <v>Klébi DSE</v>
      </c>
      <c r="B2451" s="1" t="str">
        <f ca="1">IFERROR(__xludf.DUMMYFUNCTION("""COMPUTED_VALUE"""),"Bártfai Botond")</f>
        <v>Bártfai Botond</v>
      </c>
      <c r="C2451" s="1"/>
      <c r="D2451" s="1" t="str">
        <f ca="1">IFERROR(__xludf.DUMMYFUNCTION("""COMPUTED_VALUE"""),"Férfi")</f>
        <v>Férfi</v>
      </c>
      <c r="E2451" s="1"/>
      <c r="F2451" s="1">
        <f ca="1">IFERROR(__xludf.DUMMYFUNCTION("""COMPUTED_VALUE"""),2003)</f>
        <v>2003</v>
      </c>
      <c r="G2451" s="1">
        <f ca="1">IFERROR(__xludf.DUMMYFUNCTION("""COMPUTED_VALUE"""),2863)</f>
        <v>2863</v>
      </c>
      <c r="H2451" s="1" t="str">
        <f ca="1">IFERROR(__xludf.DUMMYFUNCTION("""COMPUTED_VALUE"""),"MTLSZ002863A17")</f>
        <v>MTLSZ002863A17</v>
      </c>
      <c r="I2451" s="2">
        <f ca="1">IFERROR(__xludf.DUMMYFUNCTION("""COMPUTED_VALUE"""),42756)</f>
        <v>42756</v>
      </c>
      <c r="J2451" s="2">
        <f ca="1">IFERROR(__xludf.DUMMYFUNCTION("""COMPUTED_VALUE"""),43120)</f>
        <v>43120</v>
      </c>
    </row>
    <row r="2452" spans="1:10" x14ac:dyDescent="0.25">
      <c r="A2452" s="1" t="str">
        <f ca="1">IFERROR(__xludf.DUMMYFUNCTION("""COMPUTED_VALUE"""),"Klébi DSE")</f>
        <v>Klébi DSE</v>
      </c>
      <c r="B2452" s="1" t="str">
        <f ca="1">IFERROR(__xludf.DUMMYFUNCTION("""COMPUTED_VALUE"""),"Batta Benedek")</f>
        <v>Batta Benedek</v>
      </c>
      <c r="C2452" s="1"/>
      <c r="D2452" s="1" t="str">
        <f ca="1">IFERROR(__xludf.DUMMYFUNCTION("""COMPUTED_VALUE"""),"Férfi")</f>
        <v>Férfi</v>
      </c>
      <c r="E2452" s="1"/>
      <c r="F2452" s="1">
        <f ca="1">IFERROR(__xludf.DUMMYFUNCTION("""COMPUTED_VALUE"""),2003)</f>
        <v>2003</v>
      </c>
      <c r="G2452" s="1">
        <f ca="1">IFERROR(__xludf.DUMMYFUNCTION("""COMPUTED_VALUE"""),2864)</f>
        <v>2864</v>
      </c>
      <c r="H2452" s="1" t="str">
        <f ca="1">IFERROR(__xludf.DUMMYFUNCTION("""COMPUTED_VALUE"""),"MTLSZ002864A17")</f>
        <v>MTLSZ002864A17</v>
      </c>
      <c r="I2452" s="2">
        <f ca="1">IFERROR(__xludf.DUMMYFUNCTION("""COMPUTED_VALUE"""),42756)</f>
        <v>42756</v>
      </c>
      <c r="J2452" s="2">
        <f ca="1">IFERROR(__xludf.DUMMYFUNCTION("""COMPUTED_VALUE"""),43120)</f>
        <v>43120</v>
      </c>
    </row>
    <row r="2453" spans="1:10" x14ac:dyDescent="0.25">
      <c r="A2453" s="1" t="str">
        <f ca="1">IFERROR(__xludf.DUMMYFUNCTION("""COMPUTED_VALUE"""),"Klébi DSE")</f>
        <v>Klébi DSE</v>
      </c>
      <c r="B2453" s="1" t="str">
        <f ca="1">IFERROR(__xludf.DUMMYFUNCTION("""COMPUTED_VALUE"""),"Batta Boldizsár")</f>
        <v>Batta Boldizsár</v>
      </c>
      <c r="C2453" s="1"/>
      <c r="D2453" s="1" t="str">
        <f ca="1">IFERROR(__xludf.DUMMYFUNCTION("""COMPUTED_VALUE"""),"Férfi")</f>
        <v>Férfi</v>
      </c>
      <c r="E2453" s="1"/>
      <c r="F2453" s="1">
        <f ca="1">IFERROR(__xludf.DUMMYFUNCTION("""COMPUTED_VALUE"""),2005)</f>
        <v>2005</v>
      </c>
      <c r="G2453" s="1">
        <f ca="1">IFERROR(__xludf.DUMMYFUNCTION("""COMPUTED_VALUE"""),2865)</f>
        <v>2865</v>
      </c>
      <c r="H2453" s="1" t="str">
        <f ca="1">IFERROR(__xludf.DUMMYFUNCTION("""COMPUTED_VALUE"""),"MTLSZ002865A17")</f>
        <v>MTLSZ002865A17</v>
      </c>
      <c r="I2453" s="2">
        <f ca="1">IFERROR(__xludf.DUMMYFUNCTION("""COMPUTED_VALUE"""),42756)</f>
        <v>42756</v>
      </c>
      <c r="J2453" s="2">
        <f ca="1">IFERROR(__xludf.DUMMYFUNCTION("""COMPUTED_VALUE"""),43120)</f>
        <v>43120</v>
      </c>
    </row>
    <row r="2454" spans="1:10" x14ac:dyDescent="0.25">
      <c r="A2454" s="1" t="str">
        <f ca="1">IFERROR(__xludf.DUMMYFUNCTION("""COMPUTED_VALUE"""),"Klébi DSE")</f>
        <v>Klébi DSE</v>
      </c>
      <c r="B2454" s="1" t="str">
        <f ca="1">IFERROR(__xludf.DUMMYFUNCTION("""COMPUTED_VALUE"""),"Bohunka Péter")</f>
        <v>Bohunka Péter</v>
      </c>
      <c r="C2454" s="1"/>
      <c r="D2454" s="1" t="str">
        <f ca="1">IFERROR(__xludf.DUMMYFUNCTION("""COMPUTED_VALUE"""),"Férfi")</f>
        <v>Férfi</v>
      </c>
      <c r="E2454" s="1"/>
      <c r="F2454" s="1">
        <f ca="1">IFERROR(__xludf.DUMMYFUNCTION("""COMPUTED_VALUE"""),1997)</f>
        <v>1997</v>
      </c>
      <c r="G2454" s="1">
        <f ca="1">IFERROR(__xludf.DUMMYFUNCTION("""COMPUTED_VALUE"""),1928)</f>
        <v>1928</v>
      </c>
      <c r="H2454" s="1" t="str">
        <f ca="1">IFERROR(__xludf.DUMMYFUNCTION("""COMPUTED_VALUE"""),"MTLSZ001928A17")</f>
        <v>MTLSZ001928A17</v>
      </c>
      <c r="I2454" s="2">
        <f ca="1">IFERROR(__xludf.DUMMYFUNCTION("""COMPUTED_VALUE"""),42756)</f>
        <v>42756</v>
      </c>
      <c r="J2454" s="2">
        <f ca="1">IFERROR(__xludf.DUMMYFUNCTION("""COMPUTED_VALUE"""),43120)</f>
        <v>43120</v>
      </c>
    </row>
    <row r="2455" spans="1:10" x14ac:dyDescent="0.25">
      <c r="A2455" s="1" t="str">
        <f ca="1">IFERROR(__xludf.DUMMYFUNCTION("""COMPUTED_VALUE"""),"Klébi DSE")</f>
        <v>Klébi DSE</v>
      </c>
      <c r="B2455" s="1" t="str">
        <f ca="1">IFERROR(__xludf.DUMMYFUNCTION("""COMPUTED_VALUE"""),"Esztergálos Dávid")</f>
        <v>Esztergálos Dávid</v>
      </c>
      <c r="C2455" s="1"/>
      <c r="D2455" s="1" t="str">
        <f ca="1">IFERROR(__xludf.DUMMYFUNCTION("""COMPUTED_VALUE"""),"Férfi")</f>
        <v>Férfi</v>
      </c>
      <c r="E2455" s="1"/>
      <c r="F2455" s="1">
        <f ca="1">IFERROR(__xludf.DUMMYFUNCTION("""COMPUTED_VALUE"""),2005)</f>
        <v>2005</v>
      </c>
      <c r="G2455" s="1">
        <f ca="1">IFERROR(__xludf.DUMMYFUNCTION("""COMPUTED_VALUE"""),2866)</f>
        <v>2866</v>
      </c>
      <c r="H2455" s="1" t="str">
        <f ca="1">IFERROR(__xludf.DUMMYFUNCTION("""COMPUTED_VALUE"""),"MTLSZ002866A17")</f>
        <v>MTLSZ002866A17</v>
      </c>
      <c r="I2455" s="2">
        <f ca="1">IFERROR(__xludf.DUMMYFUNCTION("""COMPUTED_VALUE"""),42756)</f>
        <v>42756</v>
      </c>
      <c r="J2455" s="2">
        <f ca="1">IFERROR(__xludf.DUMMYFUNCTION("""COMPUTED_VALUE"""),43120)</f>
        <v>43120</v>
      </c>
    </row>
    <row r="2456" spans="1:10" x14ac:dyDescent="0.25">
      <c r="A2456" s="1" t="str">
        <f ca="1">IFERROR(__xludf.DUMMYFUNCTION("""COMPUTED_VALUE"""),"Klébi DSE")</f>
        <v>Klébi DSE</v>
      </c>
      <c r="B2456" s="1" t="str">
        <f ca="1">IFERROR(__xludf.DUMMYFUNCTION("""COMPUTED_VALUE"""),"Galló Bence")</f>
        <v>Galló Bence</v>
      </c>
      <c r="C2456" s="1"/>
      <c r="D2456" s="1" t="str">
        <f ca="1">IFERROR(__xludf.DUMMYFUNCTION("""COMPUTED_VALUE"""),"Férfi")</f>
        <v>Férfi</v>
      </c>
      <c r="E2456" s="1"/>
      <c r="F2456" s="1">
        <f ca="1">IFERROR(__xludf.DUMMYFUNCTION("""COMPUTED_VALUE"""),2001)</f>
        <v>2001</v>
      </c>
      <c r="G2456" s="1">
        <f ca="1">IFERROR(__xludf.DUMMYFUNCTION("""COMPUTED_VALUE"""),2868)</f>
        <v>2868</v>
      </c>
      <c r="H2456" s="1" t="str">
        <f ca="1">IFERROR(__xludf.DUMMYFUNCTION("""COMPUTED_VALUE"""),"MTLSZ002868A17")</f>
        <v>MTLSZ002868A17</v>
      </c>
      <c r="I2456" s="2">
        <f ca="1">IFERROR(__xludf.DUMMYFUNCTION("""COMPUTED_VALUE"""),42756)</f>
        <v>42756</v>
      </c>
      <c r="J2456" s="2">
        <f ca="1">IFERROR(__xludf.DUMMYFUNCTION("""COMPUTED_VALUE"""),43120)</f>
        <v>43120</v>
      </c>
    </row>
    <row r="2457" spans="1:10" x14ac:dyDescent="0.25">
      <c r="A2457" s="1" t="str">
        <f ca="1">IFERROR(__xludf.DUMMYFUNCTION("""COMPUTED_VALUE"""),"Klébi DSE")</f>
        <v>Klébi DSE</v>
      </c>
      <c r="B2457" s="1" t="str">
        <f ca="1">IFERROR(__xludf.DUMMYFUNCTION("""COMPUTED_VALUE"""),"Galló Lilla Tímea")</f>
        <v>Galló Lilla Tímea</v>
      </c>
      <c r="C2457" s="1"/>
      <c r="D2457" s="1" t="str">
        <f ca="1">IFERROR(__xludf.DUMMYFUNCTION("""COMPUTED_VALUE"""),"Nő")</f>
        <v>Nő</v>
      </c>
      <c r="E2457" s="1"/>
      <c r="F2457" s="1">
        <f ca="1">IFERROR(__xludf.DUMMYFUNCTION("""COMPUTED_VALUE"""),2001)</f>
        <v>2001</v>
      </c>
      <c r="G2457" s="1">
        <f ca="1">IFERROR(__xludf.DUMMYFUNCTION("""COMPUTED_VALUE"""),2869)</f>
        <v>2869</v>
      </c>
      <c r="H2457" s="1" t="str">
        <f ca="1">IFERROR(__xludf.DUMMYFUNCTION("""COMPUTED_VALUE"""),"MTLSZ002869A17")</f>
        <v>MTLSZ002869A17</v>
      </c>
      <c r="I2457" s="2">
        <f ca="1">IFERROR(__xludf.DUMMYFUNCTION("""COMPUTED_VALUE"""),42756)</f>
        <v>42756</v>
      </c>
      <c r="J2457" s="2">
        <f ca="1">IFERROR(__xludf.DUMMYFUNCTION("""COMPUTED_VALUE"""),43120)</f>
        <v>43120</v>
      </c>
    </row>
    <row r="2458" spans="1:10" x14ac:dyDescent="0.25">
      <c r="A2458" s="1" t="str">
        <f ca="1">IFERROR(__xludf.DUMMYFUNCTION("""COMPUTED_VALUE"""),"Klébi DSE")</f>
        <v>Klébi DSE</v>
      </c>
      <c r="B2458" s="1" t="str">
        <f ca="1">IFERROR(__xludf.DUMMYFUNCTION("""COMPUTED_VALUE"""),"Horváth Bendegúz")</f>
        <v>Horváth Bendegúz</v>
      </c>
      <c r="C2458" s="1"/>
      <c r="D2458" s="1" t="str">
        <f ca="1">IFERROR(__xludf.DUMMYFUNCTION("""COMPUTED_VALUE"""),"Férfi")</f>
        <v>Férfi</v>
      </c>
      <c r="E2458" s="1"/>
      <c r="F2458" s="1">
        <f ca="1">IFERROR(__xludf.DUMMYFUNCTION("""COMPUTED_VALUE"""),2003)</f>
        <v>2003</v>
      </c>
      <c r="G2458" s="1">
        <f ca="1">IFERROR(__xludf.DUMMYFUNCTION("""COMPUTED_VALUE"""),2871)</f>
        <v>2871</v>
      </c>
      <c r="H2458" s="1" t="str">
        <f ca="1">IFERROR(__xludf.DUMMYFUNCTION("""COMPUTED_VALUE"""),"MTLSZ002871A17")</f>
        <v>MTLSZ002871A17</v>
      </c>
      <c r="I2458" s="2">
        <f ca="1">IFERROR(__xludf.DUMMYFUNCTION("""COMPUTED_VALUE"""),42756)</f>
        <v>42756</v>
      </c>
      <c r="J2458" s="2">
        <f ca="1">IFERROR(__xludf.DUMMYFUNCTION("""COMPUTED_VALUE"""),43120)</f>
        <v>43120</v>
      </c>
    </row>
    <row r="2459" spans="1:10" x14ac:dyDescent="0.25">
      <c r="A2459" s="1" t="str">
        <f ca="1">IFERROR(__xludf.DUMMYFUNCTION("""COMPUTED_VALUE"""),"Klébi DSE")</f>
        <v>Klébi DSE</v>
      </c>
      <c r="B2459" s="1" t="str">
        <f ca="1">IFERROR(__xludf.DUMMYFUNCTION("""COMPUTED_VALUE"""),"Jakabffy Mihály")</f>
        <v>Jakabffy Mihály</v>
      </c>
      <c r="C2459" s="1"/>
      <c r="D2459" s="1" t="str">
        <f ca="1">IFERROR(__xludf.DUMMYFUNCTION("""COMPUTED_VALUE"""),"Férfi")</f>
        <v>Férfi</v>
      </c>
      <c r="E2459" s="1"/>
      <c r="F2459" s="1">
        <f ca="1">IFERROR(__xludf.DUMMYFUNCTION("""COMPUTED_VALUE"""),2003)</f>
        <v>2003</v>
      </c>
      <c r="G2459" s="1">
        <f ca="1">IFERROR(__xludf.DUMMYFUNCTION("""COMPUTED_VALUE"""),2873)</f>
        <v>2873</v>
      </c>
      <c r="H2459" s="1" t="str">
        <f ca="1">IFERROR(__xludf.DUMMYFUNCTION("""COMPUTED_VALUE"""),"MTLSZ002873A17")</f>
        <v>MTLSZ002873A17</v>
      </c>
      <c r="I2459" s="2">
        <f ca="1">IFERROR(__xludf.DUMMYFUNCTION("""COMPUTED_VALUE"""),42756)</f>
        <v>42756</v>
      </c>
      <c r="J2459" s="2">
        <f ca="1">IFERROR(__xludf.DUMMYFUNCTION("""COMPUTED_VALUE"""),43120)</f>
        <v>43120</v>
      </c>
    </row>
    <row r="2460" spans="1:10" x14ac:dyDescent="0.25">
      <c r="A2460" s="1" t="str">
        <f ca="1">IFERROR(__xludf.DUMMYFUNCTION("""COMPUTED_VALUE"""),"Klébi DSE")</f>
        <v>Klébi DSE</v>
      </c>
      <c r="B2460" s="1" t="str">
        <f ca="1">IFERROR(__xludf.DUMMYFUNCTION("""COMPUTED_VALUE"""),"Makó Kristóf Zsolt")</f>
        <v>Makó Kristóf Zsolt</v>
      </c>
      <c r="C2460" s="1"/>
      <c r="D2460" s="1" t="str">
        <f ca="1">IFERROR(__xludf.DUMMYFUNCTION("""COMPUTED_VALUE"""),"Férfi")</f>
        <v>Férfi</v>
      </c>
      <c r="E2460" s="1"/>
      <c r="F2460" s="1">
        <f ca="1">IFERROR(__xludf.DUMMYFUNCTION("""COMPUTED_VALUE"""),2001)</f>
        <v>2001</v>
      </c>
      <c r="G2460" s="1">
        <f ca="1">IFERROR(__xludf.DUMMYFUNCTION("""COMPUTED_VALUE"""),2875)</f>
        <v>2875</v>
      </c>
      <c r="H2460" s="1" t="str">
        <f ca="1">IFERROR(__xludf.DUMMYFUNCTION("""COMPUTED_VALUE"""),"MTLSZ002875A17")</f>
        <v>MTLSZ002875A17</v>
      </c>
      <c r="I2460" s="2">
        <f ca="1">IFERROR(__xludf.DUMMYFUNCTION("""COMPUTED_VALUE"""),42756)</f>
        <v>42756</v>
      </c>
      <c r="J2460" s="2">
        <f ca="1">IFERROR(__xludf.DUMMYFUNCTION("""COMPUTED_VALUE"""),43120)</f>
        <v>43120</v>
      </c>
    </row>
    <row r="2461" spans="1:10" x14ac:dyDescent="0.25">
      <c r="A2461" s="1" t="str">
        <f ca="1">IFERROR(__xludf.DUMMYFUNCTION("""COMPUTED_VALUE"""),"Klébi DSE")</f>
        <v>Klébi DSE</v>
      </c>
      <c r="B2461" s="1" t="str">
        <f ca="1">IFERROR(__xludf.DUMMYFUNCTION("""COMPUTED_VALUE"""),"Rozsondai Örs")</f>
        <v>Rozsondai Örs</v>
      </c>
      <c r="C2461" s="1"/>
      <c r="D2461" s="1" t="str">
        <f ca="1">IFERROR(__xludf.DUMMYFUNCTION("""COMPUTED_VALUE"""),"Férfi")</f>
        <v>Férfi</v>
      </c>
      <c r="E2461" s="1"/>
      <c r="F2461" s="1">
        <f ca="1">IFERROR(__xludf.DUMMYFUNCTION("""COMPUTED_VALUE"""),2004)</f>
        <v>2004</v>
      </c>
      <c r="G2461" s="1">
        <f ca="1">IFERROR(__xludf.DUMMYFUNCTION("""COMPUTED_VALUE"""),2877)</f>
        <v>2877</v>
      </c>
      <c r="H2461" s="1" t="str">
        <f ca="1">IFERROR(__xludf.DUMMYFUNCTION("""COMPUTED_VALUE"""),"MTLSZ002877A17")</f>
        <v>MTLSZ002877A17</v>
      </c>
      <c r="I2461" s="2">
        <f ca="1">IFERROR(__xludf.DUMMYFUNCTION("""COMPUTED_VALUE"""),42756)</f>
        <v>42756</v>
      </c>
      <c r="J2461" s="2">
        <f ca="1">IFERROR(__xludf.DUMMYFUNCTION("""COMPUTED_VALUE"""),43120)</f>
        <v>43120</v>
      </c>
    </row>
    <row r="2462" spans="1:10" x14ac:dyDescent="0.25">
      <c r="A2462" s="1" t="str">
        <f ca="1">IFERROR(__xludf.DUMMYFUNCTION("""COMPUTED_VALUE"""),"Klébi DSE")</f>
        <v>Klébi DSE</v>
      </c>
      <c r="B2462" s="1" t="str">
        <f ca="1">IFERROR(__xludf.DUMMYFUNCTION("""COMPUTED_VALUE"""),"Strinni Soma")</f>
        <v>Strinni Soma</v>
      </c>
      <c r="C2462" s="1"/>
      <c r="D2462" s="1" t="str">
        <f ca="1">IFERROR(__xludf.DUMMYFUNCTION("""COMPUTED_VALUE"""),"Férfi")</f>
        <v>Férfi</v>
      </c>
      <c r="E2462" s="1"/>
      <c r="F2462" s="1">
        <f ca="1">IFERROR(__xludf.DUMMYFUNCTION("""COMPUTED_VALUE"""),2005)</f>
        <v>2005</v>
      </c>
      <c r="G2462" s="1">
        <f ca="1">IFERROR(__xludf.DUMMYFUNCTION("""COMPUTED_VALUE"""),2880)</f>
        <v>2880</v>
      </c>
      <c r="H2462" s="1" t="str">
        <f ca="1">IFERROR(__xludf.DUMMYFUNCTION("""COMPUTED_VALUE"""),"MTLSZ002880A17")</f>
        <v>MTLSZ002880A17</v>
      </c>
      <c r="I2462" s="2">
        <f ca="1">IFERROR(__xludf.DUMMYFUNCTION("""COMPUTED_VALUE"""),42756)</f>
        <v>42756</v>
      </c>
      <c r="J2462" s="2">
        <f ca="1">IFERROR(__xludf.DUMMYFUNCTION("""COMPUTED_VALUE"""),43120)</f>
        <v>43120</v>
      </c>
    </row>
    <row r="2463" spans="1:10" x14ac:dyDescent="0.25">
      <c r="A2463" s="1" t="str">
        <f ca="1">IFERROR(__xludf.DUMMYFUNCTION("""COMPUTED_VALUE"""),"Klébi DSE")</f>
        <v>Klébi DSE</v>
      </c>
      <c r="B2463" s="1" t="str">
        <f ca="1">IFERROR(__xludf.DUMMYFUNCTION("""COMPUTED_VALUE"""),"Szabó-Király Olivér")</f>
        <v>Szabó-Király Olivér</v>
      </c>
      <c r="C2463" s="1"/>
      <c r="D2463" s="1" t="str">
        <f ca="1">IFERROR(__xludf.DUMMYFUNCTION("""COMPUTED_VALUE"""),"Férfi")</f>
        <v>Férfi</v>
      </c>
      <c r="E2463" s="1"/>
      <c r="F2463" s="1">
        <f ca="1">IFERROR(__xludf.DUMMYFUNCTION("""COMPUTED_VALUE"""),2004)</f>
        <v>2004</v>
      </c>
      <c r="G2463" s="1">
        <f ca="1">IFERROR(__xludf.DUMMYFUNCTION("""COMPUTED_VALUE"""),2881)</f>
        <v>2881</v>
      </c>
      <c r="H2463" s="1" t="str">
        <f ca="1">IFERROR(__xludf.DUMMYFUNCTION("""COMPUTED_VALUE"""),"MTLSZ002881A17")</f>
        <v>MTLSZ002881A17</v>
      </c>
      <c r="I2463" s="2">
        <f ca="1">IFERROR(__xludf.DUMMYFUNCTION("""COMPUTED_VALUE"""),42756)</f>
        <v>42756</v>
      </c>
      <c r="J2463" s="2">
        <f ca="1">IFERROR(__xludf.DUMMYFUNCTION("""COMPUTED_VALUE"""),43120)</f>
        <v>43120</v>
      </c>
    </row>
    <row r="2464" spans="1:10" x14ac:dyDescent="0.25">
      <c r="A2464" s="1" t="str">
        <f ca="1">IFERROR(__xludf.DUMMYFUNCTION("""COMPUTED_VALUE"""),"Klébi DSE")</f>
        <v>Klébi DSE</v>
      </c>
      <c r="B2464" s="1" t="str">
        <f ca="1">IFERROR(__xludf.DUMMYFUNCTION("""COMPUTED_VALUE"""),"Verschoor Bart")</f>
        <v>Verschoor Bart</v>
      </c>
      <c r="C2464" s="1"/>
      <c r="D2464" s="1" t="str">
        <f ca="1">IFERROR(__xludf.DUMMYFUNCTION("""COMPUTED_VALUE"""),"Férfi")</f>
        <v>Férfi</v>
      </c>
      <c r="E2464" s="1"/>
      <c r="F2464" s="1">
        <f ca="1">IFERROR(__xludf.DUMMYFUNCTION("""COMPUTED_VALUE"""),2002)</f>
        <v>2002</v>
      </c>
      <c r="G2464" s="1">
        <f ca="1">IFERROR(__xludf.DUMMYFUNCTION("""COMPUTED_VALUE"""),2886)</f>
        <v>2886</v>
      </c>
      <c r="H2464" s="1" t="str">
        <f ca="1">IFERROR(__xludf.DUMMYFUNCTION("""COMPUTED_VALUE"""),"MTLSZ002886A17")</f>
        <v>MTLSZ002886A17</v>
      </c>
      <c r="I2464" s="2">
        <f ca="1">IFERROR(__xludf.DUMMYFUNCTION("""COMPUTED_VALUE"""),42756)</f>
        <v>42756</v>
      </c>
      <c r="J2464" s="2">
        <f ca="1">IFERROR(__xludf.DUMMYFUNCTION("""COMPUTED_VALUE"""),43120)</f>
        <v>43120</v>
      </c>
    </row>
    <row r="2465" spans="1:10" x14ac:dyDescent="0.25">
      <c r="A2465" s="1" t="str">
        <f ca="1">IFERROR(__xludf.DUMMYFUNCTION("""COMPUTED_VALUE"""),"Tisza TSE")</f>
        <v>Tisza TSE</v>
      </c>
      <c r="B2465" s="1" t="str">
        <f ca="1">IFERROR(__xludf.DUMMYFUNCTION("""COMPUTED_VALUE"""),"Bálint Rebeka")</f>
        <v>Bálint Rebeka</v>
      </c>
      <c r="C2465" s="1"/>
      <c r="D2465" s="1" t="str">
        <f ca="1">IFERROR(__xludf.DUMMYFUNCTION("""COMPUTED_VALUE"""),"Nő")</f>
        <v>Nő</v>
      </c>
      <c r="E2465" s="1"/>
      <c r="F2465" s="1">
        <f ca="1">IFERROR(__xludf.DUMMYFUNCTION("""COMPUTED_VALUE"""),1994)</f>
        <v>1994</v>
      </c>
      <c r="G2465" s="1">
        <f ca="1">IFERROR(__xludf.DUMMYFUNCTION("""COMPUTED_VALUE"""),2076)</f>
        <v>2076</v>
      </c>
      <c r="H2465" s="1" t="str">
        <f ca="1">IFERROR(__xludf.DUMMYFUNCTION("""COMPUTED_VALUE"""),"MTLSZ002076A17")</f>
        <v>MTLSZ002076A17</v>
      </c>
      <c r="I2465" s="2">
        <f ca="1">IFERROR(__xludf.DUMMYFUNCTION("""COMPUTED_VALUE"""),42756)</f>
        <v>42756</v>
      </c>
      <c r="J2465" s="2">
        <f ca="1">IFERROR(__xludf.DUMMYFUNCTION("""COMPUTED_VALUE"""),43120)</f>
        <v>43120</v>
      </c>
    </row>
    <row r="2466" spans="1:10" x14ac:dyDescent="0.25">
      <c r="A2466" s="1" t="str">
        <f ca="1">IFERROR(__xludf.DUMMYFUNCTION("""COMPUTED_VALUE"""),"BTBK")</f>
        <v>BTBK</v>
      </c>
      <c r="B2466" s="1" t="str">
        <f ca="1">IFERROR(__xludf.DUMMYFUNCTION("""COMPUTED_VALUE"""),"Kosiba Géza")</f>
        <v>Kosiba Géza</v>
      </c>
      <c r="C2466" s="1"/>
      <c r="D2466" s="1" t="str">
        <f ca="1">IFERROR(__xludf.DUMMYFUNCTION("""COMPUTED_VALUE"""),"Férfi")</f>
        <v>Férfi</v>
      </c>
      <c r="E2466" s="1"/>
      <c r="F2466" s="1">
        <f ca="1">IFERROR(__xludf.DUMMYFUNCTION("""COMPUTED_VALUE"""),1949)</f>
        <v>1949</v>
      </c>
      <c r="G2466" s="1">
        <f ca="1">IFERROR(__xludf.DUMMYFUNCTION("""COMPUTED_VALUE"""),526)</f>
        <v>526</v>
      </c>
      <c r="H2466" s="1" t="str">
        <f ca="1">IFERROR(__xludf.DUMMYFUNCTION("""COMPUTED_VALUE"""),"MTLSZ000526A17")</f>
        <v>MTLSZ000526A17</v>
      </c>
      <c r="I2466" s="2">
        <f ca="1">IFERROR(__xludf.DUMMYFUNCTION("""COMPUTED_VALUE"""),42755)</f>
        <v>42755</v>
      </c>
      <c r="J2466" s="2">
        <f ca="1">IFERROR(__xludf.DUMMYFUNCTION("""COMPUTED_VALUE"""),43119)</f>
        <v>43119</v>
      </c>
    </row>
    <row r="2467" spans="1:10" x14ac:dyDescent="0.25">
      <c r="A2467" s="1" t="str">
        <f ca="1">IFERROR(__xludf.DUMMYFUNCTION("""COMPUTED_VALUE"""),"FBSE")</f>
        <v>FBSE</v>
      </c>
      <c r="B2467" s="1" t="str">
        <f ca="1">IFERROR(__xludf.DUMMYFUNCTION("""COMPUTED_VALUE"""),"Antal Erika")</f>
        <v>Antal Erika</v>
      </c>
      <c r="C2467" s="1"/>
      <c r="D2467" s="1" t="str">
        <f ca="1">IFERROR(__xludf.DUMMYFUNCTION("""COMPUTED_VALUE"""),"Nő")</f>
        <v>Nő</v>
      </c>
      <c r="E2467" s="1"/>
      <c r="F2467" s="1">
        <f ca="1">IFERROR(__xludf.DUMMYFUNCTION("""COMPUTED_VALUE"""),1998)</f>
        <v>1998</v>
      </c>
      <c r="G2467" s="1">
        <f ca="1">IFERROR(__xludf.DUMMYFUNCTION("""COMPUTED_VALUE"""),1869)</f>
        <v>1869</v>
      </c>
      <c r="H2467" s="1" t="str">
        <f ca="1">IFERROR(__xludf.DUMMYFUNCTION("""COMPUTED_VALUE"""),"MTLSZ001869A17")</f>
        <v>MTLSZ001869A17</v>
      </c>
      <c r="I2467" s="2">
        <f ca="1">IFERROR(__xludf.DUMMYFUNCTION("""COMPUTED_VALUE"""),42753)</f>
        <v>42753</v>
      </c>
      <c r="J2467" s="2">
        <f ca="1">IFERROR(__xludf.DUMMYFUNCTION("""COMPUTED_VALUE"""),43117)</f>
        <v>43117</v>
      </c>
    </row>
    <row r="2468" spans="1:10" x14ac:dyDescent="0.25">
      <c r="A2468" s="1" t="str">
        <f ca="1">IFERROR(__xludf.DUMMYFUNCTION("""COMPUTED_VALUE"""),"FBSE")</f>
        <v>FBSE</v>
      </c>
      <c r="B2468" s="1" t="str">
        <f ca="1">IFERROR(__xludf.DUMMYFUNCTION("""COMPUTED_VALUE"""),"Holka Rita")</f>
        <v>Holka Rita</v>
      </c>
      <c r="C2468" s="1"/>
      <c r="D2468" s="1" t="str">
        <f ca="1">IFERROR(__xludf.DUMMYFUNCTION("""COMPUTED_VALUE"""),"Nő")</f>
        <v>Nő</v>
      </c>
      <c r="E2468" s="1"/>
      <c r="F2468" s="1">
        <f ca="1">IFERROR(__xludf.DUMMYFUNCTION("""COMPUTED_VALUE"""),1987)</f>
        <v>1987</v>
      </c>
      <c r="G2468" s="1">
        <f ca="1">IFERROR(__xludf.DUMMYFUNCTION("""COMPUTED_VALUE"""),361)</f>
        <v>361</v>
      </c>
      <c r="H2468" s="1" t="str">
        <f ca="1">IFERROR(__xludf.DUMMYFUNCTION("""COMPUTED_VALUE"""),"MTLSZ000361A17")</f>
        <v>MTLSZ000361A17</v>
      </c>
      <c r="I2468" s="2">
        <f ca="1">IFERROR(__xludf.DUMMYFUNCTION("""COMPUTED_VALUE"""),42753)</f>
        <v>42753</v>
      </c>
      <c r="J2468" s="2">
        <f ca="1">IFERROR(__xludf.DUMMYFUNCTION("""COMPUTED_VALUE"""),43117)</f>
        <v>43117</v>
      </c>
    </row>
    <row r="2469" spans="1:10" x14ac:dyDescent="0.25">
      <c r="A2469" s="1" t="str">
        <f ca="1">IFERROR(__xludf.DUMMYFUNCTION("""COMPUTED_VALUE"""),"Seregélyesi PDSE")</f>
        <v>Seregélyesi PDSE</v>
      </c>
      <c r="B2469" s="1" t="str">
        <f ca="1">IFERROR(__xludf.DUMMYFUNCTION("""COMPUTED_VALUE"""),"Kovács Dávid")</f>
        <v>Kovács Dávid</v>
      </c>
      <c r="C2469" s="1"/>
      <c r="D2469" s="1" t="str">
        <f ca="1">IFERROR(__xludf.DUMMYFUNCTION("""COMPUTED_VALUE"""),"Férfi")</f>
        <v>Férfi</v>
      </c>
      <c r="E2469" s="1"/>
      <c r="F2469" s="1">
        <f ca="1">IFERROR(__xludf.DUMMYFUNCTION("""COMPUTED_VALUE"""),2008)</f>
        <v>2008</v>
      </c>
      <c r="G2469" s="1">
        <f ca="1">IFERROR(__xludf.DUMMYFUNCTION("""COMPUTED_VALUE"""),2860)</f>
        <v>2860</v>
      </c>
      <c r="H2469" s="1" t="str">
        <f ca="1">IFERROR(__xludf.DUMMYFUNCTION("""COMPUTED_VALUE"""),"MTLSZ002860A17")</f>
        <v>MTLSZ002860A17</v>
      </c>
      <c r="I2469" s="2">
        <f ca="1">IFERROR(__xludf.DUMMYFUNCTION("""COMPUTED_VALUE"""),42750)</f>
        <v>42750</v>
      </c>
      <c r="J2469" s="2">
        <f ca="1">IFERROR(__xludf.DUMMYFUNCTION("""COMPUTED_VALUE"""),43114)</f>
        <v>43114</v>
      </c>
    </row>
    <row r="2470" spans="1:10" x14ac:dyDescent="0.25">
      <c r="A2470" s="1" t="str">
        <f ca="1">IFERROR(__xludf.DUMMYFUNCTION("""COMPUTED_VALUE"""),"BEAC")</f>
        <v>BEAC</v>
      </c>
      <c r="B2470" s="1" t="str">
        <f ca="1">IFERROR(__xludf.DUMMYFUNCTION("""COMPUTED_VALUE"""),"Ambrus Gábor")</f>
        <v>Ambrus Gábor</v>
      </c>
      <c r="C2470" s="1"/>
      <c r="D2470" s="1" t="str">
        <f ca="1">IFERROR(__xludf.DUMMYFUNCTION("""COMPUTED_VALUE"""),"Férfi")</f>
        <v>Férfi</v>
      </c>
      <c r="E2470" s="1"/>
      <c r="F2470" s="1">
        <f ca="1">IFERROR(__xludf.DUMMYFUNCTION("""COMPUTED_VALUE"""),1960)</f>
        <v>1960</v>
      </c>
      <c r="G2470" s="1">
        <f ca="1">IFERROR(__xludf.DUMMYFUNCTION("""COMPUTED_VALUE"""),14)</f>
        <v>14</v>
      </c>
      <c r="H2470" s="1" t="str">
        <f ca="1">IFERROR(__xludf.DUMMYFUNCTION("""COMPUTED_VALUE"""),"MTLSZ000014A16")</f>
        <v>MTLSZ000014A16</v>
      </c>
      <c r="I2470" s="2">
        <f ca="1">IFERROR(__xludf.DUMMYFUNCTION("""COMPUTED_VALUE"""),42732)</f>
        <v>42732</v>
      </c>
      <c r="J2470" s="2">
        <f ca="1">IFERROR(__xludf.DUMMYFUNCTION("""COMPUTED_VALUE"""),43096)</f>
        <v>43096</v>
      </c>
    </row>
    <row r="2471" spans="1:10" x14ac:dyDescent="0.25">
      <c r="A2471" s="1" t="str">
        <f ca="1">IFERROR(__xludf.DUMMYFUNCTION("""COMPUTED_VALUE"""),"BEAC")</f>
        <v>BEAC</v>
      </c>
      <c r="B2471" s="1" t="str">
        <f ca="1">IFERROR(__xludf.DUMMYFUNCTION("""COMPUTED_VALUE"""),"Árvai-Nagy Éva")</f>
        <v>Árvai-Nagy Éva</v>
      </c>
      <c r="C2471" s="1"/>
      <c r="D2471" s="1" t="str">
        <f ca="1">IFERROR(__xludf.DUMMYFUNCTION("""COMPUTED_VALUE"""),"Nő")</f>
        <v>Nő</v>
      </c>
      <c r="E2471" s="1"/>
      <c r="F2471" s="1">
        <f ca="1">IFERROR(__xludf.DUMMYFUNCTION("""COMPUTED_VALUE"""),1973)</f>
        <v>1973</v>
      </c>
      <c r="G2471" s="1">
        <f ca="1">IFERROR(__xludf.DUMMYFUNCTION("""COMPUTED_VALUE"""),20)</f>
        <v>20</v>
      </c>
      <c r="H2471" s="1" t="str">
        <f ca="1">IFERROR(__xludf.DUMMYFUNCTION("""COMPUTED_VALUE"""),"MTLSZ000020A16")</f>
        <v>MTLSZ000020A16</v>
      </c>
      <c r="I2471" s="2">
        <f ca="1">IFERROR(__xludf.DUMMYFUNCTION("""COMPUTED_VALUE"""),42732)</f>
        <v>42732</v>
      </c>
      <c r="J2471" s="2">
        <f ca="1">IFERROR(__xludf.DUMMYFUNCTION("""COMPUTED_VALUE"""),43096)</f>
        <v>43096</v>
      </c>
    </row>
    <row r="2472" spans="1:10" x14ac:dyDescent="0.25">
      <c r="A2472" s="1" t="str">
        <f ca="1">IFERROR(__xludf.DUMMYFUNCTION("""COMPUTED_VALUE"""),"BEAC")</f>
        <v>BEAC</v>
      </c>
      <c r="B2472" s="1" t="str">
        <f ca="1">IFERROR(__xludf.DUMMYFUNCTION("""COMPUTED_VALUE"""),"Bakó László")</f>
        <v>Bakó László</v>
      </c>
      <c r="C2472" s="1"/>
      <c r="D2472" s="1" t="str">
        <f ca="1">IFERROR(__xludf.DUMMYFUNCTION("""COMPUTED_VALUE"""),"Férfi")</f>
        <v>Férfi</v>
      </c>
      <c r="E2472" s="1"/>
      <c r="F2472" s="1">
        <f ca="1">IFERROR(__xludf.DUMMYFUNCTION("""COMPUTED_VALUE"""),1954)</f>
        <v>1954</v>
      </c>
      <c r="G2472" s="1">
        <f ca="1">IFERROR(__xludf.DUMMYFUNCTION("""COMPUTED_VALUE"""),29)</f>
        <v>29</v>
      </c>
      <c r="H2472" s="1" t="str">
        <f ca="1">IFERROR(__xludf.DUMMYFUNCTION("""COMPUTED_VALUE"""),"MTLSZ000029A16")</f>
        <v>MTLSZ000029A16</v>
      </c>
      <c r="I2472" s="2">
        <f ca="1">IFERROR(__xludf.DUMMYFUNCTION("""COMPUTED_VALUE"""),42732)</f>
        <v>42732</v>
      </c>
      <c r="J2472" s="2">
        <f ca="1">IFERROR(__xludf.DUMMYFUNCTION("""COMPUTED_VALUE"""),43096)</f>
        <v>43096</v>
      </c>
    </row>
    <row r="2473" spans="1:10" x14ac:dyDescent="0.25">
      <c r="A2473" s="1" t="str">
        <f ca="1">IFERROR(__xludf.DUMMYFUNCTION("""COMPUTED_VALUE"""),"BEAC")</f>
        <v>BEAC</v>
      </c>
      <c r="B2473" s="1" t="str">
        <f ca="1">IFERROR(__xludf.DUMMYFUNCTION("""COMPUTED_VALUE"""),"Biszak Előd")</f>
        <v>Biszak Előd</v>
      </c>
      <c r="C2473" s="1"/>
      <c r="D2473" s="1" t="str">
        <f ca="1">IFERROR(__xludf.DUMMYFUNCTION("""COMPUTED_VALUE"""),"Férfi")</f>
        <v>Férfi</v>
      </c>
      <c r="E2473" s="1"/>
      <c r="F2473" s="1">
        <f ca="1">IFERROR(__xludf.DUMMYFUNCTION("""COMPUTED_VALUE"""),1987)</f>
        <v>1987</v>
      </c>
      <c r="G2473" s="1">
        <f ca="1">IFERROR(__xludf.DUMMYFUNCTION("""COMPUTED_VALUE"""),90)</f>
        <v>90</v>
      </c>
      <c r="H2473" s="1" t="str">
        <f ca="1">IFERROR(__xludf.DUMMYFUNCTION("""COMPUTED_VALUE"""),"MTLSZ000090A16")</f>
        <v>MTLSZ000090A16</v>
      </c>
      <c r="I2473" s="2">
        <f ca="1">IFERROR(__xludf.DUMMYFUNCTION("""COMPUTED_VALUE"""),42732)</f>
        <v>42732</v>
      </c>
      <c r="J2473" s="2">
        <f ca="1">IFERROR(__xludf.DUMMYFUNCTION("""COMPUTED_VALUE"""),43096)</f>
        <v>43096</v>
      </c>
    </row>
    <row r="2474" spans="1:10" x14ac:dyDescent="0.25">
      <c r="A2474" s="1" t="str">
        <f ca="1">IFERROR(__xludf.DUMMYFUNCTION("""COMPUTED_VALUE"""),"BEAC")</f>
        <v>BEAC</v>
      </c>
      <c r="B2474" s="1" t="str">
        <f ca="1">IFERROR(__xludf.DUMMYFUNCTION("""COMPUTED_VALUE"""),"Borka György")</f>
        <v>Borka György</v>
      </c>
      <c r="C2474" s="1"/>
      <c r="D2474" s="1" t="str">
        <f ca="1">IFERROR(__xludf.DUMMYFUNCTION("""COMPUTED_VALUE"""),"Férfi")</f>
        <v>Férfi</v>
      </c>
      <c r="E2474" s="1"/>
      <c r="F2474" s="1">
        <f ca="1">IFERROR(__xludf.DUMMYFUNCTION("""COMPUTED_VALUE"""),1956)</f>
        <v>1956</v>
      </c>
      <c r="G2474" s="1">
        <f ca="1">IFERROR(__xludf.DUMMYFUNCTION("""COMPUTED_VALUE"""),104)</f>
        <v>104</v>
      </c>
      <c r="H2474" s="1" t="str">
        <f ca="1">IFERROR(__xludf.DUMMYFUNCTION("""COMPUTED_VALUE"""),"MTLSZ000104A16")</f>
        <v>MTLSZ000104A16</v>
      </c>
      <c r="I2474" s="2">
        <f ca="1">IFERROR(__xludf.DUMMYFUNCTION("""COMPUTED_VALUE"""),42732)</f>
        <v>42732</v>
      </c>
      <c r="J2474" s="2">
        <f ca="1">IFERROR(__xludf.DUMMYFUNCTION("""COMPUTED_VALUE"""),43096)</f>
        <v>43096</v>
      </c>
    </row>
    <row r="2475" spans="1:10" x14ac:dyDescent="0.25">
      <c r="A2475" s="1" t="str">
        <f ca="1">IFERROR(__xludf.DUMMYFUNCTION("""COMPUTED_VALUE"""),"BEAC")</f>
        <v>BEAC</v>
      </c>
      <c r="B2475" s="1" t="str">
        <f ca="1">IFERROR(__xludf.DUMMYFUNCTION("""COMPUTED_VALUE"""),"Csekő Csongor dr.")</f>
        <v>Csekő Csongor dr.</v>
      </c>
      <c r="C2475" s="1"/>
      <c r="D2475" s="1" t="str">
        <f ca="1">IFERROR(__xludf.DUMMYFUNCTION("""COMPUTED_VALUE"""),"Férfi")</f>
        <v>Férfi</v>
      </c>
      <c r="E2475" s="1"/>
      <c r="F2475" s="1">
        <f ca="1">IFERROR(__xludf.DUMMYFUNCTION("""COMPUTED_VALUE"""),1975)</f>
        <v>1975</v>
      </c>
      <c r="G2475" s="1">
        <f ca="1">IFERROR(__xludf.DUMMYFUNCTION("""COMPUTED_VALUE"""),1231)</f>
        <v>1231</v>
      </c>
      <c r="H2475" s="1" t="str">
        <f ca="1">IFERROR(__xludf.DUMMYFUNCTION("""COMPUTED_VALUE"""),"MTLSZ001231A16")</f>
        <v>MTLSZ001231A16</v>
      </c>
      <c r="I2475" s="2">
        <f ca="1">IFERROR(__xludf.DUMMYFUNCTION("""COMPUTED_VALUE"""),42732)</f>
        <v>42732</v>
      </c>
      <c r="J2475" s="2">
        <f ca="1">IFERROR(__xludf.DUMMYFUNCTION("""COMPUTED_VALUE"""),43096)</f>
        <v>43096</v>
      </c>
    </row>
    <row r="2476" spans="1:10" x14ac:dyDescent="0.25">
      <c r="A2476" s="1" t="str">
        <f ca="1">IFERROR(__xludf.DUMMYFUNCTION("""COMPUTED_VALUE"""),"BEAC")</f>
        <v>BEAC</v>
      </c>
      <c r="B2476" s="1" t="str">
        <f ca="1">IFERROR(__xludf.DUMMYFUNCTION("""COMPUTED_VALUE"""),"Csenki Béla")</f>
        <v>Csenki Béla</v>
      </c>
      <c r="C2476" s="1"/>
      <c r="D2476" s="1" t="str">
        <f ca="1">IFERROR(__xludf.DUMMYFUNCTION("""COMPUTED_VALUE"""),"Férfi")</f>
        <v>Férfi</v>
      </c>
      <c r="E2476" s="1"/>
      <c r="F2476" s="1">
        <f ca="1">IFERROR(__xludf.DUMMYFUNCTION("""COMPUTED_VALUE"""),1984)</f>
        <v>1984</v>
      </c>
      <c r="G2476" s="1">
        <f ca="1">IFERROR(__xludf.DUMMYFUNCTION("""COMPUTED_VALUE"""),134)</f>
        <v>134</v>
      </c>
      <c r="H2476" s="1" t="str">
        <f ca="1">IFERROR(__xludf.DUMMYFUNCTION("""COMPUTED_VALUE"""),"MTLSZ000134A16")</f>
        <v>MTLSZ000134A16</v>
      </c>
      <c r="I2476" s="2">
        <f ca="1">IFERROR(__xludf.DUMMYFUNCTION("""COMPUTED_VALUE"""),42732)</f>
        <v>42732</v>
      </c>
      <c r="J2476" s="2">
        <f ca="1">IFERROR(__xludf.DUMMYFUNCTION("""COMPUTED_VALUE"""),43096)</f>
        <v>43096</v>
      </c>
    </row>
    <row r="2477" spans="1:10" x14ac:dyDescent="0.25">
      <c r="A2477" s="1" t="str">
        <f ca="1">IFERROR(__xludf.DUMMYFUNCTION("""COMPUTED_VALUE"""),"BEAC")</f>
        <v>BEAC</v>
      </c>
      <c r="B2477" s="1" t="str">
        <f ca="1">IFERROR(__xludf.DUMMYFUNCTION("""COMPUTED_VALUE"""),"Csikós Éva")</f>
        <v>Csikós Éva</v>
      </c>
      <c r="C2477" s="1"/>
      <c r="D2477" s="1" t="str">
        <f ca="1">IFERROR(__xludf.DUMMYFUNCTION("""COMPUTED_VALUE"""),"Nő")</f>
        <v>Nő</v>
      </c>
      <c r="E2477" s="1"/>
      <c r="F2477" s="1">
        <f ca="1">IFERROR(__xludf.DUMMYFUNCTION("""COMPUTED_VALUE"""),1968)</f>
        <v>1968</v>
      </c>
      <c r="G2477" s="1">
        <f ca="1">IFERROR(__xludf.DUMMYFUNCTION("""COMPUTED_VALUE"""),1815)</f>
        <v>1815</v>
      </c>
      <c r="H2477" s="1" t="str">
        <f ca="1">IFERROR(__xludf.DUMMYFUNCTION("""COMPUTED_VALUE"""),"MTLSZ001815A16")</f>
        <v>MTLSZ001815A16</v>
      </c>
      <c r="I2477" s="2">
        <f ca="1">IFERROR(__xludf.DUMMYFUNCTION("""COMPUTED_VALUE"""),42732)</f>
        <v>42732</v>
      </c>
      <c r="J2477" s="2">
        <f ca="1">IFERROR(__xludf.DUMMYFUNCTION("""COMPUTED_VALUE"""),43096)</f>
        <v>43096</v>
      </c>
    </row>
    <row r="2478" spans="1:10" x14ac:dyDescent="0.25">
      <c r="A2478" s="1" t="str">
        <f ca="1">IFERROR(__xludf.DUMMYFUNCTION("""COMPUTED_VALUE"""),"BEAC")</f>
        <v>BEAC</v>
      </c>
      <c r="B2478" s="1" t="str">
        <f ca="1">IFERROR(__xludf.DUMMYFUNCTION("""COMPUTED_VALUE"""),"Dakó Andrea")</f>
        <v>Dakó Andrea</v>
      </c>
      <c r="C2478" s="1"/>
      <c r="D2478" s="1" t="str">
        <f ca="1">IFERROR(__xludf.DUMMYFUNCTION("""COMPUTED_VALUE"""),"Nő")</f>
        <v>Nő</v>
      </c>
      <c r="E2478" s="1"/>
      <c r="F2478" s="1">
        <f ca="1">IFERROR(__xludf.DUMMYFUNCTION("""COMPUTED_VALUE"""),1972)</f>
        <v>1972</v>
      </c>
      <c r="G2478" s="1">
        <f ca="1">IFERROR(__xludf.DUMMYFUNCTION("""COMPUTED_VALUE"""),170)</f>
        <v>170</v>
      </c>
      <c r="H2478" s="1" t="str">
        <f ca="1">IFERROR(__xludf.DUMMYFUNCTION("""COMPUTED_VALUE"""),"MTLSZ000170A16")</f>
        <v>MTLSZ000170A16</v>
      </c>
      <c r="I2478" s="2">
        <f ca="1">IFERROR(__xludf.DUMMYFUNCTION("""COMPUTED_VALUE"""),42732)</f>
        <v>42732</v>
      </c>
      <c r="J2478" s="2">
        <f ca="1">IFERROR(__xludf.DUMMYFUNCTION("""COMPUTED_VALUE"""),43096)</f>
        <v>43096</v>
      </c>
    </row>
    <row r="2479" spans="1:10" x14ac:dyDescent="0.25">
      <c r="A2479" s="1" t="str">
        <f ca="1">IFERROR(__xludf.DUMMYFUNCTION("""COMPUTED_VALUE"""),"BEAC")</f>
        <v>BEAC</v>
      </c>
      <c r="B2479" s="1" t="str">
        <f ca="1">IFERROR(__xludf.DUMMYFUNCTION("""COMPUTED_VALUE"""),"Dorofejev Szergej")</f>
        <v>Dorofejev Szergej</v>
      </c>
      <c r="C2479" s="1"/>
      <c r="D2479" s="1" t="str">
        <f ca="1">IFERROR(__xludf.DUMMYFUNCTION("""COMPUTED_VALUE"""),"Férfi")</f>
        <v>Férfi</v>
      </c>
      <c r="E2479" s="1"/>
      <c r="F2479" s="1">
        <f ca="1">IFERROR(__xludf.DUMMYFUNCTION("""COMPUTED_VALUE"""),1957)</f>
        <v>1957</v>
      </c>
      <c r="G2479" s="1">
        <f ca="1">IFERROR(__xludf.DUMMYFUNCTION("""COMPUTED_VALUE"""),197)</f>
        <v>197</v>
      </c>
      <c r="H2479" s="1" t="str">
        <f ca="1">IFERROR(__xludf.DUMMYFUNCTION("""COMPUTED_VALUE"""),"MTLSZ000197A16")</f>
        <v>MTLSZ000197A16</v>
      </c>
      <c r="I2479" s="2">
        <f ca="1">IFERROR(__xludf.DUMMYFUNCTION("""COMPUTED_VALUE"""),42732)</f>
        <v>42732</v>
      </c>
      <c r="J2479" s="2">
        <f ca="1">IFERROR(__xludf.DUMMYFUNCTION("""COMPUTED_VALUE"""),43096)</f>
        <v>43096</v>
      </c>
    </row>
    <row r="2480" spans="1:10" x14ac:dyDescent="0.25">
      <c r="A2480" s="1" t="str">
        <f ca="1">IFERROR(__xludf.DUMMYFUNCTION("""COMPUTED_VALUE"""),"BEAC")</f>
        <v>BEAC</v>
      </c>
      <c r="B2480" s="1" t="str">
        <f ca="1">IFERROR(__xludf.DUMMYFUNCTION("""COMPUTED_VALUE"""),"Dósa Gergely")</f>
        <v>Dósa Gergely</v>
      </c>
      <c r="C2480" s="1"/>
      <c r="D2480" s="1" t="str">
        <f ca="1">IFERROR(__xludf.DUMMYFUNCTION("""COMPUTED_VALUE"""),"Férfi")</f>
        <v>Férfi</v>
      </c>
      <c r="E2480" s="1"/>
      <c r="F2480" s="1">
        <f ca="1">IFERROR(__xludf.DUMMYFUNCTION("""COMPUTED_VALUE"""),1976)</f>
        <v>1976</v>
      </c>
      <c r="G2480" s="1">
        <f ca="1">IFERROR(__xludf.DUMMYFUNCTION("""COMPUTED_VALUE"""),1203)</f>
        <v>1203</v>
      </c>
      <c r="H2480" s="1" t="str">
        <f ca="1">IFERROR(__xludf.DUMMYFUNCTION("""COMPUTED_VALUE"""),"MTLSZ001203A16")</f>
        <v>MTLSZ001203A16</v>
      </c>
      <c r="I2480" s="2">
        <f ca="1">IFERROR(__xludf.DUMMYFUNCTION("""COMPUTED_VALUE"""),42732)</f>
        <v>42732</v>
      </c>
      <c r="J2480" s="2">
        <f ca="1">IFERROR(__xludf.DUMMYFUNCTION("""COMPUTED_VALUE"""),43096)</f>
        <v>43096</v>
      </c>
    </row>
    <row r="2481" spans="1:10" x14ac:dyDescent="0.25">
      <c r="A2481" s="1" t="str">
        <f ca="1">IFERROR(__xludf.DUMMYFUNCTION("""COMPUTED_VALUE"""),"BEAC")</f>
        <v>BEAC</v>
      </c>
      <c r="B2481" s="1" t="str">
        <f ca="1">IFERROR(__xludf.DUMMYFUNCTION("""COMPUTED_VALUE"""),"Durján Tibor")</f>
        <v>Durján Tibor</v>
      </c>
      <c r="C2481" s="1"/>
      <c r="D2481" s="1" t="str">
        <f ca="1">IFERROR(__xludf.DUMMYFUNCTION("""COMPUTED_VALUE"""),"Férfi")</f>
        <v>Férfi</v>
      </c>
      <c r="E2481" s="1"/>
      <c r="F2481" s="1">
        <f ca="1">IFERROR(__xludf.DUMMYFUNCTION("""COMPUTED_VALUE"""),1963)</f>
        <v>1963</v>
      </c>
      <c r="G2481" s="1">
        <f ca="1">IFERROR(__xludf.DUMMYFUNCTION("""COMPUTED_VALUE"""),203)</f>
        <v>203</v>
      </c>
      <c r="H2481" s="1" t="str">
        <f ca="1">IFERROR(__xludf.DUMMYFUNCTION("""COMPUTED_VALUE"""),"MTLSZ000203A16")</f>
        <v>MTLSZ000203A16</v>
      </c>
      <c r="I2481" s="2">
        <f ca="1">IFERROR(__xludf.DUMMYFUNCTION("""COMPUTED_VALUE"""),42732)</f>
        <v>42732</v>
      </c>
      <c r="J2481" s="2">
        <f ca="1">IFERROR(__xludf.DUMMYFUNCTION("""COMPUTED_VALUE"""),43096)</f>
        <v>43096</v>
      </c>
    </row>
    <row r="2482" spans="1:10" x14ac:dyDescent="0.25">
      <c r="A2482" s="1" t="str">
        <f ca="1">IFERROR(__xludf.DUMMYFUNCTION("""COMPUTED_VALUE"""),"BEAC")</f>
        <v>BEAC</v>
      </c>
      <c r="B2482" s="1" t="str">
        <f ca="1">IFERROR(__xludf.DUMMYFUNCTION("""COMPUTED_VALUE"""),"Farkas Csaba")</f>
        <v>Farkas Csaba</v>
      </c>
      <c r="C2482" s="1"/>
      <c r="D2482" s="1" t="str">
        <f ca="1">IFERROR(__xludf.DUMMYFUNCTION("""COMPUTED_VALUE"""),"Férfi")</f>
        <v>Férfi</v>
      </c>
      <c r="E2482" s="1"/>
      <c r="F2482" s="1">
        <f ca="1">IFERROR(__xludf.DUMMYFUNCTION("""COMPUTED_VALUE"""),1980)</f>
        <v>1980</v>
      </c>
      <c r="G2482" s="1">
        <f ca="1">IFERROR(__xludf.DUMMYFUNCTION("""COMPUTED_VALUE"""),227)</f>
        <v>227</v>
      </c>
      <c r="H2482" s="1" t="str">
        <f ca="1">IFERROR(__xludf.DUMMYFUNCTION("""COMPUTED_VALUE"""),"MTLSZ000227A16")</f>
        <v>MTLSZ000227A16</v>
      </c>
      <c r="I2482" s="2">
        <f ca="1">IFERROR(__xludf.DUMMYFUNCTION("""COMPUTED_VALUE"""),42732)</f>
        <v>42732</v>
      </c>
      <c r="J2482" s="2">
        <f ca="1">IFERROR(__xludf.DUMMYFUNCTION("""COMPUTED_VALUE"""),43096)</f>
        <v>43096</v>
      </c>
    </row>
    <row r="2483" spans="1:10" x14ac:dyDescent="0.25">
      <c r="A2483" s="1" t="str">
        <f ca="1">IFERROR(__xludf.DUMMYFUNCTION("""COMPUTED_VALUE"""),"BEAC")</f>
        <v>BEAC</v>
      </c>
      <c r="B2483" s="1" t="str">
        <f ca="1">IFERROR(__xludf.DUMMYFUNCTION("""COMPUTED_VALUE"""),"Fegyó Tamás")</f>
        <v>Fegyó Tamás</v>
      </c>
      <c r="C2483" s="1"/>
      <c r="D2483" s="1" t="str">
        <f ca="1">IFERROR(__xludf.DUMMYFUNCTION("""COMPUTED_VALUE"""),"Férfi")</f>
        <v>Férfi</v>
      </c>
      <c r="E2483" s="1"/>
      <c r="F2483" s="1">
        <f ca="1">IFERROR(__xludf.DUMMYFUNCTION("""COMPUTED_VALUE"""),1983)</f>
        <v>1983</v>
      </c>
      <c r="G2483" s="1">
        <f ca="1">IFERROR(__xludf.DUMMYFUNCTION("""COMPUTED_VALUE"""),238)</f>
        <v>238</v>
      </c>
      <c r="H2483" s="1" t="str">
        <f ca="1">IFERROR(__xludf.DUMMYFUNCTION("""COMPUTED_VALUE"""),"MTLSZ000238A16")</f>
        <v>MTLSZ000238A16</v>
      </c>
      <c r="I2483" s="2">
        <f ca="1">IFERROR(__xludf.DUMMYFUNCTION("""COMPUTED_VALUE"""),42732)</f>
        <v>42732</v>
      </c>
      <c r="J2483" s="2">
        <f ca="1">IFERROR(__xludf.DUMMYFUNCTION("""COMPUTED_VALUE"""),43096)</f>
        <v>43096</v>
      </c>
    </row>
    <row r="2484" spans="1:10" x14ac:dyDescent="0.25">
      <c r="A2484" s="1" t="str">
        <f ca="1">IFERROR(__xludf.DUMMYFUNCTION("""COMPUTED_VALUE"""),"BEAC")</f>
        <v>BEAC</v>
      </c>
      <c r="B2484" s="1" t="str">
        <f ca="1">IFERROR(__xludf.DUMMYFUNCTION("""COMPUTED_VALUE"""),"Fehér Csaba")</f>
        <v>Fehér Csaba</v>
      </c>
      <c r="C2484" s="1"/>
      <c r="D2484" s="1" t="str">
        <f ca="1">IFERROR(__xludf.DUMMYFUNCTION("""COMPUTED_VALUE"""),"Férfi")</f>
        <v>Férfi</v>
      </c>
      <c r="E2484" s="1"/>
      <c r="F2484" s="1">
        <f ca="1">IFERROR(__xludf.DUMMYFUNCTION("""COMPUTED_VALUE"""),1979)</f>
        <v>1979</v>
      </c>
      <c r="G2484" s="1">
        <f ca="1">IFERROR(__xludf.DUMMYFUNCTION("""COMPUTED_VALUE"""),1511)</f>
        <v>1511</v>
      </c>
      <c r="H2484" s="1" t="str">
        <f ca="1">IFERROR(__xludf.DUMMYFUNCTION("""COMPUTED_VALUE"""),"MTLSZ001511A16")</f>
        <v>MTLSZ001511A16</v>
      </c>
      <c r="I2484" s="2">
        <f ca="1">IFERROR(__xludf.DUMMYFUNCTION("""COMPUTED_VALUE"""),42732)</f>
        <v>42732</v>
      </c>
      <c r="J2484" s="2">
        <f ca="1">IFERROR(__xludf.DUMMYFUNCTION("""COMPUTED_VALUE"""),43096)</f>
        <v>43096</v>
      </c>
    </row>
    <row r="2485" spans="1:10" x14ac:dyDescent="0.25">
      <c r="A2485" s="1" t="str">
        <f ca="1">IFERROR(__xludf.DUMMYFUNCTION("""COMPUTED_VALUE"""),"BEAC")</f>
        <v>BEAC</v>
      </c>
      <c r="B2485" s="1" t="str">
        <f ca="1">IFERROR(__xludf.DUMMYFUNCTION("""COMPUTED_VALUE"""),"Gaál Gabriella")</f>
        <v>Gaál Gabriella</v>
      </c>
      <c r="C2485" s="1"/>
      <c r="D2485" s="1" t="str">
        <f ca="1">IFERROR(__xludf.DUMMYFUNCTION("""COMPUTED_VALUE"""),"Nő")</f>
        <v>Nő</v>
      </c>
      <c r="E2485" s="1"/>
      <c r="F2485" s="1">
        <f ca="1">IFERROR(__xludf.DUMMYFUNCTION("""COMPUTED_VALUE"""),1981)</f>
        <v>1981</v>
      </c>
      <c r="G2485" s="1">
        <f ca="1">IFERROR(__xludf.DUMMYFUNCTION("""COMPUTED_VALUE"""),271)</f>
        <v>271</v>
      </c>
      <c r="H2485" s="1" t="str">
        <f ca="1">IFERROR(__xludf.DUMMYFUNCTION("""COMPUTED_VALUE"""),"MTLSZ000271A16")</f>
        <v>MTLSZ000271A16</v>
      </c>
      <c r="I2485" s="2">
        <f ca="1">IFERROR(__xludf.DUMMYFUNCTION("""COMPUTED_VALUE"""),42732)</f>
        <v>42732</v>
      </c>
      <c r="J2485" s="2">
        <f ca="1">IFERROR(__xludf.DUMMYFUNCTION("""COMPUTED_VALUE"""),43096)</f>
        <v>43096</v>
      </c>
    </row>
    <row r="2486" spans="1:10" x14ac:dyDescent="0.25">
      <c r="A2486" s="1" t="str">
        <f ca="1">IFERROR(__xludf.DUMMYFUNCTION("""COMPUTED_VALUE"""),"BEAC")</f>
        <v>BEAC</v>
      </c>
      <c r="B2486" s="1" t="str">
        <f ca="1">IFERROR(__xludf.DUMMYFUNCTION("""COMPUTED_VALUE"""),"Gindert Erzsébet")</f>
        <v>Gindert Erzsébet</v>
      </c>
      <c r="C2486" s="1"/>
      <c r="D2486" s="1" t="str">
        <f ca="1">IFERROR(__xludf.DUMMYFUNCTION("""COMPUTED_VALUE"""),"Nő")</f>
        <v>Nő</v>
      </c>
      <c r="E2486" s="1"/>
      <c r="F2486" s="1">
        <f ca="1">IFERROR(__xludf.DUMMYFUNCTION("""COMPUTED_VALUE"""),1959)</f>
        <v>1959</v>
      </c>
      <c r="G2486" s="1">
        <f ca="1">IFERROR(__xludf.DUMMYFUNCTION("""COMPUTED_VALUE"""),297)</f>
        <v>297</v>
      </c>
      <c r="H2486" s="1" t="str">
        <f ca="1">IFERROR(__xludf.DUMMYFUNCTION("""COMPUTED_VALUE"""),"MTLSZ000297A16")</f>
        <v>MTLSZ000297A16</v>
      </c>
      <c r="I2486" s="2">
        <f ca="1">IFERROR(__xludf.DUMMYFUNCTION("""COMPUTED_VALUE"""),42732)</f>
        <v>42732</v>
      </c>
      <c r="J2486" s="2">
        <f ca="1">IFERROR(__xludf.DUMMYFUNCTION("""COMPUTED_VALUE"""),43096)</f>
        <v>43096</v>
      </c>
    </row>
    <row r="2487" spans="1:10" x14ac:dyDescent="0.25">
      <c r="A2487" s="1" t="str">
        <f ca="1">IFERROR(__xludf.DUMMYFUNCTION("""COMPUTED_VALUE"""),"BEAC")</f>
        <v>BEAC</v>
      </c>
      <c r="B2487" s="1" t="str">
        <f ca="1">IFERROR(__xludf.DUMMYFUNCTION("""COMPUTED_VALUE"""),"Horváth Hajnalka")</f>
        <v>Horváth Hajnalka</v>
      </c>
      <c r="C2487" s="1"/>
      <c r="D2487" s="1" t="str">
        <f ca="1">IFERROR(__xludf.DUMMYFUNCTION("""COMPUTED_VALUE"""),"Nő")</f>
        <v>Nő</v>
      </c>
      <c r="E2487" s="1"/>
      <c r="F2487" s="1">
        <f ca="1">IFERROR(__xludf.DUMMYFUNCTION("""COMPUTED_VALUE"""),1973)</f>
        <v>1973</v>
      </c>
      <c r="G2487" s="1">
        <f ca="1">IFERROR(__xludf.DUMMYFUNCTION("""COMPUTED_VALUE"""),372)</f>
        <v>372</v>
      </c>
      <c r="H2487" s="1" t="str">
        <f ca="1">IFERROR(__xludf.DUMMYFUNCTION("""COMPUTED_VALUE"""),"MTLSZ000372A16")</f>
        <v>MTLSZ000372A16</v>
      </c>
      <c r="I2487" s="2">
        <f ca="1">IFERROR(__xludf.DUMMYFUNCTION("""COMPUTED_VALUE"""),42732)</f>
        <v>42732</v>
      </c>
      <c r="J2487" s="2">
        <f ca="1">IFERROR(__xludf.DUMMYFUNCTION("""COMPUTED_VALUE"""),43096)</f>
        <v>43096</v>
      </c>
    </row>
    <row r="2488" spans="1:10" x14ac:dyDescent="0.25">
      <c r="A2488" s="1" t="str">
        <f ca="1">IFERROR(__xludf.DUMMYFUNCTION("""COMPUTED_VALUE"""),"BEAC")</f>
        <v>BEAC</v>
      </c>
      <c r="B2488" s="1" t="str">
        <f ca="1">IFERROR(__xludf.DUMMYFUNCTION("""COMPUTED_VALUE"""),"Huszlicska József")</f>
        <v>Huszlicska József</v>
      </c>
      <c r="C2488" s="1"/>
      <c r="D2488" s="1" t="str">
        <f ca="1">IFERROR(__xludf.DUMMYFUNCTION("""COMPUTED_VALUE"""),"Férfi")</f>
        <v>Férfi</v>
      </c>
      <c r="E2488" s="1"/>
      <c r="F2488" s="1">
        <f ca="1">IFERROR(__xludf.DUMMYFUNCTION("""COMPUTED_VALUE"""),1952)</f>
        <v>1952</v>
      </c>
      <c r="G2488" s="1">
        <f ca="1">IFERROR(__xludf.DUMMYFUNCTION("""COMPUTED_VALUE"""),390)</f>
        <v>390</v>
      </c>
      <c r="H2488" s="1" t="str">
        <f ca="1">IFERROR(__xludf.DUMMYFUNCTION("""COMPUTED_VALUE"""),"MTLSZ000390A16")</f>
        <v>MTLSZ000390A16</v>
      </c>
      <c r="I2488" s="2">
        <f ca="1">IFERROR(__xludf.DUMMYFUNCTION("""COMPUTED_VALUE"""),42732)</f>
        <v>42732</v>
      </c>
      <c r="J2488" s="2">
        <f ca="1">IFERROR(__xludf.DUMMYFUNCTION("""COMPUTED_VALUE"""),43096)</f>
        <v>43096</v>
      </c>
    </row>
    <row r="2489" spans="1:10" x14ac:dyDescent="0.25">
      <c r="A2489" s="1" t="str">
        <f ca="1">IFERROR(__xludf.DUMMYFUNCTION("""COMPUTED_VALUE"""),"BEAC")</f>
        <v>BEAC</v>
      </c>
      <c r="B2489" s="1" t="str">
        <f ca="1">IFERROR(__xludf.DUMMYFUNCTION("""COMPUTED_VALUE"""),"Kiss Anna")</f>
        <v>Kiss Anna</v>
      </c>
      <c r="C2489" s="1"/>
      <c r="D2489" s="1" t="str">
        <f ca="1">IFERROR(__xludf.DUMMYFUNCTION("""COMPUTED_VALUE"""),"Nő")</f>
        <v>Nő</v>
      </c>
      <c r="E2489" s="1"/>
      <c r="F2489" s="1">
        <f ca="1">IFERROR(__xludf.DUMMYFUNCTION("""COMPUTED_VALUE"""),1987)</f>
        <v>1987</v>
      </c>
      <c r="G2489" s="1">
        <f ca="1">IFERROR(__xludf.DUMMYFUNCTION("""COMPUTED_VALUE"""),2001)</f>
        <v>2001</v>
      </c>
      <c r="H2489" s="1" t="str">
        <f ca="1">IFERROR(__xludf.DUMMYFUNCTION("""COMPUTED_VALUE"""),"MTLSZ002001A16")</f>
        <v>MTLSZ002001A16</v>
      </c>
      <c r="I2489" s="2">
        <f ca="1">IFERROR(__xludf.DUMMYFUNCTION("""COMPUTED_VALUE"""),42732)</f>
        <v>42732</v>
      </c>
      <c r="J2489" s="2">
        <f ca="1">IFERROR(__xludf.DUMMYFUNCTION("""COMPUTED_VALUE"""),43096)</f>
        <v>43096</v>
      </c>
    </row>
    <row r="2490" spans="1:10" x14ac:dyDescent="0.25">
      <c r="A2490" s="1" t="str">
        <f ca="1">IFERROR(__xludf.DUMMYFUNCTION("""COMPUTED_VALUE"""),"BEAC")</f>
        <v>BEAC</v>
      </c>
      <c r="B2490" s="1" t="str">
        <f ca="1">IFERROR(__xludf.DUMMYFUNCTION("""COMPUTED_VALUE"""),"Kiss Csaba")</f>
        <v>Kiss Csaba</v>
      </c>
      <c r="C2490" s="1"/>
      <c r="D2490" s="1" t="str">
        <f ca="1">IFERROR(__xludf.DUMMYFUNCTION("""COMPUTED_VALUE"""),"Férfi")</f>
        <v>Férfi</v>
      </c>
      <c r="E2490" s="1"/>
      <c r="F2490" s="1">
        <f ca="1">IFERROR(__xludf.DUMMYFUNCTION("""COMPUTED_VALUE"""),1963)</f>
        <v>1963</v>
      </c>
      <c r="G2490" s="1">
        <f ca="1">IFERROR(__xludf.DUMMYFUNCTION("""COMPUTED_VALUE"""),485)</f>
        <v>485</v>
      </c>
      <c r="H2490" s="1" t="str">
        <f ca="1">IFERROR(__xludf.DUMMYFUNCTION("""COMPUTED_VALUE"""),"MTLSZ000485A16")</f>
        <v>MTLSZ000485A16</v>
      </c>
      <c r="I2490" s="2">
        <f ca="1">IFERROR(__xludf.DUMMYFUNCTION("""COMPUTED_VALUE"""),42732)</f>
        <v>42732</v>
      </c>
      <c r="J2490" s="2">
        <f ca="1">IFERROR(__xludf.DUMMYFUNCTION("""COMPUTED_VALUE"""),43096)</f>
        <v>43096</v>
      </c>
    </row>
    <row r="2491" spans="1:10" x14ac:dyDescent="0.25">
      <c r="A2491" s="1" t="str">
        <f ca="1">IFERROR(__xludf.DUMMYFUNCTION("""COMPUTED_VALUE"""),"BEAC")</f>
        <v>BEAC</v>
      </c>
      <c r="B2491" s="1" t="str">
        <f ca="1">IFERROR(__xludf.DUMMYFUNCTION("""COMPUTED_VALUE"""),"Kiss Máté")</f>
        <v>Kiss Máté</v>
      </c>
      <c r="C2491" s="1"/>
      <c r="D2491" s="1" t="str">
        <f ca="1">IFERROR(__xludf.DUMMYFUNCTION("""COMPUTED_VALUE"""),"Férfi")</f>
        <v>Férfi</v>
      </c>
      <c r="E2491" s="1"/>
      <c r="F2491" s="1">
        <f ca="1">IFERROR(__xludf.DUMMYFUNCTION("""COMPUTED_VALUE"""),1984)</f>
        <v>1984</v>
      </c>
      <c r="G2491" s="1">
        <f ca="1">IFERROR(__xludf.DUMMYFUNCTION("""COMPUTED_VALUE"""),487)</f>
        <v>487</v>
      </c>
      <c r="H2491" s="1" t="str">
        <f ca="1">IFERROR(__xludf.DUMMYFUNCTION("""COMPUTED_VALUE"""),"MTLSZ000487A16")</f>
        <v>MTLSZ000487A16</v>
      </c>
      <c r="I2491" s="2">
        <f ca="1">IFERROR(__xludf.DUMMYFUNCTION("""COMPUTED_VALUE"""),42732)</f>
        <v>42732</v>
      </c>
      <c r="J2491" s="2">
        <f ca="1">IFERROR(__xludf.DUMMYFUNCTION("""COMPUTED_VALUE"""),43096)</f>
        <v>43096</v>
      </c>
    </row>
    <row r="2492" spans="1:10" x14ac:dyDescent="0.25">
      <c r="A2492" s="1" t="str">
        <f ca="1">IFERROR(__xludf.DUMMYFUNCTION("""COMPUTED_VALUE"""),"BEAC")</f>
        <v>BEAC</v>
      </c>
      <c r="B2492" s="1" t="str">
        <f ca="1">IFERROR(__xludf.DUMMYFUNCTION("""COMPUTED_VALUE"""),"Kiss Pál Bendegúz")</f>
        <v>Kiss Pál Bendegúz</v>
      </c>
      <c r="C2492" s="1"/>
      <c r="D2492" s="1" t="str">
        <f ca="1">IFERROR(__xludf.DUMMYFUNCTION("""COMPUTED_VALUE"""),"Férfi")</f>
        <v>Férfi</v>
      </c>
      <c r="E2492" s="1"/>
      <c r="F2492" s="1">
        <f ca="1">IFERROR(__xludf.DUMMYFUNCTION("""COMPUTED_VALUE"""),1999)</f>
        <v>1999</v>
      </c>
      <c r="G2492" s="1">
        <f ca="1">IFERROR(__xludf.DUMMYFUNCTION("""COMPUTED_VALUE"""),2540)</f>
        <v>2540</v>
      </c>
      <c r="H2492" s="1" t="str">
        <f ca="1">IFERROR(__xludf.DUMMYFUNCTION("""COMPUTED_VALUE"""),"MTLSZ002540A16")</f>
        <v>MTLSZ002540A16</v>
      </c>
      <c r="I2492" s="2">
        <f ca="1">IFERROR(__xludf.DUMMYFUNCTION("""COMPUTED_VALUE"""),42732)</f>
        <v>42732</v>
      </c>
      <c r="J2492" s="2">
        <f ca="1">IFERROR(__xludf.DUMMYFUNCTION("""COMPUTED_VALUE"""),43096)</f>
        <v>43096</v>
      </c>
    </row>
    <row r="2493" spans="1:10" x14ac:dyDescent="0.25">
      <c r="A2493" s="1" t="str">
        <f ca="1">IFERROR(__xludf.DUMMYFUNCTION("""COMPUTED_VALUE"""),"BEAC")</f>
        <v>BEAC</v>
      </c>
      <c r="B2493" s="1" t="str">
        <f ca="1">IFERROR(__xludf.DUMMYFUNCTION("""COMPUTED_VALUE"""),"Kisvári Edina")</f>
        <v>Kisvári Edina</v>
      </c>
      <c r="C2493" s="1"/>
      <c r="D2493" s="1" t="str">
        <f ca="1">IFERROR(__xludf.DUMMYFUNCTION("""COMPUTED_VALUE"""),"Nő")</f>
        <v>Nő</v>
      </c>
      <c r="E2493" s="1"/>
      <c r="F2493" s="1">
        <f ca="1">IFERROR(__xludf.DUMMYFUNCTION("""COMPUTED_VALUE"""),1982)</f>
        <v>1982</v>
      </c>
      <c r="G2493" s="1">
        <f ca="1">IFERROR(__xludf.DUMMYFUNCTION("""COMPUTED_VALUE"""),499)</f>
        <v>499</v>
      </c>
      <c r="H2493" s="1" t="str">
        <f ca="1">IFERROR(__xludf.DUMMYFUNCTION("""COMPUTED_VALUE"""),"MTLSZ000499A16")</f>
        <v>MTLSZ000499A16</v>
      </c>
      <c r="I2493" s="2">
        <f ca="1">IFERROR(__xludf.DUMMYFUNCTION("""COMPUTED_VALUE"""),42732)</f>
        <v>42732</v>
      </c>
      <c r="J2493" s="2">
        <f ca="1">IFERROR(__xludf.DUMMYFUNCTION("""COMPUTED_VALUE"""),43096)</f>
        <v>43096</v>
      </c>
    </row>
    <row r="2494" spans="1:10" x14ac:dyDescent="0.25">
      <c r="A2494" s="1" t="str">
        <f ca="1">IFERROR(__xludf.DUMMYFUNCTION("""COMPUTED_VALUE"""),"BEAC")</f>
        <v>BEAC</v>
      </c>
      <c r="B2494" s="1" t="str">
        <f ca="1">IFERROR(__xludf.DUMMYFUNCTION("""COMPUTED_VALUE"""),"Kovács Attila")</f>
        <v>Kovács Attila</v>
      </c>
      <c r="C2494" s="1"/>
      <c r="D2494" s="1" t="str">
        <f ca="1">IFERROR(__xludf.DUMMYFUNCTION("""COMPUTED_VALUE"""),"Férfi")</f>
        <v>Férfi</v>
      </c>
      <c r="E2494" s="1"/>
      <c r="F2494" s="1">
        <f ca="1">IFERROR(__xludf.DUMMYFUNCTION("""COMPUTED_VALUE"""),1975)</f>
        <v>1975</v>
      </c>
      <c r="G2494" s="1">
        <f ca="1">IFERROR(__xludf.DUMMYFUNCTION("""COMPUTED_VALUE"""),527)</f>
        <v>527</v>
      </c>
      <c r="H2494" s="1" t="str">
        <f ca="1">IFERROR(__xludf.DUMMYFUNCTION("""COMPUTED_VALUE"""),"MTLSZ000527A16")</f>
        <v>MTLSZ000527A16</v>
      </c>
      <c r="I2494" s="2">
        <f ca="1">IFERROR(__xludf.DUMMYFUNCTION("""COMPUTED_VALUE"""),42732)</f>
        <v>42732</v>
      </c>
      <c r="J2494" s="2">
        <f ca="1">IFERROR(__xludf.DUMMYFUNCTION("""COMPUTED_VALUE"""),43096)</f>
        <v>43096</v>
      </c>
    </row>
    <row r="2495" spans="1:10" x14ac:dyDescent="0.25">
      <c r="A2495" s="1" t="str">
        <f ca="1">IFERROR(__xludf.DUMMYFUNCTION("""COMPUTED_VALUE"""),"BEAC")</f>
        <v>BEAC</v>
      </c>
      <c r="B2495" s="1" t="str">
        <f ca="1">IFERROR(__xludf.DUMMYFUNCTION("""COMPUTED_VALUE"""),"Kovács Zsuzsa")</f>
        <v>Kovács Zsuzsa</v>
      </c>
      <c r="C2495" s="1"/>
      <c r="D2495" s="1" t="str">
        <f ca="1">IFERROR(__xludf.DUMMYFUNCTION("""COMPUTED_VALUE"""),"Nő")</f>
        <v>Nő</v>
      </c>
      <c r="E2495" s="1"/>
      <c r="F2495" s="1">
        <f ca="1">IFERROR(__xludf.DUMMYFUNCTION("""COMPUTED_VALUE"""),1965)</f>
        <v>1965</v>
      </c>
      <c r="G2495" s="1">
        <f ca="1">IFERROR(__xludf.DUMMYFUNCTION("""COMPUTED_VALUE"""),539)</f>
        <v>539</v>
      </c>
      <c r="H2495" s="1" t="str">
        <f ca="1">IFERROR(__xludf.DUMMYFUNCTION("""COMPUTED_VALUE"""),"MTLSZ000539A16")</f>
        <v>MTLSZ000539A16</v>
      </c>
      <c r="I2495" s="2">
        <f ca="1">IFERROR(__xludf.DUMMYFUNCTION("""COMPUTED_VALUE"""),42732)</f>
        <v>42732</v>
      </c>
      <c r="J2495" s="2">
        <f ca="1">IFERROR(__xludf.DUMMYFUNCTION("""COMPUTED_VALUE"""),43096)</f>
        <v>43096</v>
      </c>
    </row>
    <row r="2496" spans="1:10" x14ac:dyDescent="0.25">
      <c r="A2496" s="1" t="str">
        <f ca="1">IFERROR(__xludf.DUMMYFUNCTION("""COMPUTED_VALUE"""),"BEAC")</f>
        <v>BEAC</v>
      </c>
      <c r="B2496" s="1" t="str">
        <f ca="1">IFERROR(__xludf.DUMMYFUNCTION("""COMPUTED_VALUE"""),"Kristóf Imola")</f>
        <v>Kristóf Imola</v>
      </c>
      <c r="C2496" s="1"/>
      <c r="D2496" s="1" t="str">
        <f ca="1">IFERROR(__xludf.DUMMYFUNCTION("""COMPUTED_VALUE"""),"Nő")</f>
        <v>Nő</v>
      </c>
      <c r="E2496" s="1"/>
      <c r="F2496" s="1">
        <f ca="1">IFERROR(__xludf.DUMMYFUNCTION("""COMPUTED_VALUE"""),1977)</f>
        <v>1977</v>
      </c>
      <c r="G2496" s="1">
        <f ca="1">IFERROR(__xludf.DUMMYFUNCTION("""COMPUTED_VALUE"""),548)</f>
        <v>548</v>
      </c>
      <c r="H2496" s="1" t="str">
        <f ca="1">IFERROR(__xludf.DUMMYFUNCTION("""COMPUTED_VALUE"""),"MTLSZ000548A16")</f>
        <v>MTLSZ000548A16</v>
      </c>
      <c r="I2496" s="2">
        <f ca="1">IFERROR(__xludf.DUMMYFUNCTION("""COMPUTED_VALUE"""),42732)</f>
        <v>42732</v>
      </c>
      <c r="J2496" s="2">
        <f ca="1">IFERROR(__xludf.DUMMYFUNCTION("""COMPUTED_VALUE"""),43096)</f>
        <v>43096</v>
      </c>
    </row>
    <row r="2497" spans="1:10" x14ac:dyDescent="0.25">
      <c r="A2497" s="1" t="str">
        <f ca="1">IFERROR(__xludf.DUMMYFUNCTION("""COMPUTED_VALUE"""),"BEAC")</f>
        <v>BEAC</v>
      </c>
      <c r="B2497" s="1" t="str">
        <f ca="1">IFERROR(__xludf.DUMMYFUNCTION("""COMPUTED_VALUE"""),"Kulcsár Zsolt")</f>
        <v>Kulcsár Zsolt</v>
      </c>
      <c r="C2497" s="1"/>
      <c r="D2497" s="1" t="str">
        <f ca="1">IFERROR(__xludf.DUMMYFUNCTION("""COMPUTED_VALUE"""),"Férfi")</f>
        <v>Férfi</v>
      </c>
      <c r="E2497" s="1"/>
      <c r="F2497" s="1">
        <f ca="1">IFERROR(__xludf.DUMMYFUNCTION("""COMPUTED_VALUE"""),1968)</f>
        <v>1968</v>
      </c>
      <c r="G2497" s="1">
        <f ca="1">IFERROR(__xludf.DUMMYFUNCTION("""COMPUTED_VALUE"""),553)</f>
        <v>553</v>
      </c>
      <c r="H2497" s="1" t="str">
        <f ca="1">IFERROR(__xludf.DUMMYFUNCTION("""COMPUTED_VALUE"""),"MTLSZ000553A16")</f>
        <v>MTLSZ000553A16</v>
      </c>
      <c r="I2497" s="2">
        <f ca="1">IFERROR(__xludf.DUMMYFUNCTION("""COMPUTED_VALUE"""),42732)</f>
        <v>42732</v>
      </c>
      <c r="J2497" s="2">
        <f ca="1">IFERROR(__xludf.DUMMYFUNCTION("""COMPUTED_VALUE"""),43096)</f>
        <v>43096</v>
      </c>
    </row>
    <row r="2498" spans="1:10" x14ac:dyDescent="0.25">
      <c r="A2498" s="1" t="str">
        <f ca="1">IFERROR(__xludf.DUMMYFUNCTION("""COMPUTED_VALUE"""),"BEAC")</f>
        <v>BEAC</v>
      </c>
      <c r="B2498" s="1" t="str">
        <f ca="1">IFERROR(__xludf.DUMMYFUNCTION("""COMPUTED_VALUE"""),"Lazarou Antonis")</f>
        <v>Lazarou Antonis</v>
      </c>
      <c r="C2498" s="1"/>
      <c r="D2498" s="1" t="str">
        <f ca="1">IFERROR(__xludf.DUMMYFUNCTION("""COMPUTED_VALUE"""),"Férfi")</f>
        <v>Férfi</v>
      </c>
      <c r="E2498" s="1"/>
      <c r="F2498" s="1">
        <f ca="1">IFERROR(__xludf.DUMMYFUNCTION("""COMPUTED_VALUE"""),1976)</f>
        <v>1976</v>
      </c>
      <c r="G2498" s="1">
        <f ca="1">IFERROR(__xludf.DUMMYFUNCTION("""COMPUTED_VALUE"""),579)</f>
        <v>579</v>
      </c>
      <c r="H2498" s="1" t="str">
        <f ca="1">IFERROR(__xludf.DUMMYFUNCTION("""COMPUTED_VALUE"""),"MTLSZ000579A16")</f>
        <v>MTLSZ000579A16</v>
      </c>
      <c r="I2498" s="2">
        <f ca="1">IFERROR(__xludf.DUMMYFUNCTION("""COMPUTED_VALUE"""),42732)</f>
        <v>42732</v>
      </c>
      <c r="J2498" s="2">
        <f ca="1">IFERROR(__xludf.DUMMYFUNCTION("""COMPUTED_VALUE"""),43096)</f>
        <v>43096</v>
      </c>
    </row>
    <row r="2499" spans="1:10" x14ac:dyDescent="0.25">
      <c r="A2499" s="1" t="str">
        <f ca="1">IFERROR(__xludf.DUMMYFUNCTION("""COMPUTED_VALUE"""),"BEAC")</f>
        <v>BEAC</v>
      </c>
      <c r="B2499" s="1" t="str">
        <f ca="1">IFERROR(__xludf.DUMMYFUNCTION("""COMPUTED_VALUE"""),"Majoros László")</f>
        <v>Majoros László</v>
      </c>
      <c r="C2499" s="1"/>
      <c r="D2499" s="1" t="str">
        <f ca="1">IFERROR(__xludf.DUMMYFUNCTION("""COMPUTED_VALUE"""),"Férfi")</f>
        <v>Férfi</v>
      </c>
      <c r="E2499" s="1"/>
      <c r="F2499" s="1">
        <f ca="1">IFERROR(__xludf.DUMMYFUNCTION("""COMPUTED_VALUE"""),1968)</f>
        <v>1968</v>
      </c>
      <c r="G2499" s="1">
        <f ca="1">IFERROR(__xludf.DUMMYFUNCTION("""COMPUTED_VALUE"""),610)</f>
        <v>610</v>
      </c>
      <c r="H2499" s="1" t="str">
        <f ca="1">IFERROR(__xludf.DUMMYFUNCTION("""COMPUTED_VALUE"""),"MTLSZ000610A16")</f>
        <v>MTLSZ000610A16</v>
      </c>
      <c r="I2499" s="2">
        <f ca="1">IFERROR(__xludf.DUMMYFUNCTION("""COMPUTED_VALUE"""),42732)</f>
        <v>42732</v>
      </c>
      <c r="J2499" s="2">
        <f ca="1">IFERROR(__xludf.DUMMYFUNCTION("""COMPUTED_VALUE"""),43096)</f>
        <v>43096</v>
      </c>
    </row>
    <row r="2500" spans="1:10" x14ac:dyDescent="0.25">
      <c r="A2500" s="1" t="str">
        <f ca="1">IFERROR(__xludf.DUMMYFUNCTION("""COMPUTED_VALUE"""),"BEAC")</f>
        <v>BEAC</v>
      </c>
      <c r="B2500" s="1" t="str">
        <f ca="1">IFERROR(__xludf.DUMMYFUNCTION("""COMPUTED_VALUE"""),"Markó Tamás")</f>
        <v>Markó Tamás</v>
      </c>
      <c r="C2500" s="1"/>
      <c r="D2500" s="1" t="str">
        <f ca="1">IFERROR(__xludf.DUMMYFUNCTION("""COMPUTED_VALUE"""),"Férfi")</f>
        <v>Férfi</v>
      </c>
      <c r="E2500" s="1"/>
      <c r="F2500" s="1">
        <f ca="1">IFERROR(__xludf.DUMMYFUNCTION("""COMPUTED_VALUE"""),1964)</f>
        <v>1964</v>
      </c>
      <c r="G2500" s="1">
        <f ca="1">IFERROR(__xludf.DUMMYFUNCTION("""COMPUTED_VALUE"""),1750)</f>
        <v>1750</v>
      </c>
      <c r="H2500" s="1" t="str">
        <f ca="1">IFERROR(__xludf.DUMMYFUNCTION("""COMPUTED_VALUE"""),"MTLSZ001750A16")</f>
        <v>MTLSZ001750A16</v>
      </c>
      <c r="I2500" s="2">
        <f ca="1">IFERROR(__xludf.DUMMYFUNCTION("""COMPUTED_VALUE"""),42732)</f>
        <v>42732</v>
      </c>
      <c r="J2500" s="2">
        <f ca="1">IFERROR(__xludf.DUMMYFUNCTION("""COMPUTED_VALUE"""),43096)</f>
        <v>43096</v>
      </c>
    </row>
    <row r="2501" spans="1:10" x14ac:dyDescent="0.25">
      <c r="A2501" s="1" t="str">
        <f ca="1">IFERROR(__xludf.DUMMYFUNCTION("""COMPUTED_VALUE"""),"BEAC")</f>
        <v>BEAC</v>
      </c>
      <c r="B2501" s="1" t="str">
        <f ca="1">IFERROR(__xludf.DUMMYFUNCTION("""COMPUTED_VALUE"""),"Menczel Bettina")</f>
        <v>Menczel Bettina</v>
      </c>
      <c r="C2501" s="1"/>
      <c r="D2501" s="1" t="str">
        <f ca="1">IFERROR(__xludf.DUMMYFUNCTION("""COMPUTED_VALUE"""),"Nő")</f>
        <v>Nő</v>
      </c>
      <c r="E2501" s="1"/>
      <c r="F2501" s="1">
        <f ca="1">IFERROR(__xludf.DUMMYFUNCTION("""COMPUTED_VALUE"""),1981)</f>
        <v>1981</v>
      </c>
      <c r="G2501" s="1">
        <f ca="1">IFERROR(__xludf.DUMMYFUNCTION("""COMPUTED_VALUE"""),633)</f>
        <v>633</v>
      </c>
      <c r="H2501" s="1" t="str">
        <f ca="1">IFERROR(__xludf.DUMMYFUNCTION("""COMPUTED_VALUE"""),"MTLSZ000633A16")</f>
        <v>MTLSZ000633A16</v>
      </c>
      <c r="I2501" s="2">
        <f ca="1">IFERROR(__xludf.DUMMYFUNCTION("""COMPUTED_VALUE"""),42732)</f>
        <v>42732</v>
      </c>
      <c r="J2501" s="2">
        <f ca="1">IFERROR(__xludf.DUMMYFUNCTION("""COMPUTED_VALUE"""),43096)</f>
        <v>43096</v>
      </c>
    </row>
    <row r="2502" spans="1:10" x14ac:dyDescent="0.25">
      <c r="A2502" s="1" t="str">
        <f ca="1">IFERROR(__xludf.DUMMYFUNCTION("""COMPUTED_VALUE"""),"BEAC")</f>
        <v>BEAC</v>
      </c>
      <c r="B2502" s="1" t="str">
        <f ca="1">IFERROR(__xludf.DUMMYFUNCTION("""COMPUTED_VALUE"""),"Menczel Norbert")</f>
        <v>Menczel Norbert</v>
      </c>
      <c r="C2502" s="1"/>
      <c r="D2502" s="1" t="str">
        <f ca="1">IFERROR(__xludf.DUMMYFUNCTION("""COMPUTED_VALUE"""),"Férfi")</f>
        <v>Férfi</v>
      </c>
      <c r="E2502" s="1"/>
      <c r="F2502" s="1">
        <f ca="1">IFERROR(__xludf.DUMMYFUNCTION("""COMPUTED_VALUE"""),1979)</f>
        <v>1979</v>
      </c>
      <c r="G2502" s="1">
        <f ca="1">IFERROR(__xludf.DUMMYFUNCTION("""COMPUTED_VALUE"""),634)</f>
        <v>634</v>
      </c>
      <c r="H2502" s="1" t="str">
        <f ca="1">IFERROR(__xludf.DUMMYFUNCTION("""COMPUTED_VALUE"""),"MTLSZ000634A16")</f>
        <v>MTLSZ000634A16</v>
      </c>
      <c r="I2502" s="2">
        <f ca="1">IFERROR(__xludf.DUMMYFUNCTION("""COMPUTED_VALUE"""),42732)</f>
        <v>42732</v>
      </c>
      <c r="J2502" s="2">
        <f ca="1">IFERROR(__xludf.DUMMYFUNCTION("""COMPUTED_VALUE"""),43096)</f>
        <v>43096</v>
      </c>
    </row>
    <row r="2503" spans="1:10" x14ac:dyDescent="0.25">
      <c r="A2503" s="1" t="str">
        <f ca="1">IFERROR(__xludf.DUMMYFUNCTION("""COMPUTED_VALUE"""),"BEAC")</f>
        <v>BEAC</v>
      </c>
      <c r="B2503" s="1" t="str">
        <f ca="1">IFERROR(__xludf.DUMMYFUNCTION("""COMPUTED_VALUE"""),"Nagy Anna")</f>
        <v>Nagy Anna</v>
      </c>
      <c r="C2503" s="1"/>
      <c r="D2503" s="1" t="str">
        <f ca="1">IFERROR(__xludf.DUMMYFUNCTION("""COMPUTED_VALUE"""),"Nő")</f>
        <v>Nő</v>
      </c>
      <c r="E2503" s="1"/>
      <c r="F2503" s="1">
        <f ca="1">IFERROR(__xludf.DUMMYFUNCTION("""COMPUTED_VALUE"""),1971)</f>
        <v>1971</v>
      </c>
      <c r="G2503" s="1">
        <f ca="1">IFERROR(__xludf.DUMMYFUNCTION("""COMPUTED_VALUE"""),677)</f>
        <v>677</v>
      </c>
      <c r="H2503" s="1" t="str">
        <f ca="1">IFERROR(__xludf.DUMMYFUNCTION("""COMPUTED_VALUE"""),"MTLSZ000677A16")</f>
        <v>MTLSZ000677A16</v>
      </c>
      <c r="I2503" s="2">
        <f ca="1">IFERROR(__xludf.DUMMYFUNCTION("""COMPUTED_VALUE"""),42732)</f>
        <v>42732</v>
      </c>
      <c r="J2503" s="2">
        <f ca="1">IFERROR(__xludf.DUMMYFUNCTION("""COMPUTED_VALUE"""),43096)</f>
        <v>43096</v>
      </c>
    </row>
    <row r="2504" spans="1:10" x14ac:dyDescent="0.25">
      <c r="A2504" s="1" t="str">
        <f ca="1">IFERROR(__xludf.DUMMYFUNCTION("""COMPUTED_VALUE"""),"BEAC")</f>
        <v>BEAC</v>
      </c>
      <c r="B2504" s="1" t="str">
        <f ca="1">IFERROR(__xludf.DUMMYFUNCTION("""COMPUTED_VALUE"""),"Nagy Attila")</f>
        <v>Nagy Attila</v>
      </c>
      <c r="C2504" s="1"/>
      <c r="D2504" s="1" t="str">
        <f ca="1">IFERROR(__xludf.DUMMYFUNCTION("""COMPUTED_VALUE"""),"Férfi")</f>
        <v>Férfi</v>
      </c>
      <c r="E2504" s="1"/>
      <c r="F2504" s="1">
        <f ca="1">IFERROR(__xludf.DUMMYFUNCTION("""COMPUTED_VALUE"""),1983)</f>
        <v>1983</v>
      </c>
      <c r="G2504" s="1">
        <f ca="1">IFERROR(__xludf.DUMMYFUNCTION("""COMPUTED_VALUE"""),1911)</f>
        <v>1911</v>
      </c>
      <c r="H2504" s="1" t="str">
        <f ca="1">IFERROR(__xludf.DUMMYFUNCTION("""COMPUTED_VALUE"""),"MTLSZ001911A16")</f>
        <v>MTLSZ001911A16</v>
      </c>
      <c r="I2504" s="2">
        <f ca="1">IFERROR(__xludf.DUMMYFUNCTION("""COMPUTED_VALUE"""),42732)</f>
        <v>42732</v>
      </c>
      <c r="J2504" s="2">
        <f ca="1">IFERROR(__xludf.DUMMYFUNCTION("""COMPUTED_VALUE"""),43096)</f>
        <v>43096</v>
      </c>
    </row>
    <row r="2505" spans="1:10" x14ac:dyDescent="0.25">
      <c r="A2505" s="1" t="str">
        <f ca="1">IFERROR(__xludf.DUMMYFUNCTION("""COMPUTED_VALUE"""),"BEAC")</f>
        <v>BEAC</v>
      </c>
      <c r="B2505" s="1" t="str">
        <f ca="1">IFERROR(__xludf.DUMMYFUNCTION("""COMPUTED_VALUE"""),"Nagy Péter dr.")</f>
        <v>Nagy Péter dr.</v>
      </c>
      <c r="C2505" s="1"/>
      <c r="D2505" s="1" t="str">
        <f ca="1">IFERROR(__xludf.DUMMYFUNCTION("""COMPUTED_VALUE"""),"Férfi")</f>
        <v>Férfi</v>
      </c>
      <c r="E2505" s="1"/>
      <c r="F2505" s="1">
        <f ca="1">IFERROR(__xludf.DUMMYFUNCTION("""COMPUTED_VALUE"""),1975)</f>
        <v>1975</v>
      </c>
      <c r="G2505" s="1">
        <f ca="1">IFERROR(__xludf.DUMMYFUNCTION("""COMPUTED_VALUE"""),693)</f>
        <v>693</v>
      </c>
      <c r="H2505" s="1" t="str">
        <f ca="1">IFERROR(__xludf.DUMMYFUNCTION("""COMPUTED_VALUE"""),"MTLSZ000693A16")</f>
        <v>MTLSZ000693A16</v>
      </c>
      <c r="I2505" s="2">
        <f ca="1">IFERROR(__xludf.DUMMYFUNCTION("""COMPUTED_VALUE"""),42732)</f>
        <v>42732</v>
      </c>
      <c r="J2505" s="2">
        <f ca="1">IFERROR(__xludf.DUMMYFUNCTION("""COMPUTED_VALUE"""),43096)</f>
        <v>43096</v>
      </c>
    </row>
    <row r="2506" spans="1:10" x14ac:dyDescent="0.25">
      <c r="A2506" s="1" t="str">
        <f ca="1">IFERROR(__xludf.DUMMYFUNCTION("""COMPUTED_VALUE"""),"BEAC")</f>
        <v>BEAC</v>
      </c>
      <c r="B2506" s="1" t="str">
        <f ca="1">IFERROR(__xludf.DUMMYFUNCTION("""COMPUTED_VALUE"""),"Nagy Zsombor")</f>
        <v>Nagy Zsombor</v>
      </c>
      <c r="C2506" s="1"/>
      <c r="D2506" s="1" t="str">
        <f ca="1">IFERROR(__xludf.DUMMYFUNCTION("""COMPUTED_VALUE"""),"Férfi")</f>
        <v>Férfi</v>
      </c>
      <c r="E2506" s="1"/>
      <c r="F2506" s="1">
        <f ca="1">IFERROR(__xludf.DUMMYFUNCTION("""COMPUTED_VALUE"""),1970)</f>
        <v>1970</v>
      </c>
      <c r="G2506" s="1">
        <f ca="1">IFERROR(__xludf.DUMMYFUNCTION("""COMPUTED_VALUE"""),699)</f>
        <v>699</v>
      </c>
      <c r="H2506" s="1" t="str">
        <f ca="1">IFERROR(__xludf.DUMMYFUNCTION("""COMPUTED_VALUE"""),"MTLSZ000699A16")</f>
        <v>MTLSZ000699A16</v>
      </c>
      <c r="I2506" s="2">
        <f ca="1">IFERROR(__xludf.DUMMYFUNCTION("""COMPUTED_VALUE"""),42732)</f>
        <v>42732</v>
      </c>
      <c r="J2506" s="2">
        <f ca="1">IFERROR(__xludf.DUMMYFUNCTION("""COMPUTED_VALUE"""),43096)</f>
        <v>43096</v>
      </c>
    </row>
    <row r="2507" spans="1:10" x14ac:dyDescent="0.25">
      <c r="A2507" s="1" t="str">
        <f ca="1">IFERROR(__xludf.DUMMYFUNCTION("""COMPUTED_VALUE"""),"BEAC")</f>
        <v>BEAC</v>
      </c>
      <c r="B2507" s="1" t="str">
        <f ca="1">IFERROR(__xludf.DUMMYFUNCTION("""COMPUTED_VALUE"""),"Sum Viktor")</f>
        <v>Sum Viktor</v>
      </c>
      <c r="C2507" s="1"/>
      <c r="D2507" s="1" t="str">
        <f ca="1">IFERROR(__xludf.DUMMYFUNCTION("""COMPUTED_VALUE"""),"Férfi")</f>
        <v>Férfi</v>
      </c>
      <c r="E2507" s="1"/>
      <c r="F2507" s="1">
        <f ca="1">IFERROR(__xludf.DUMMYFUNCTION("""COMPUTED_VALUE"""),1973)</f>
        <v>1973</v>
      </c>
      <c r="G2507" s="1">
        <f ca="1">IFERROR(__xludf.DUMMYFUNCTION("""COMPUTED_VALUE"""),1521)</f>
        <v>1521</v>
      </c>
      <c r="H2507" s="1" t="str">
        <f ca="1">IFERROR(__xludf.DUMMYFUNCTION("""COMPUTED_VALUE"""),"MTLSZ001521A16")</f>
        <v>MTLSZ001521A16</v>
      </c>
      <c r="I2507" s="2">
        <f ca="1">IFERROR(__xludf.DUMMYFUNCTION("""COMPUTED_VALUE"""),42732)</f>
        <v>42732</v>
      </c>
      <c r="J2507" s="2">
        <f ca="1">IFERROR(__xludf.DUMMYFUNCTION("""COMPUTED_VALUE"""),43096)</f>
        <v>43096</v>
      </c>
    </row>
    <row r="2508" spans="1:10" x14ac:dyDescent="0.25">
      <c r="A2508" s="1" t="str">
        <f ca="1">IFERROR(__xludf.DUMMYFUNCTION("""COMPUTED_VALUE"""),"BEAC")</f>
        <v>BEAC</v>
      </c>
      <c r="B2508" s="1" t="str">
        <f ca="1">IFERROR(__xludf.DUMMYFUNCTION("""COMPUTED_VALUE"""),"Szabados Zoltán")</f>
        <v>Szabados Zoltán</v>
      </c>
      <c r="C2508" s="1"/>
      <c r="D2508" s="1" t="str">
        <f ca="1">IFERROR(__xludf.DUMMYFUNCTION("""COMPUTED_VALUE"""),"Férfi")</f>
        <v>Férfi</v>
      </c>
      <c r="E2508" s="1"/>
      <c r="F2508" s="1">
        <f ca="1">IFERROR(__xludf.DUMMYFUNCTION("""COMPUTED_VALUE"""),1984)</f>
        <v>1984</v>
      </c>
      <c r="G2508" s="1">
        <f ca="1">IFERROR(__xludf.DUMMYFUNCTION("""COMPUTED_VALUE"""),879)</f>
        <v>879</v>
      </c>
      <c r="H2508" s="1" t="str">
        <f ca="1">IFERROR(__xludf.DUMMYFUNCTION("""COMPUTED_VALUE"""),"MTLSZ000879A16")</f>
        <v>MTLSZ000879A16</v>
      </c>
      <c r="I2508" s="2">
        <f ca="1">IFERROR(__xludf.DUMMYFUNCTION("""COMPUTED_VALUE"""),42732)</f>
        <v>42732</v>
      </c>
      <c r="J2508" s="2">
        <f ca="1">IFERROR(__xludf.DUMMYFUNCTION("""COMPUTED_VALUE"""),43096)</f>
        <v>43096</v>
      </c>
    </row>
    <row r="2509" spans="1:10" x14ac:dyDescent="0.25">
      <c r="A2509" s="1" t="str">
        <f ca="1">IFERROR(__xludf.DUMMYFUNCTION("""COMPUTED_VALUE"""),"BEAC")</f>
        <v>BEAC</v>
      </c>
      <c r="B2509" s="1" t="str">
        <f ca="1">IFERROR(__xludf.DUMMYFUNCTION("""COMPUTED_VALUE"""),"Szász Éva")</f>
        <v>Szász Éva</v>
      </c>
      <c r="C2509" s="1"/>
      <c r="D2509" s="1" t="str">
        <f ca="1">IFERROR(__xludf.DUMMYFUNCTION("""COMPUTED_VALUE"""),"Nő")</f>
        <v>Nő</v>
      </c>
      <c r="E2509" s="1"/>
      <c r="F2509" s="1">
        <f ca="1">IFERROR(__xludf.DUMMYFUNCTION("""COMPUTED_VALUE"""),1973)</f>
        <v>1973</v>
      </c>
      <c r="G2509" s="1">
        <f ca="1">IFERROR(__xludf.DUMMYFUNCTION("""COMPUTED_VALUE"""),917)</f>
        <v>917</v>
      </c>
      <c r="H2509" s="1" t="str">
        <f ca="1">IFERROR(__xludf.DUMMYFUNCTION("""COMPUTED_VALUE"""),"MTLSZ000917A16")</f>
        <v>MTLSZ000917A16</v>
      </c>
      <c r="I2509" s="2">
        <f ca="1">IFERROR(__xludf.DUMMYFUNCTION("""COMPUTED_VALUE"""),42732)</f>
        <v>42732</v>
      </c>
      <c r="J2509" s="2">
        <f ca="1">IFERROR(__xludf.DUMMYFUNCTION("""COMPUTED_VALUE"""),43096)</f>
        <v>43096</v>
      </c>
    </row>
    <row r="2510" spans="1:10" x14ac:dyDescent="0.25">
      <c r="A2510" s="1" t="str">
        <f ca="1">IFERROR(__xludf.DUMMYFUNCTION("""COMPUTED_VALUE"""),"BEAC")</f>
        <v>BEAC</v>
      </c>
      <c r="B2510" s="1" t="str">
        <f ca="1">IFERROR(__xludf.DUMMYFUNCTION("""COMPUTED_VALUE"""),"Szegedi Ferenc")</f>
        <v>Szegedi Ferenc</v>
      </c>
      <c r="C2510" s="1"/>
      <c r="D2510" s="1" t="str">
        <f ca="1">IFERROR(__xludf.DUMMYFUNCTION("""COMPUTED_VALUE"""),"Férfi")</f>
        <v>Férfi</v>
      </c>
      <c r="E2510" s="1"/>
      <c r="F2510" s="1">
        <f ca="1">IFERROR(__xludf.DUMMYFUNCTION("""COMPUTED_VALUE"""),1969)</f>
        <v>1969</v>
      </c>
      <c r="G2510" s="1">
        <f ca="1">IFERROR(__xludf.DUMMYFUNCTION("""COMPUTED_VALUE"""),1744)</f>
        <v>1744</v>
      </c>
      <c r="H2510" s="1" t="str">
        <f ca="1">IFERROR(__xludf.DUMMYFUNCTION("""COMPUTED_VALUE"""),"MTLSZ001744A16")</f>
        <v>MTLSZ001744A16</v>
      </c>
      <c r="I2510" s="2">
        <f ca="1">IFERROR(__xludf.DUMMYFUNCTION("""COMPUTED_VALUE"""),42732)</f>
        <v>42732</v>
      </c>
      <c r="J2510" s="2">
        <f ca="1">IFERROR(__xludf.DUMMYFUNCTION("""COMPUTED_VALUE"""),43096)</f>
        <v>43096</v>
      </c>
    </row>
    <row r="2511" spans="1:10" x14ac:dyDescent="0.25">
      <c r="A2511" s="1" t="str">
        <f ca="1">IFERROR(__xludf.DUMMYFUNCTION("""COMPUTED_VALUE"""),"BEAC")</f>
        <v>BEAC</v>
      </c>
      <c r="B2511" s="1" t="str">
        <f ca="1">IFERROR(__xludf.DUMMYFUNCTION("""COMPUTED_VALUE"""),"Tóth Ádám")</f>
        <v>Tóth Ádám</v>
      </c>
      <c r="C2511" s="1"/>
      <c r="D2511" s="1" t="str">
        <f ca="1">IFERROR(__xludf.DUMMYFUNCTION("""COMPUTED_VALUE"""),"Férfi")</f>
        <v>Férfi</v>
      </c>
      <c r="E2511" s="1"/>
      <c r="F2511" s="1">
        <f ca="1">IFERROR(__xludf.DUMMYFUNCTION("""COMPUTED_VALUE"""),1989)</f>
        <v>1989</v>
      </c>
      <c r="G2511" s="1">
        <f ca="1">IFERROR(__xludf.DUMMYFUNCTION("""COMPUTED_VALUE"""),1022)</f>
        <v>1022</v>
      </c>
      <c r="H2511" s="1" t="str">
        <f ca="1">IFERROR(__xludf.DUMMYFUNCTION("""COMPUTED_VALUE"""),"MTLSZ001022A16")</f>
        <v>MTLSZ001022A16</v>
      </c>
      <c r="I2511" s="2">
        <f ca="1">IFERROR(__xludf.DUMMYFUNCTION("""COMPUTED_VALUE"""),42732)</f>
        <v>42732</v>
      </c>
      <c r="J2511" s="2">
        <f ca="1">IFERROR(__xludf.DUMMYFUNCTION("""COMPUTED_VALUE"""),43096)</f>
        <v>43096</v>
      </c>
    </row>
    <row r="2512" spans="1:10" x14ac:dyDescent="0.25">
      <c r="A2512" s="1" t="str">
        <f ca="1">IFERROR(__xludf.DUMMYFUNCTION("""COMPUTED_VALUE"""),"Érdi VSE")</f>
        <v>Érdi VSE</v>
      </c>
      <c r="B2512" s="1" t="str">
        <f ca="1">IFERROR(__xludf.DUMMYFUNCTION("""COMPUTED_VALUE"""),"Nagy Máté")</f>
        <v>Nagy Máté</v>
      </c>
      <c r="C2512" s="1"/>
      <c r="D2512" s="1" t="str">
        <f ca="1">IFERROR(__xludf.DUMMYFUNCTION("""COMPUTED_VALUE"""),"Férfi")</f>
        <v>Férfi</v>
      </c>
      <c r="E2512" s="1"/>
      <c r="F2512" s="1">
        <f ca="1">IFERROR(__xludf.DUMMYFUNCTION("""COMPUTED_VALUE"""),2004)</f>
        <v>2004</v>
      </c>
      <c r="G2512" s="1">
        <f ca="1">IFERROR(__xludf.DUMMYFUNCTION("""COMPUTED_VALUE"""),2859)</f>
        <v>2859</v>
      </c>
      <c r="H2512" s="1" t="str">
        <f ca="1">IFERROR(__xludf.DUMMYFUNCTION("""COMPUTED_VALUE"""),"MTLSZ002859A16")</f>
        <v>MTLSZ002859A16</v>
      </c>
      <c r="I2512" s="2">
        <f ca="1">IFERROR(__xludf.DUMMYFUNCTION("""COMPUTED_VALUE"""),42715)</f>
        <v>42715</v>
      </c>
      <c r="J2512" s="2">
        <f ca="1">IFERROR(__xludf.DUMMYFUNCTION("""COMPUTED_VALUE"""),43079)</f>
        <v>43079</v>
      </c>
    </row>
    <row r="2513" spans="1:10" x14ac:dyDescent="0.25">
      <c r="A2513" s="1" t="str">
        <f ca="1">IFERROR(__xludf.DUMMYFUNCTION("""COMPUTED_VALUE"""),"Ludovika SE")</f>
        <v>Ludovika SE</v>
      </c>
      <c r="B2513" s="1" t="str">
        <f ca="1">IFERROR(__xludf.DUMMYFUNCTION("""COMPUTED_VALUE"""),"Szabó Bálint")</f>
        <v>Szabó Bálint</v>
      </c>
      <c r="C2513" s="1"/>
      <c r="D2513" s="1" t="str">
        <f ca="1">IFERROR(__xludf.DUMMYFUNCTION("""COMPUTED_VALUE"""),"Férfi")</f>
        <v>Férfi</v>
      </c>
      <c r="E2513" s="1"/>
      <c r="F2513" s="1">
        <f ca="1">IFERROR(__xludf.DUMMYFUNCTION("""COMPUTED_VALUE"""),1978)</f>
        <v>1978</v>
      </c>
      <c r="G2513" s="1">
        <f ca="1">IFERROR(__xludf.DUMMYFUNCTION("""COMPUTED_VALUE"""),884)</f>
        <v>884</v>
      </c>
      <c r="H2513" s="1" t="str">
        <f ca="1">IFERROR(__xludf.DUMMYFUNCTION("""COMPUTED_VALUE"""),"MTLSZ000884A16")</f>
        <v>MTLSZ000884A16</v>
      </c>
      <c r="I2513" s="2">
        <f ca="1">IFERROR(__xludf.DUMMYFUNCTION("""COMPUTED_VALUE"""),42703)</f>
        <v>42703</v>
      </c>
      <c r="J2513" s="2">
        <f ca="1">IFERROR(__xludf.DUMMYFUNCTION("""COMPUTED_VALUE"""),43067)</f>
        <v>43067</v>
      </c>
    </row>
    <row r="2514" spans="1:10" x14ac:dyDescent="0.25">
      <c r="A2514" s="1" t="str">
        <f ca="1">IFERROR(__xludf.DUMMYFUNCTION("""COMPUTED_VALUE"""),"MEAFC")</f>
        <v>MEAFC</v>
      </c>
      <c r="B2514" s="1" t="str">
        <f ca="1">IFERROR(__xludf.DUMMYFUNCTION("""COMPUTED_VALUE"""),"Veszka Imre")</f>
        <v>Veszka Imre</v>
      </c>
      <c r="C2514" s="1"/>
      <c r="D2514" s="1" t="str">
        <f ca="1">IFERROR(__xludf.DUMMYFUNCTION("""COMPUTED_VALUE"""),"Férfi")</f>
        <v>Férfi</v>
      </c>
      <c r="E2514" s="1"/>
      <c r="F2514" s="1">
        <f ca="1">IFERROR(__xludf.DUMMYFUNCTION("""COMPUTED_VALUE"""),1971)</f>
        <v>1971</v>
      </c>
      <c r="G2514" s="1">
        <f ca="1">IFERROR(__xludf.DUMMYFUNCTION("""COMPUTED_VALUE"""),1116)</f>
        <v>1116</v>
      </c>
      <c r="H2514" s="1" t="str">
        <f ca="1">IFERROR(__xludf.DUMMYFUNCTION("""COMPUTED_VALUE"""),"MTLSZ001116A16")</f>
        <v>MTLSZ001116A16</v>
      </c>
      <c r="I2514" s="2">
        <f ca="1">IFERROR(__xludf.DUMMYFUNCTION("""COMPUTED_VALUE"""),42703)</f>
        <v>42703</v>
      </c>
      <c r="J2514" s="2">
        <f ca="1">IFERROR(__xludf.DUMMYFUNCTION("""COMPUTED_VALUE"""),43067)</f>
        <v>43067</v>
      </c>
    </row>
    <row r="2515" spans="1:10" x14ac:dyDescent="0.25">
      <c r="A2515" s="1" t="str">
        <f ca="1">IFERROR(__xludf.DUMMYFUNCTION("""COMPUTED_VALUE"""),"OSC")</f>
        <v>OSC</v>
      </c>
      <c r="B2515" s="1" t="str">
        <f ca="1">IFERROR(__xludf.DUMMYFUNCTION("""COMPUTED_VALUE"""),"Molnár Gábor")</f>
        <v>Molnár Gábor</v>
      </c>
      <c r="C2515" s="1"/>
      <c r="D2515" s="1" t="str">
        <f ca="1">IFERROR(__xludf.DUMMYFUNCTION("""COMPUTED_VALUE"""),"Férfi")</f>
        <v>Férfi</v>
      </c>
      <c r="E2515" s="1"/>
      <c r="F2515" s="1">
        <f ca="1">IFERROR(__xludf.DUMMYFUNCTION("""COMPUTED_VALUE"""),1973)</f>
        <v>1973</v>
      </c>
      <c r="G2515" s="1">
        <f ca="1">IFERROR(__xludf.DUMMYFUNCTION("""COMPUTED_VALUE"""),661)</f>
        <v>661</v>
      </c>
      <c r="H2515" s="1" t="str">
        <f ca="1">IFERROR(__xludf.DUMMYFUNCTION("""COMPUTED_VALUE"""),"MTLSZ000661A16")</f>
        <v>MTLSZ000661A16</v>
      </c>
      <c r="I2515" s="2">
        <f ca="1">IFERROR(__xludf.DUMMYFUNCTION("""COMPUTED_VALUE"""),42703)</f>
        <v>42703</v>
      </c>
      <c r="J2515" s="2">
        <f ca="1">IFERROR(__xludf.DUMMYFUNCTION("""COMPUTED_VALUE"""),43067)</f>
        <v>43067</v>
      </c>
    </row>
    <row r="2516" spans="1:10" x14ac:dyDescent="0.25">
      <c r="A2516" s="1" t="str">
        <f ca="1">IFERROR(__xludf.DUMMYFUNCTION("""COMPUTED_VALUE"""),"Karai SE")</f>
        <v>Karai SE</v>
      </c>
      <c r="B2516" s="1" t="str">
        <f ca="1">IFERROR(__xludf.DUMMYFUNCTION("""COMPUTED_VALUE"""),"Gál Zoltán")</f>
        <v>Gál Zoltán</v>
      </c>
      <c r="C2516" s="1"/>
      <c r="D2516" s="1" t="str">
        <f ca="1">IFERROR(__xludf.DUMMYFUNCTION("""COMPUTED_VALUE"""),"Férfi")</f>
        <v>Férfi</v>
      </c>
      <c r="E2516" s="1"/>
      <c r="F2516" s="1">
        <f ca="1">IFERROR(__xludf.DUMMYFUNCTION("""COMPUTED_VALUE"""),1968)</f>
        <v>1968</v>
      </c>
      <c r="G2516" s="1">
        <f ca="1">IFERROR(__xludf.DUMMYFUNCTION("""COMPUTED_VALUE"""),2707)</f>
        <v>2707</v>
      </c>
      <c r="H2516" s="1" t="str">
        <f ca="1">IFERROR(__xludf.DUMMYFUNCTION("""COMPUTED_VALUE"""),"MTLSZ002707A16")</f>
        <v>MTLSZ002707A16</v>
      </c>
      <c r="I2516" s="2">
        <f ca="1">IFERROR(__xludf.DUMMYFUNCTION("""COMPUTED_VALUE"""),42702)</f>
        <v>42702</v>
      </c>
      <c r="J2516" s="2">
        <f ca="1">IFERROR(__xludf.DUMMYFUNCTION("""COMPUTED_VALUE"""),43066)</f>
        <v>43066</v>
      </c>
    </row>
    <row r="2517" spans="1:10" x14ac:dyDescent="0.25">
      <c r="A2517" s="1" t="str">
        <f ca="1">IFERROR(__xludf.DUMMYFUNCTION("""COMPUTED_VALUE"""),"MEAFC")</f>
        <v>MEAFC</v>
      </c>
      <c r="B2517" s="1" t="str">
        <f ca="1">IFERROR(__xludf.DUMMYFUNCTION("""COMPUTED_VALUE"""),"Farkas Judit")</f>
        <v>Farkas Judit</v>
      </c>
      <c r="C2517" s="1"/>
      <c r="D2517" s="1" t="str">
        <f ca="1">IFERROR(__xludf.DUMMYFUNCTION("""COMPUTED_VALUE"""),"Nő")</f>
        <v>Nő</v>
      </c>
      <c r="E2517" s="1"/>
      <c r="F2517" s="1">
        <f ca="1">IFERROR(__xludf.DUMMYFUNCTION("""COMPUTED_VALUE"""),1971)</f>
        <v>1971</v>
      </c>
      <c r="G2517" s="1">
        <f ca="1">IFERROR(__xludf.DUMMYFUNCTION("""COMPUTED_VALUE"""),229)</f>
        <v>229</v>
      </c>
      <c r="H2517" s="1" t="str">
        <f ca="1">IFERROR(__xludf.DUMMYFUNCTION("""COMPUTED_VALUE"""),"MTLSZ000229A16")</f>
        <v>MTLSZ000229A16</v>
      </c>
      <c r="I2517" s="2">
        <f ca="1">IFERROR(__xludf.DUMMYFUNCTION("""COMPUTED_VALUE"""),42702)</f>
        <v>42702</v>
      </c>
      <c r="J2517" s="2">
        <f ca="1">IFERROR(__xludf.DUMMYFUNCTION("""COMPUTED_VALUE"""),43066)</f>
        <v>43066</v>
      </c>
    </row>
    <row r="2518" spans="1:10" x14ac:dyDescent="0.25">
      <c r="A2518" s="1" t="str">
        <f ca="1">IFERROR(__xludf.DUMMYFUNCTION("""COMPUTED_VALUE"""),"MEAFC")</f>
        <v>MEAFC</v>
      </c>
      <c r="B2518" s="1" t="str">
        <f ca="1">IFERROR(__xludf.DUMMYFUNCTION("""COMPUTED_VALUE"""),"Morvai István")</f>
        <v>Morvai István</v>
      </c>
      <c r="C2518" s="1"/>
      <c r="D2518" s="1" t="str">
        <f ca="1">IFERROR(__xludf.DUMMYFUNCTION("""COMPUTED_VALUE"""),"Férfi")</f>
        <v>Férfi</v>
      </c>
      <c r="E2518" s="1"/>
      <c r="F2518" s="1">
        <f ca="1">IFERROR(__xludf.DUMMYFUNCTION("""COMPUTED_VALUE"""),1973)</f>
        <v>1973</v>
      </c>
      <c r="G2518" s="1">
        <f ca="1">IFERROR(__xludf.DUMMYFUNCTION("""COMPUTED_VALUE"""),673)</f>
        <v>673</v>
      </c>
      <c r="H2518" s="1" t="str">
        <f ca="1">IFERROR(__xludf.DUMMYFUNCTION("""COMPUTED_VALUE"""),"MTLSZ000673A16")</f>
        <v>MTLSZ000673A16</v>
      </c>
      <c r="I2518" s="2">
        <f ca="1">IFERROR(__xludf.DUMMYFUNCTION("""COMPUTED_VALUE"""),42702)</f>
        <v>42702</v>
      </c>
      <c r="J2518" s="2">
        <f ca="1">IFERROR(__xludf.DUMMYFUNCTION("""COMPUTED_VALUE"""),43066)</f>
        <v>43066</v>
      </c>
    </row>
    <row r="2519" spans="1:10" x14ac:dyDescent="0.25">
      <c r="A2519" s="1" t="str">
        <f ca="1">IFERROR(__xludf.DUMMYFUNCTION("""COMPUTED_VALUE"""),"MAFC")</f>
        <v>MAFC</v>
      </c>
      <c r="B2519" s="1" t="str">
        <f ca="1">IFERROR(__xludf.DUMMYFUNCTION("""COMPUTED_VALUE"""),"Kutasy Tamás")</f>
        <v>Kutasy Tamás</v>
      </c>
      <c r="C2519" s="1"/>
      <c r="D2519" s="1" t="str">
        <f ca="1">IFERROR(__xludf.DUMMYFUNCTION("""COMPUTED_VALUE"""),"Férfi")</f>
        <v>Férfi</v>
      </c>
      <c r="E2519" s="1"/>
      <c r="F2519" s="1">
        <f ca="1">IFERROR(__xludf.DUMMYFUNCTION("""COMPUTED_VALUE"""),1980)</f>
        <v>1980</v>
      </c>
      <c r="G2519" s="1">
        <f ca="1">IFERROR(__xludf.DUMMYFUNCTION("""COMPUTED_VALUE"""),1668)</f>
        <v>1668</v>
      </c>
      <c r="H2519" s="1" t="str">
        <f ca="1">IFERROR(__xludf.DUMMYFUNCTION("""COMPUTED_VALUE"""),"MTLSZ001668A16")</f>
        <v>MTLSZ001668A16</v>
      </c>
      <c r="I2519" s="2">
        <f ca="1">IFERROR(__xludf.DUMMYFUNCTION("""COMPUTED_VALUE"""),42702)</f>
        <v>42702</v>
      </c>
      <c r="J2519" s="2">
        <f ca="1">IFERROR(__xludf.DUMMYFUNCTION("""COMPUTED_VALUE"""),43066)</f>
        <v>43066</v>
      </c>
    </row>
    <row r="2520" spans="1:10" x14ac:dyDescent="0.25">
      <c r="A2520" s="1" t="str">
        <f ca="1">IFERROR(__xludf.DUMMYFUNCTION("""COMPUTED_VALUE"""),"BTBK")</f>
        <v>BTBK</v>
      </c>
      <c r="B2520" s="1" t="str">
        <f ca="1">IFERROR(__xludf.DUMMYFUNCTION("""COMPUTED_VALUE"""),"Darabos Attila")</f>
        <v>Darabos Attila</v>
      </c>
      <c r="C2520" s="1"/>
      <c r="D2520" s="1" t="str">
        <f ca="1">IFERROR(__xludf.DUMMYFUNCTION("""COMPUTED_VALUE"""),"Férfi")</f>
        <v>Férfi</v>
      </c>
      <c r="E2520" s="1"/>
      <c r="F2520" s="1">
        <f ca="1">IFERROR(__xludf.DUMMYFUNCTION("""COMPUTED_VALUE"""),1965)</f>
        <v>1965</v>
      </c>
      <c r="G2520" s="1">
        <f ca="1">IFERROR(__xludf.DUMMYFUNCTION("""COMPUTED_VALUE"""),2015)</f>
        <v>2015</v>
      </c>
      <c r="H2520" s="1" t="str">
        <f ca="1">IFERROR(__xludf.DUMMYFUNCTION("""COMPUTED_VALUE"""),"MTLSZ002015A16")</f>
        <v>MTLSZ002015A16</v>
      </c>
      <c r="I2520" s="2">
        <f ca="1">IFERROR(__xludf.DUMMYFUNCTION("""COMPUTED_VALUE"""),42700)</f>
        <v>42700</v>
      </c>
      <c r="J2520" s="2">
        <f ca="1">IFERROR(__xludf.DUMMYFUNCTION("""COMPUTED_VALUE"""),43064)</f>
        <v>43064</v>
      </c>
    </row>
    <row r="2521" spans="1:10" x14ac:dyDescent="0.25">
      <c r="A2521" s="1" t="str">
        <f ca="1">IFERROR(__xludf.DUMMYFUNCTION("""COMPUTED_VALUE"""),"Seregélyesi PDSE")</f>
        <v>Seregélyesi PDSE</v>
      </c>
      <c r="B2521" s="1" t="str">
        <f ca="1">IFERROR(__xludf.DUMMYFUNCTION("""COMPUTED_VALUE"""),"Nagy Márton")</f>
        <v>Nagy Márton</v>
      </c>
      <c r="C2521" s="1"/>
      <c r="D2521" s="1" t="str">
        <f ca="1">IFERROR(__xludf.DUMMYFUNCTION("""COMPUTED_VALUE"""),"Férfi")</f>
        <v>Férfi</v>
      </c>
      <c r="E2521" s="1"/>
      <c r="F2521" s="1">
        <f ca="1">IFERROR(__xludf.DUMMYFUNCTION("""COMPUTED_VALUE"""),2001)</f>
        <v>2001</v>
      </c>
      <c r="G2521" s="1">
        <f ca="1">IFERROR(__xludf.DUMMYFUNCTION("""COMPUTED_VALUE"""),2156)</f>
        <v>2156</v>
      </c>
      <c r="H2521" s="1" t="str">
        <f ca="1">IFERROR(__xludf.DUMMYFUNCTION("""COMPUTED_VALUE"""),"MTLSZ002156A16")</f>
        <v>MTLSZ002156A16</v>
      </c>
      <c r="I2521" s="2">
        <f ca="1">IFERROR(__xludf.DUMMYFUNCTION("""COMPUTED_VALUE"""),42684)</f>
        <v>42684</v>
      </c>
      <c r="J2521" s="2">
        <f ca="1">IFERROR(__xludf.DUMMYFUNCTION("""COMPUTED_VALUE"""),43048)</f>
        <v>43048</v>
      </c>
    </row>
    <row r="2522" spans="1:10" x14ac:dyDescent="0.25">
      <c r="A2522" s="1" t="str">
        <f ca="1">IFERROR(__xludf.DUMMYFUNCTION("""COMPUTED_VALUE"""),"Seregélyesi PDSE")</f>
        <v>Seregélyesi PDSE</v>
      </c>
      <c r="B2522" s="1" t="str">
        <f ca="1">IFERROR(__xludf.DUMMYFUNCTION("""COMPUTED_VALUE"""),"Jankovics Bence")</f>
        <v>Jankovics Bence</v>
      </c>
      <c r="C2522" s="1"/>
      <c r="D2522" s="1" t="str">
        <f ca="1">IFERROR(__xludf.DUMMYFUNCTION("""COMPUTED_VALUE"""),"Férfi")</f>
        <v>Férfi</v>
      </c>
      <c r="E2522" s="1"/>
      <c r="F2522" s="1">
        <f ca="1">IFERROR(__xludf.DUMMYFUNCTION("""COMPUTED_VALUE"""),2003)</f>
        <v>2003</v>
      </c>
      <c r="G2522" s="1">
        <f ca="1">IFERROR(__xludf.DUMMYFUNCTION("""COMPUTED_VALUE"""),2840)</f>
        <v>2840</v>
      </c>
      <c r="H2522" s="1" t="str">
        <f ca="1">IFERROR(__xludf.DUMMYFUNCTION("""COMPUTED_VALUE"""),"MTLSZ002840A16")</f>
        <v>MTLSZ002840A16</v>
      </c>
      <c r="I2522" s="2">
        <f ca="1">IFERROR(__xludf.DUMMYFUNCTION("""COMPUTED_VALUE"""),42682)</f>
        <v>42682</v>
      </c>
      <c r="J2522" s="2">
        <f ca="1">IFERROR(__xludf.DUMMYFUNCTION("""COMPUTED_VALUE"""),43046)</f>
        <v>43046</v>
      </c>
    </row>
    <row r="2523" spans="1:10" x14ac:dyDescent="0.25">
      <c r="A2523" s="1" t="str">
        <f ca="1">IFERROR(__xludf.DUMMYFUNCTION("""COMPUTED_VALUE"""),"Seregélyesi PDSE")</f>
        <v>Seregélyesi PDSE</v>
      </c>
      <c r="B2523" s="1" t="str">
        <f ca="1">IFERROR(__xludf.DUMMYFUNCTION("""COMPUTED_VALUE"""),"Kotymán Száva")</f>
        <v>Kotymán Száva</v>
      </c>
      <c r="C2523" s="1"/>
      <c r="D2523" s="1" t="str">
        <f ca="1">IFERROR(__xludf.DUMMYFUNCTION("""COMPUTED_VALUE"""),"Férfi")</f>
        <v>Férfi</v>
      </c>
      <c r="E2523" s="1"/>
      <c r="F2523" s="1">
        <f ca="1">IFERROR(__xludf.DUMMYFUNCTION("""COMPUTED_VALUE"""),2007)</f>
        <v>2007</v>
      </c>
      <c r="G2523" s="1">
        <f ca="1">IFERROR(__xludf.DUMMYFUNCTION("""COMPUTED_VALUE"""),2838)</f>
        <v>2838</v>
      </c>
      <c r="H2523" s="1" t="str">
        <f ca="1">IFERROR(__xludf.DUMMYFUNCTION("""COMPUTED_VALUE"""),"MTLSZ002838A16")</f>
        <v>MTLSZ002838A16</v>
      </c>
      <c r="I2523" s="2">
        <f ca="1">IFERROR(__xludf.DUMMYFUNCTION("""COMPUTED_VALUE"""),42682)</f>
        <v>42682</v>
      </c>
      <c r="J2523" s="2">
        <f ca="1">IFERROR(__xludf.DUMMYFUNCTION("""COMPUTED_VALUE"""),43046)</f>
        <v>43046</v>
      </c>
    </row>
    <row r="2524" spans="1:10" x14ac:dyDescent="0.25">
      <c r="A2524" s="1" t="str">
        <f ca="1">IFERROR(__xludf.DUMMYFUNCTION("""COMPUTED_VALUE"""),"Seregélyesi PDSE")</f>
        <v>Seregélyesi PDSE</v>
      </c>
      <c r="B2524" s="1" t="str">
        <f ca="1">IFERROR(__xludf.DUMMYFUNCTION("""COMPUTED_VALUE"""),"Németh Vivien")</f>
        <v>Németh Vivien</v>
      </c>
      <c r="C2524" s="1"/>
      <c r="D2524" s="1" t="str">
        <f ca="1">IFERROR(__xludf.DUMMYFUNCTION("""COMPUTED_VALUE"""),"Nő")</f>
        <v>Nő</v>
      </c>
      <c r="E2524" s="1"/>
      <c r="F2524" s="1">
        <f ca="1">IFERROR(__xludf.DUMMYFUNCTION("""COMPUTED_VALUE"""),2008)</f>
        <v>2008</v>
      </c>
      <c r="G2524" s="1">
        <f ca="1">IFERROR(__xludf.DUMMYFUNCTION("""COMPUTED_VALUE"""),2839)</f>
        <v>2839</v>
      </c>
      <c r="H2524" s="1" t="str">
        <f ca="1">IFERROR(__xludf.DUMMYFUNCTION("""COMPUTED_VALUE"""),"MTLSZ002839A16")</f>
        <v>MTLSZ002839A16</v>
      </c>
      <c r="I2524" s="2">
        <f ca="1">IFERROR(__xludf.DUMMYFUNCTION("""COMPUTED_VALUE"""),42682)</f>
        <v>42682</v>
      </c>
      <c r="J2524" s="2">
        <f ca="1">IFERROR(__xludf.DUMMYFUNCTION("""COMPUTED_VALUE"""),43046)</f>
        <v>43046</v>
      </c>
    </row>
    <row r="2525" spans="1:10" x14ac:dyDescent="0.25">
      <c r="A2525" s="1" t="str">
        <f ca="1">IFERROR(__xludf.DUMMYFUNCTION("""COMPUTED_VALUE"""),"Érdi VSE")</f>
        <v>Érdi VSE</v>
      </c>
      <c r="B2525" s="1" t="str">
        <f ca="1">IFERROR(__xludf.DUMMYFUNCTION("""COMPUTED_VALUE"""),"Nagy Dávid")</f>
        <v>Nagy Dávid</v>
      </c>
      <c r="C2525" s="1"/>
      <c r="D2525" s="1" t="str">
        <f ca="1">IFERROR(__xludf.DUMMYFUNCTION("""COMPUTED_VALUE"""),"Férfi")</f>
        <v>Férfi</v>
      </c>
      <c r="E2525" s="1"/>
      <c r="F2525" s="1">
        <f ca="1">IFERROR(__xludf.DUMMYFUNCTION("""COMPUTED_VALUE"""),2007)</f>
        <v>2007</v>
      </c>
      <c r="G2525" s="1">
        <f ca="1">IFERROR(__xludf.DUMMYFUNCTION("""COMPUTED_VALUE"""),2837)</f>
        <v>2837</v>
      </c>
      <c r="H2525" s="1" t="str">
        <f ca="1">IFERROR(__xludf.DUMMYFUNCTION("""COMPUTED_VALUE"""),"MTLSZ002837A16")</f>
        <v>MTLSZ002837A16</v>
      </c>
      <c r="I2525" s="2">
        <f ca="1">IFERROR(__xludf.DUMMYFUNCTION("""COMPUTED_VALUE"""),42678)</f>
        <v>42678</v>
      </c>
      <c r="J2525" s="2">
        <f ca="1">IFERROR(__xludf.DUMMYFUNCTION("""COMPUTED_VALUE"""),43042)</f>
        <v>43042</v>
      </c>
    </row>
    <row r="2526" spans="1:10" x14ac:dyDescent="0.25">
      <c r="A2526" s="1" t="str">
        <f ca="1">IFERROR(__xludf.DUMMYFUNCTION("""COMPUTED_VALUE"""),"Érdi VSE")</f>
        <v>Érdi VSE</v>
      </c>
      <c r="B2526" s="1" t="str">
        <f ca="1">IFERROR(__xludf.DUMMYFUNCTION("""COMPUTED_VALUE"""),"Perényi Zoltán")</f>
        <v>Perényi Zoltán</v>
      </c>
      <c r="C2526" s="1"/>
      <c r="D2526" s="1" t="str">
        <f ca="1">IFERROR(__xludf.DUMMYFUNCTION("""COMPUTED_VALUE"""),"Férfi")</f>
        <v>Férfi</v>
      </c>
      <c r="E2526" s="1"/>
      <c r="F2526" s="1">
        <f ca="1">IFERROR(__xludf.DUMMYFUNCTION("""COMPUTED_VALUE"""),2001)</f>
        <v>2001</v>
      </c>
      <c r="G2526" s="1">
        <f ca="1">IFERROR(__xludf.DUMMYFUNCTION("""COMPUTED_VALUE"""),2577)</f>
        <v>2577</v>
      </c>
      <c r="H2526" s="1" t="str">
        <f ca="1">IFERROR(__xludf.DUMMYFUNCTION("""COMPUTED_VALUE"""),"MTLSZ002577A16")</f>
        <v>MTLSZ002577A16</v>
      </c>
      <c r="I2526" s="2">
        <f ca="1">IFERROR(__xludf.DUMMYFUNCTION("""COMPUTED_VALUE"""),42678)</f>
        <v>42678</v>
      </c>
      <c r="J2526" s="2">
        <f ca="1">IFERROR(__xludf.DUMMYFUNCTION("""COMPUTED_VALUE"""),43042)</f>
        <v>43042</v>
      </c>
    </row>
    <row r="2527" spans="1:10" x14ac:dyDescent="0.25">
      <c r="A2527" s="1" t="str">
        <f ca="1">IFERROR(__xludf.DUMMYFUNCTION("""COMPUTED_VALUE"""),"Érdi VSE")</f>
        <v>Érdi VSE</v>
      </c>
      <c r="B2527" s="1" t="str">
        <f ca="1">IFERROR(__xludf.DUMMYFUNCTION("""COMPUTED_VALUE"""),"Vid Ferenc")</f>
        <v>Vid Ferenc</v>
      </c>
      <c r="C2527" s="1"/>
      <c r="D2527" s="1" t="str">
        <f ca="1">IFERROR(__xludf.DUMMYFUNCTION("""COMPUTED_VALUE"""),"Férfi")</f>
        <v>Férfi</v>
      </c>
      <c r="E2527" s="1"/>
      <c r="F2527" s="1">
        <f ca="1">IFERROR(__xludf.DUMMYFUNCTION("""COMPUTED_VALUE"""),2005)</f>
        <v>2005</v>
      </c>
      <c r="G2527" s="1">
        <f ca="1">IFERROR(__xludf.DUMMYFUNCTION("""COMPUTED_VALUE"""),2747)</f>
        <v>2747</v>
      </c>
      <c r="H2527" s="1" t="str">
        <f ca="1">IFERROR(__xludf.DUMMYFUNCTION("""COMPUTED_VALUE"""),"MTLSZ002747A16")</f>
        <v>MTLSZ002747A16</v>
      </c>
      <c r="I2527" s="2">
        <f ca="1">IFERROR(__xludf.DUMMYFUNCTION("""COMPUTED_VALUE"""),42678)</f>
        <v>42678</v>
      </c>
      <c r="J2527" s="2">
        <f ca="1">IFERROR(__xludf.DUMMYFUNCTION("""COMPUTED_VALUE"""),43042)</f>
        <v>43042</v>
      </c>
    </row>
    <row r="2528" spans="1:10" x14ac:dyDescent="0.25">
      <c r="A2528" s="1" t="str">
        <f ca="1">IFERROR(__xludf.DUMMYFUNCTION("""COMPUTED_VALUE"""),"OSC")</f>
        <v>OSC</v>
      </c>
      <c r="B2528" s="1" t="str">
        <f ca="1">IFERROR(__xludf.DUMMYFUNCTION("""COMPUTED_VALUE"""),"Makó Csenge")</f>
        <v>Makó Csenge</v>
      </c>
      <c r="C2528" s="1"/>
      <c r="D2528" s="1" t="str">
        <f ca="1">IFERROR(__xludf.DUMMYFUNCTION("""COMPUTED_VALUE"""),"Nő")</f>
        <v>Nő</v>
      </c>
      <c r="E2528" s="1"/>
      <c r="F2528" s="1">
        <f ca="1">IFERROR(__xludf.DUMMYFUNCTION("""COMPUTED_VALUE"""),2001)</f>
        <v>2001</v>
      </c>
      <c r="G2528" s="1">
        <f ca="1">IFERROR(__xludf.DUMMYFUNCTION("""COMPUTED_VALUE"""),1978)</f>
        <v>1978</v>
      </c>
      <c r="H2528" s="1" t="str">
        <f ca="1">IFERROR(__xludf.DUMMYFUNCTION("""COMPUTED_VALUE"""),"MTLSZ001978A16")</f>
        <v>MTLSZ001978A16</v>
      </c>
      <c r="I2528" s="2">
        <f ca="1">IFERROR(__xludf.DUMMYFUNCTION("""COMPUTED_VALUE"""),42677)</f>
        <v>42677</v>
      </c>
      <c r="J2528" s="2">
        <f ca="1">IFERROR(__xludf.DUMMYFUNCTION("""COMPUTED_VALUE"""),43041)</f>
        <v>43041</v>
      </c>
    </row>
    <row r="2529" spans="1:10" x14ac:dyDescent="0.25">
      <c r="A2529" s="1" t="str">
        <f ca="1">IFERROR(__xludf.DUMMYFUNCTION("""COMPUTED_VALUE"""),"Keszthelyi TE")</f>
        <v>Keszthelyi TE</v>
      </c>
      <c r="B2529" s="1" t="str">
        <f ca="1">IFERROR(__xludf.DUMMYFUNCTION("""COMPUTED_VALUE"""),"Kalamár Anita")</f>
        <v>Kalamár Anita</v>
      </c>
      <c r="C2529" s="1"/>
      <c r="D2529" s="1" t="str">
        <f ca="1">IFERROR(__xludf.DUMMYFUNCTION("""COMPUTED_VALUE"""),"Nő")</f>
        <v>Nő</v>
      </c>
      <c r="E2529" s="1"/>
      <c r="F2529" s="1">
        <f ca="1">IFERROR(__xludf.DUMMYFUNCTION("""COMPUTED_VALUE"""),1970)</f>
        <v>1970</v>
      </c>
      <c r="G2529" s="1">
        <f ca="1">IFERROR(__xludf.DUMMYFUNCTION("""COMPUTED_VALUE"""),2466)</f>
        <v>2466</v>
      </c>
      <c r="H2529" s="1" t="str">
        <f ca="1">IFERROR(__xludf.DUMMYFUNCTION("""COMPUTED_VALUE"""),"MTLSZ002466A16")</f>
        <v>MTLSZ002466A16</v>
      </c>
      <c r="I2529" s="2">
        <f ca="1">IFERROR(__xludf.DUMMYFUNCTION("""COMPUTED_VALUE"""),42665)</f>
        <v>42665</v>
      </c>
      <c r="J2529" s="2">
        <f ca="1">IFERROR(__xludf.DUMMYFUNCTION("""COMPUTED_VALUE"""),43029)</f>
        <v>43029</v>
      </c>
    </row>
    <row r="2530" spans="1:10" x14ac:dyDescent="0.25">
      <c r="A2530" s="1" t="str">
        <f ca="1">IFERROR(__xludf.DUMMYFUNCTION("""COMPUTED_VALUE"""),"Keszthelyi TE")</f>
        <v>Keszthelyi TE</v>
      </c>
      <c r="B2530" s="1" t="str">
        <f ca="1">IFERROR(__xludf.DUMMYFUNCTION("""COMPUTED_VALUE"""),"Lázár Andor")</f>
        <v>Lázár Andor</v>
      </c>
      <c r="C2530" s="1"/>
      <c r="D2530" s="1" t="str">
        <f ca="1">IFERROR(__xludf.DUMMYFUNCTION("""COMPUTED_VALUE"""),"Férfi")</f>
        <v>Férfi</v>
      </c>
      <c r="E2530" s="1"/>
      <c r="F2530" s="1">
        <f ca="1">IFERROR(__xludf.DUMMYFUNCTION("""COMPUTED_VALUE"""),1981)</f>
        <v>1981</v>
      </c>
      <c r="G2530" s="1">
        <f ca="1">IFERROR(__xludf.DUMMYFUNCTION("""COMPUTED_VALUE"""),2786)</f>
        <v>2786</v>
      </c>
      <c r="H2530" s="1" t="str">
        <f ca="1">IFERROR(__xludf.DUMMYFUNCTION("""COMPUTED_VALUE"""),"MTLSZ002786A16")</f>
        <v>MTLSZ002786A16</v>
      </c>
      <c r="I2530" s="2">
        <f ca="1">IFERROR(__xludf.DUMMYFUNCTION("""COMPUTED_VALUE"""),42665)</f>
        <v>42665</v>
      </c>
      <c r="J2530" s="2">
        <f ca="1">IFERROR(__xludf.DUMMYFUNCTION("""COMPUTED_VALUE"""),43029)</f>
        <v>43029</v>
      </c>
    </row>
    <row r="2531" spans="1:10" x14ac:dyDescent="0.25">
      <c r="A2531" s="1" t="str">
        <f ca="1">IFERROR(__xludf.DUMMYFUNCTION("""COMPUTED_VALUE"""),"NYVSC")</f>
        <v>NYVSC</v>
      </c>
      <c r="B2531" s="1" t="str">
        <f ca="1">IFERROR(__xludf.DUMMYFUNCTION("""COMPUTED_VALUE"""),"Szalontai Tamás")</f>
        <v>Szalontai Tamás</v>
      </c>
      <c r="C2531" s="1"/>
      <c r="D2531" s="1" t="str">
        <f ca="1">IFERROR(__xludf.DUMMYFUNCTION("""COMPUTED_VALUE"""),"Férfi")</f>
        <v>Férfi</v>
      </c>
      <c r="E2531" s="1"/>
      <c r="F2531" s="1">
        <f ca="1">IFERROR(__xludf.DUMMYFUNCTION("""COMPUTED_VALUE"""),1976)</f>
        <v>1976</v>
      </c>
      <c r="G2531" s="1">
        <f ca="1">IFERROR(__xludf.DUMMYFUNCTION("""COMPUTED_VALUE"""),911)</f>
        <v>911</v>
      </c>
      <c r="H2531" s="1" t="str">
        <f ca="1">IFERROR(__xludf.DUMMYFUNCTION("""COMPUTED_VALUE"""),"MTLSZ000911A16")</f>
        <v>MTLSZ000911A16</v>
      </c>
      <c r="I2531" s="2">
        <f ca="1">IFERROR(__xludf.DUMMYFUNCTION("""COMPUTED_VALUE"""),42657)</f>
        <v>42657</v>
      </c>
      <c r="J2531" s="2">
        <f ca="1">IFERROR(__xludf.DUMMYFUNCTION("""COMPUTED_VALUE"""),43021)</f>
        <v>43021</v>
      </c>
    </row>
    <row r="2532" spans="1:10" x14ac:dyDescent="0.25">
      <c r="A2532" s="1" t="str">
        <f ca="1">IFERROR(__xludf.DUMMYFUNCTION("""COMPUTED_VALUE"""),"NYVSC")</f>
        <v>NYVSC</v>
      </c>
      <c r="B2532" s="1" t="str">
        <f ca="1">IFERROR(__xludf.DUMMYFUNCTION("""COMPUTED_VALUE"""),"Pintér Csaba")</f>
        <v>Pintér Csaba</v>
      </c>
      <c r="C2532" s="1"/>
      <c r="D2532" s="1" t="str">
        <f ca="1">IFERROR(__xludf.DUMMYFUNCTION("""COMPUTED_VALUE"""),"Férfi")</f>
        <v>Férfi</v>
      </c>
      <c r="E2532" s="1"/>
      <c r="F2532" s="1">
        <f ca="1">IFERROR(__xludf.DUMMYFUNCTION("""COMPUTED_VALUE"""),1969)</f>
        <v>1969</v>
      </c>
      <c r="G2532" s="1">
        <f ca="1">IFERROR(__xludf.DUMMYFUNCTION("""COMPUTED_VALUE"""),776)</f>
        <v>776</v>
      </c>
      <c r="H2532" s="1" t="str">
        <f ca="1">IFERROR(__xludf.DUMMYFUNCTION("""COMPUTED_VALUE"""),"MTLSZ000776A16")</f>
        <v>MTLSZ000776A16</v>
      </c>
      <c r="I2532" s="2">
        <f ca="1">IFERROR(__xludf.DUMMYFUNCTION("""COMPUTED_VALUE"""),42656)</f>
        <v>42656</v>
      </c>
      <c r="J2532" s="2">
        <f ca="1">IFERROR(__xludf.DUMMYFUNCTION("""COMPUTED_VALUE"""),43020)</f>
        <v>43020</v>
      </c>
    </row>
    <row r="2533" spans="1:10" x14ac:dyDescent="0.25">
      <c r="A2533" s="1" t="str">
        <f ca="1">IFERROR(__xludf.DUMMYFUNCTION("""COMPUTED_VALUE"""),"Győri TSE")</f>
        <v>Győri TSE</v>
      </c>
      <c r="B2533" s="1" t="str">
        <f ca="1">IFERROR(__xludf.DUMMYFUNCTION("""COMPUTED_VALUE"""),"Gecse Réka")</f>
        <v>Gecse Réka</v>
      </c>
      <c r="C2533" s="1"/>
      <c r="D2533" s="1" t="str">
        <f ca="1">IFERROR(__xludf.DUMMYFUNCTION("""COMPUTED_VALUE"""),"Nő")</f>
        <v>Nő</v>
      </c>
      <c r="E2533" s="1"/>
      <c r="F2533" s="1">
        <f ca="1">IFERROR(__xludf.DUMMYFUNCTION("""COMPUTED_VALUE"""),1996)</f>
        <v>1996</v>
      </c>
      <c r="G2533" s="1">
        <f ca="1">IFERROR(__xludf.DUMMYFUNCTION("""COMPUTED_VALUE"""),2140)</f>
        <v>2140</v>
      </c>
      <c r="H2533" s="1" t="str">
        <f ca="1">IFERROR(__xludf.DUMMYFUNCTION("""COMPUTED_VALUE"""),"MTLSZ002140A16")</f>
        <v>MTLSZ002140A16</v>
      </c>
      <c r="I2533" s="2">
        <f ca="1">IFERROR(__xludf.DUMMYFUNCTION("""COMPUTED_VALUE"""),42655)</f>
        <v>42655</v>
      </c>
      <c r="J2533" s="2">
        <f ca="1">IFERROR(__xludf.DUMMYFUNCTION("""COMPUTED_VALUE"""),43019)</f>
        <v>43019</v>
      </c>
    </row>
    <row r="2534" spans="1:10" x14ac:dyDescent="0.25">
      <c r="A2534" s="1" t="str">
        <f ca="1">IFERROR(__xludf.DUMMYFUNCTION("""COMPUTED_VALUE"""),"Győri TSE")</f>
        <v>Győri TSE</v>
      </c>
      <c r="B2534" s="1" t="str">
        <f ca="1">IFERROR(__xludf.DUMMYFUNCTION("""COMPUTED_VALUE"""),"Reider Tamás")</f>
        <v>Reider Tamás</v>
      </c>
      <c r="C2534" s="1"/>
      <c r="D2534" s="1" t="str">
        <f ca="1">IFERROR(__xludf.DUMMYFUNCTION("""COMPUTED_VALUE"""),"Férfi")</f>
        <v>Férfi</v>
      </c>
      <c r="E2534" s="1"/>
      <c r="F2534" s="1">
        <f ca="1">IFERROR(__xludf.DUMMYFUNCTION("""COMPUTED_VALUE"""),1986)</f>
        <v>1986</v>
      </c>
      <c r="G2534" s="1">
        <f ca="1">IFERROR(__xludf.DUMMYFUNCTION("""COMPUTED_VALUE"""),2828)</f>
        <v>2828</v>
      </c>
      <c r="H2534" s="1" t="str">
        <f ca="1">IFERROR(__xludf.DUMMYFUNCTION("""COMPUTED_VALUE"""),"MTLSZ002828A16")</f>
        <v>MTLSZ002828A16</v>
      </c>
      <c r="I2534" s="2">
        <f ca="1">IFERROR(__xludf.DUMMYFUNCTION("""COMPUTED_VALUE"""),42655)</f>
        <v>42655</v>
      </c>
      <c r="J2534" s="2">
        <f ca="1">IFERROR(__xludf.DUMMYFUNCTION("""COMPUTED_VALUE"""),43019)</f>
        <v>43019</v>
      </c>
    </row>
    <row r="2535" spans="1:10" x14ac:dyDescent="0.25">
      <c r="A2535" s="1" t="str">
        <f ca="1">IFERROR(__xludf.DUMMYFUNCTION("""COMPUTED_VALUE"""),"Multi Alarm SE")</f>
        <v>Multi Alarm SE</v>
      </c>
      <c r="B2535" s="1" t="str">
        <f ca="1">IFERROR(__xludf.DUMMYFUNCTION("""COMPUTED_VALUE"""),"Gelencsér József")</f>
        <v>Gelencsér József</v>
      </c>
      <c r="C2535" s="1"/>
      <c r="D2535" s="1" t="str">
        <f ca="1">IFERROR(__xludf.DUMMYFUNCTION("""COMPUTED_VALUE"""),"Férfi")</f>
        <v>Férfi</v>
      </c>
      <c r="E2535" s="1"/>
      <c r="F2535" s="1">
        <f ca="1">IFERROR(__xludf.DUMMYFUNCTION("""COMPUTED_VALUE"""),1993)</f>
        <v>1993</v>
      </c>
      <c r="G2535" s="1">
        <f ca="1">IFERROR(__xludf.DUMMYFUNCTION("""COMPUTED_VALUE"""),1945)</f>
        <v>1945</v>
      </c>
      <c r="H2535" s="1" t="str">
        <f ca="1">IFERROR(__xludf.DUMMYFUNCTION("""COMPUTED_VALUE"""),"MTLSZ001945A16")</f>
        <v>MTLSZ001945A16</v>
      </c>
      <c r="I2535" s="2">
        <f ca="1">IFERROR(__xludf.DUMMYFUNCTION("""COMPUTED_VALUE"""),42655)</f>
        <v>42655</v>
      </c>
      <c r="J2535" s="2">
        <f ca="1">IFERROR(__xludf.DUMMYFUNCTION("""COMPUTED_VALUE"""),43019)</f>
        <v>43019</v>
      </c>
    </row>
    <row r="2536" spans="1:10" x14ac:dyDescent="0.25">
      <c r="A2536" s="1" t="str">
        <f ca="1">IFERROR(__xludf.DUMMYFUNCTION("""COMPUTED_VALUE"""),"Bodajki TSE")</f>
        <v>Bodajki TSE</v>
      </c>
      <c r="B2536" s="1" t="str">
        <f ca="1">IFERROR(__xludf.DUMMYFUNCTION("""COMPUTED_VALUE"""),"Behány Mercédesz")</f>
        <v>Behány Mercédesz</v>
      </c>
      <c r="C2536" s="1"/>
      <c r="D2536" s="1" t="str">
        <f ca="1">IFERROR(__xludf.DUMMYFUNCTION("""COMPUTED_VALUE"""),"Nő")</f>
        <v>Nő</v>
      </c>
      <c r="E2536" s="1"/>
      <c r="F2536" s="1">
        <f ca="1">IFERROR(__xludf.DUMMYFUNCTION("""COMPUTED_VALUE"""),2001)</f>
        <v>2001</v>
      </c>
      <c r="G2536" s="1">
        <f ca="1">IFERROR(__xludf.DUMMYFUNCTION("""COMPUTED_VALUE"""),2477)</f>
        <v>2477</v>
      </c>
      <c r="H2536" s="1" t="str">
        <f ca="1">IFERROR(__xludf.DUMMYFUNCTION("""COMPUTED_VALUE"""),"MTLSZ002477A16")</f>
        <v>MTLSZ002477A16</v>
      </c>
      <c r="I2536" s="2">
        <f ca="1">IFERROR(__xludf.DUMMYFUNCTION("""COMPUTED_VALUE"""),42654)</f>
        <v>42654</v>
      </c>
      <c r="J2536" s="2">
        <f ca="1">IFERROR(__xludf.DUMMYFUNCTION("""COMPUTED_VALUE"""),43018)</f>
        <v>43018</v>
      </c>
    </row>
    <row r="2537" spans="1:10" x14ac:dyDescent="0.25">
      <c r="A2537" s="1" t="str">
        <f ca="1">IFERROR(__xludf.DUMMYFUNCTION("""COMPUTED_VALUE"""),"Bodajki TSE")</f>
        <v>Bodajki TSE</v>
      </c>
      <c r="B2537" s="1" t="str">
        <f ca="1">IFERROR(__xludf.DUMMYFUNCTION("""COMPUTED_VALUE"""),"Schmidt Zsombor")</f>
        <v>Schmidt Zsombor</v>
      </c>
      <c r="C2537" s="1"/>
      <c r="D2537" s="1" t="str">
        <f ca="1">IFERROR(__xludf.DUMMYFUNCTION("""COMPUTED_VALUE"""),"Férfi")</f>
        <v>Férfi</v>
      </c>
      <c r="E2537" s="1"/>
      <c r="F2537" s="1">
        <f ca="1">IFERROR(__xludf.DUMMYFUNCTION("""COMPUTED_VALUE"""),2005)</f>
        <v>2005</v>
      </c>
      <c r="G2537" s="1">
        <f ca="1">IFERROR(__xludf.DUMMYFUNCTION("""COMPUTED_VALUE"""),2829)</f>
        <v>2829</v>
      </c>
      <c r="H2537" s="1" t="str">
        <f ca="1">IFERROR(__xludf.DUMMYFUNCTION("""COMPUTED_VALUE"""),"MTLSZ002829A16")</f>
        <v>MTLSZ002829A16</v>
      </c>
      <c r="I2537" s="2">
        <f ca="1">IFERROR(__xludf.DUMMYFUNCTION("""COMPUTED_VALUE"""),42654)</f>
        <v>42654</v>
      </c>
      <c r="J2537" s="2">
        <f ca="1">IFERROR(__xludf.DUMMYFUNCTION("""COMPUTED_VALUE"""),43018)</f>
        <v>43018</v>
      </c>
    </row>
    <row r="2538" spans="1:10" x14ac:dyDescent="0.25">
      <c r="A2538" s="1" t="str">
        <f ca="1">IFERROR(__xludf.DUMMYFUNCTION("""COMPUTED_VALUE"""),"Bodajki TSE")</f>
        <v>Bodajki TSE</v>
      </c>
      <c r="B2538" s="1" t="str">
        <f ca="1">IFERROR(__xludf.DUMMYFUNCTION("""COMPUTED_VALUE"""),"Skrop Tamás")</f>
        <v>Skrop Tamás</v>
      </c>
      <c r="C2538" s="1"/>
      <c r="D2538" s="1" t="str">
        <f ca="1">IFERROR(__xludf.DUMMYFUNCTION("""COMPUTED_VALUE"""),"Férfi")</f>
        <v>Férfi</v>
      </c>
      <c r="E2538" s="1"/>
      <c r="F2538" s="1">
        <f ca="1">IFERROR(__xludf.DUMMYFUNCTION("""COMPUTED_VALUE"""),1999)</f>
        <v>1999</v>
      </c>
      <c r="G2538" s="1">
        <f ca="1">IFERROR(__xludf.DUMMYFUNCTION("""COMPUTED_VALUE"""),1831)</f>
        <v>1831</v>
      </c>
      <c r="H2538" s="1" t="str">
        <f ca="1">IFERROR(__xludf.DUMMYFUNCTION("""COMPUTED_VALUE"""),"MTLSZ001831A16")</f>
        <v>MTLSZ001831A16</v>
      </c>
      <c r="I2538" s="2">
        <f ca="1">IFERROR(__xludf.DUMMYFUNCTION("""COMPUTED_VALUE"""),42654)</f>
        <v>42654</v>
      </c>
      <c r="J2538" s="2">
        <f ca="1">IFERROR(__xludf.DUMMYFUNCTION("""COMPUTED_VALUE"""),43018)</f>
        <v>43018</v>
      </c>
    </row>
    <row r="2539" spans="1:10" x14ac:dyDescent="0.25">
      <c r="A2539" s="1" t="str">
        <f ca="1">IFERROR(__xludf.DUMMYFUNCTION("""COMPUTED_VALUE"""),"Ludovika SE")</f>
        <v>Ludovika SE</v>
      </c>
      <c r="B2539" s="1" t="str">
        <f ca="1">IFERROR(__xludf.DUMMYFUNCTION("""COMPUTED_VALUE"""),"Szeti Tamás")</f>
        <v>Szeti Tamás</v>
      </c>
      <c r="C2539" s="1"/>
      <c r="D2539" s="1" t="str">
        <f ca="1">IFERROR(__xludf.DUMMYFUNCTION("""COMPUTED_VALUE"""),"Férfi")</f>
        <v>Férfi</v>
      </c>
      <c r="E2539" s="1"/>
      <c r="F2539" s="1">
        <f ca="1">IFERROR(__xludf.DUMMYFUNCTION("""COMPUTED_VALUE"""),1988)</f>
        <v>1988</v>
      </c>
      <c r="G2539" s="1">
        <f ca="1">IFERROR(__xludf.DUMMYFUNCTION("""COMPUTED_VALUE"""),1193)</f>
        <v>1193</v>
      </c>
      <c r="H2539" s="1" t="str">
        <f ca="1">IFERROR(__xludf.DUMMYFUNCTION("""COMPUTED_VALUE"""),"MTLSZ001193A16")</f>
        <v>MTLSZ001193A16</v>
      </c>
      <c r="I2539" s="2">
        <f ca="1">IFERROR(__xludf.DUMMYFUNCTION("""COMPUTED_VALUE"""),42654)</f>
        <v>42654</v>
      </c>
      <c r="J2539" s="2">
        <f ca="1">IFERROR(__xludf.DUMMYFUNCTION("""COMPUTED_VALUE"""),43018)</f>
        <v>43018</v>
      </c>
    </row>
    <row r="2540" spans="1:10" x14ac:dyDescent="0.25">
      <c r="A2540" s="1" t="str">
        <f ca="1">IFERROR(__xludf.DUMMYFUNCTION("""COMPUTED_VALUE"""),"Alba-Toll SE")</f>
        <v>Alba-Toll SE</v>
      </c>
      <c r="B2540" s="1" t="str">
        <f ca="1">IFERROR(__xludf.DUMMYFUNCTION("""COMPUTED_VALUE"""),"Verebélyi Gergely")</f>
        <v>Verebélyi Gergely</v>
      </c>
      <c r="C2540" s="1"/>
      <c r="D2540" s="1" t="str">
        <f ca="1">IFERROR(__xludf.DUMMYFUNCTION("""COMPUTED_VALUE"""),"Férfi")</f>
        <v>Férfi</v>
      </c>
      <c r="E2540" s="1"/>
      <c r="F2540" s="1">
        <f ca="1">IFERROR(__xludf.DUMMYFUNCTION("""COMPUTED_VALUE"""),2003)</f>
        <v>2003</v>
      </c>
      <c r="G2540" s="1">
        <f ca="1">IFERROR(__xludf.DUMMYFUNCTION("""COMPUTED_VALUE"""),2473)</f>
        <v>2473</v>
      </c>
      <c r="H2540" s="1" t="str">
        <f ca="1">IFERROR(__xludf.DUMMYFUNCTION("""COMPUTED_VALUE"""),"MTLSZ002473A16")</f>
        <v>MTLSZ002473A16</v>
      </c>
      <c r="I2540" s="2">
        <f ca="1">IFERROR(__xludf.DUMMYFUNCTION("""COMPUTED_VALUE"""),42651)</f>
        <v>42651</v>
      </c>
      <c r="J2540" s="2">
        <f ca="1">IFERROR(__xludf.DUMMYFUNCTION("""COMPUTED_VALUE"""),43015)</f>
        <v>43015</v>
      </c>
    </row>
    <row r="2541" spans="1:10" x14ac:dyDescent="0.25">
      <c r="A2541" s="1" t="str">
        <f ca="1">IFERROR(__xludf.DUMMYFUNCTION("""COMPUTED_VALUE"""),"FBSE")</f>
        <v>FBSE</v>
      </c>
      <c r="B2541" s="1" t="str">
        <f ca="1">IFERROR(__xludf.DUMMYFUNCTION("""COMPUTED_VALUE"""),"Krausz Béla")</f>
        <v>Krausz Béla</v>
      </c>
      <c r="C2541" s="1"/>
      <c r="D2541" s="1" t="str">
        <f ca="1">IFERROR(__xludf.DUMMYFUNCTION("""COMPUTED_VALUE"""),"Férfi")</f>
        <v>Férfi</v>
      </c>
      <c r="E2541" s="1"/>
      <c r="F2541" s="1">
        <f ca="1">IFERROR(__xludf.DUMMYFUNCTION("""COMPUTED_VALUE"""),1999)</f>
        <v>1999</v>
      </c>
      <c r="G2541" s="1">
        <f ca="1">IFERROR(__xludf.DUMMYFUNCTION("""COMPUTED_VALUE"""),1988)</f>
        <v>1988</v>
      </c>
      <c r="H2541" s="1" t="str">
        <f ca="1">IFERROR(__xludf.DUMMYFUNCTION("""COMPUTED_VALUE"""),"MTLSZ001988A16")</f>
        <v>MTLSZ001988A16</v>
      </c>
      <c r="I2541" s="2">
        <f ca="1">IFERROR(__xludf.DUMMYFUNCTION("""COMPUTED_VALUE"""),42651)</f>
        <v>42651</v>
      </c>
      <c r="J2541" s="2">
        <f ca="1">IFERROR(__xludf.DUMMYFUNCTION("""COMPUTED_VALUE"""),43015)</f>
        <v>43015</v>
      </c>
    </row>
    <row r="2542" spans="1:10" x14ac:dyDescent="0.25">
      <c r="A2542" s="1" t="str">
        <f ca="1">IFERROR(__xludf.DUMMYFUNCTION("""COMPUTED_VALUE"""),"FBSE")</f>
        <v>FBSE</v>
      </c>
      <c r="B2542" s="1" t="str">
        <f ca="1">IFERROR(__xludf.DUMMYFUNCTION("""COMPUTED_VALUE"""),"Pál Veronika Lilla")</f>
        <v>Pál Veronika Lilla</v>
      </c>
      <c r="C2542" s="1"/>
      <c r="D2542" s="1" t="str">
        <f ca="1">IFERROR(__xludf.DUMMYFUNCTION("""COMPUTED_VALUE"""),"Nő")</f>
        <v>Nő</v>
      </c>
      <c r="E2542" s="1"/>
      <c r="F2542" s="1">
        <f ca="1">IFERROR(__xludf.DUMMYFUNCTION("""COMPUTED_VALUE"""),1997)</f>
        <v>1997</v>
      </c>
      <c r="G2542" s="1">
        <f ca="1">IFERROR(__xludf.DUMMYFUNCTION("""COMPUTED_VALUE"""),1932)</f>
        <v>1932</v>
      </c>
      <c r="H2542" s="1" t="str">
        <f ca="1">IFERROR(__xludf.DUMMYFUNCTION("""COMPUTED_VALUE"""),"MTLSZ001932A16")</f>
        <v>MTLSZ001932A16</v>
      </c>
      <c r="I2542" s="2">
        <f ca="1">IFERROR(__xludf.DUMMYFUNCTION("""COMPUTED_VALUE"""),42651)</f>
        <v>42651</v>
      </c>
      <c r="J2542" s="2">
        <f ca="1">IFERROR(__xludf.DUMMYFUNCTION("""COMPUTED_VALUE"""),43015)</f>
        <v>43015</v>
      </c>
    </row>
    <row r="2543" spans="1:10" x14ac:dyDescent="0.25">
      <c r="A2543" s="1" t="str">
        <f ca="1">IFERROR(__xludf.DUMMYFUNCTION("""COMPUTED_VALUE"""),"Hajdú TSE")</f>
        <v>Hajdú TSE</v>
      </c>
      <c r="B2543" s="1" t="str">
        <f ca="1">IFERROR(__xludf.DUMMYFUNCTION("""COMPUTED_VALUE"""),"Bata Ádám")</f>
        <v>Bata Ádám</v>
      </c>
      <c r="C2543" s="1"/>
      <c r="D2543" s="1" t="str">
        <f ca="1">IFERROR(__xludf.DUMMYFUNCTION("""COMPUTED_VALUE"""),"Férfi")</f>
        <v>Férfi</v>
      </c>
      <c r="E2543" s="1"/>
      <c r="F2543" s="1">
        <f ca="1">IFERROR(__xludf.DUMMYFUNCTION("""COMPUTED_VALUE"""),2006)</f>
        <v>2006</v>
      </c>
      <c r="G2543" s="1">
        <f ca="1">IFERROR(__xludf.DUMMYFUNCTION("""COMPUTED_VALUE"""),2827)</f>
        <v>2827</v>
      </c>
      <c r="H2543" s="1" t="str">
        <f ca="1">IFERROR(__xludf.DUMMYFUNCTION("""COMPUTED_VALUE"""),"MTLSZ002827A16")</f>
        <v>MTLSZ002827A16</v>
      </c>
      <c r="I2543" s="2">
        <f ca="1">IFERROR(__xludf.DUMMYFUNCTION("""COMPUTED_VALUE"""),42651)</f>
        <v>42651</v>
      </c>
      <c r="J2543" s="2">
        <f ca="1">IFERROR(__xludf.DUMMYFUNCTION("""COMPUTED_VALUE"""),43015)</f>
        <v>43015</v>
      </c>
    </row>
    <row r="2544" spans="1:10" x14ac:dyDescent="0.25">
      <c r="A2544" s="1" t="str">
        <f ca="1">IFERROR(__xludf.DUMMYFUNCTION("""COMPUTED_VALUE"""),"Multi Alarm SE")</f>
        <v>Multi Alarm SE</v>
      </c>
      <c r="B2544" s="1" t="str">
        <f ca="1">IFERROR(__xludf.DUMMYFUNCTION("""COMPUTED_VALUE"""),"Veerappan Thanes")</f>
        <v>Veerappan Thanes</v>
      </c>
      <c r="C2544" s="1"/>
      <c r="D2544" s="1" t="str">
        <f ca="1">IFERROR(__xludf.DUMMYFUNCTION("""COMPUTED_VALUE"""),"Férfi")</f>
        <v>Férfi</v>
      </c>
      <c r="E2544" s="1"/>
      <c r="F2544" s="1">
        <f ca="1">IFERROR(__xludf.DUMMYFUNCTION("""COMPUTED_VALUE"""),1995)</f>
        <v>1995</v>
      </c>
      <c r="G2544" s="1">
        <f ca="1">IFERROR(__xludf.DUMMYFUNCTION("""COMPUTED_VALUE"""),2824)</f>
        <v>2824</v>
      </c>
      <c r="H2544" s="1" t="str">
        <f ca="1">IFERROR(__xludf.DUMMYFUNCTION("""COMPUTED_VALUE"""),"MTLSZ002824A16")</f>
        <v>MTLSZ002824A16</v>
      </c>
      <c r="I2544" s="2">
        <f ca="1">IFERROR(__xludf.DUMMYFUNCTION("""COMPUTED_VALUE"""),42651)</f>
        <v>42651</v>
      </c>
      <c r="J2544" s="2">
        <f ca="1">IFERROR(__xludf.DUMMYFUNCTION("""COMPUTED_VALUE"""),43015)</f>
        <v>43015</v>
      </c>
    </row>
    <row r="2545" spans="1:10" x14ac:dyDescent="0.25">
      <c r="A2545" s="1" t="str">
        <f ca="1">IFERROR(__xludf.DUMMYFUNCTION("""COMPUTED_VALUE"""),"Multi Alarm SE")</f>
        <v>Multi Alarm SE</v>
      </c>
      <c r="B2545" s="1" t="str">
        <f ca="1">IFERROR(__xludf.DUMMYFUNCTION("""COMPUTED_VALUE"""),"Yap Rui Chen")</f>
        <v>Yap Rui Chen</v>
      </c>
      <c r="C2545" s="1"/>
      <c r="D2545" s="1" t="str">
        <f ca="1">IFERROR(__xludf.DUMMYFUNCTION("""COMPUTED_VALUE"""),"Nő")</f>
        <v>Nő</v>
      </c>
      <c r="E2545" s="1"/>
      <c r="F2545" s="1">
        <f ca="1">IFERROR(__xludf.DUMMYFUNCTION("""COMPUTED_VALUE"""),1996)</f>
        <v>1996</v>
      </c>
      <c r="G2545" s="1">
        <f ca="1">IFERROR(__xludf.DUMMYFUNCTION("""COMPUTED_VALUE"""),2825)</f>
        <v>2825</v>
      </c>
      <c r="H2545" s="1" t="str">
        <f ca="1">IFERROR(__xludf.DUMMYFUNCTION("""COMPUTED_VALUE"""),"MTLSZ002825A16")</f>
        <v>MTLSZ002825A16</v>
      </c>
      <c r="I2545" s="2">
        <f ca="1">IFERROR(__xludf.DUMMYFUNCTION("""COMPUTED_VALUE"""),42651)</f>
        <v>42651</v>
      </c>
      <c r="J2545" s="2">
        <f ca="1">IFERROR(__xludf.DUMMYFUNCTION("""COMPUTED_VALUE"""),43015)</f>
        <v>43015</v>
      </c>
    </row>
    <row r="2546" spans="1:10" x14ac:dyDescent="0.25">
      <c r="A2546" s="1" t="str">
        <f ca="1">IFERROR(__xludf.DUMMYFUNCTION("""COMPUTED_VALUE"""),"Reac SE")</f>
        <v>Reac SE</v>
      </c>
      <c r="B2546" s="1" t="str">
        <f ca="1">IFERROR(__xludf.DUMMYFUNCTION("""COMPUTED_VALUE"""),"Pallai Máté")</f>
        <v>Pallai Máté</v>
      </c>
      <c r="C2546" s="1"/>
      <c r="D2546" s="1" t="str">
        <f ca="1">IFERROR(__xludf.DUMMYFUNCTION("""COMPUTED_VALUE"""),"Férfi")</f>
        <v>Férfi</v>
      </c>
      <c r="E2546" s="1"/>
      <c r="F2546" s="1">
        <f ca="1">IFERROR(__xludf.DUMMYFUNCTION("""COMPUTED_VALUE"""),1998)</f>
        <v>1998</v>
      </c>
      <c r="G2546" s="1">
        <f ca="1">IFERROR(__xludf.DUMMYFUNCTION("""COMPUTED_VALUE"""),2274)</f>
        <v>2274</v>
      </c>
      <c r="H2546" s="1" t="str">
        <f ca="1">IFERROR(__xludf.DUMMYFUNCTION("""COMPUTED_VALUE"""),"MTLSZ002274A16")</f>
        <v>MTLSZ002274A16</v>
      </c>
      <c r="I2546" s="2">
        <f ca="1">IFERROR(__xludf.DUMMYFUNCTION("""COMPUTED_VALUE"""),42643)</f>
        <v>42643</v>
      </c>
      <c r="J2546" s="2">
        <f ca="1">IFERROR(__xludf.DUMMYFUNCTION("""COMPUTED_VALUE"""),43007)</f>
        <v>43007</v>
      </c>
    </row>
    <row r="2547" spans="1:10" x14ac:dyDescent="0.25">
      <c r="A2547" s="1" t="str">
        <f ca="1">IFERROR(__xludf.DUMMYFUNCTION("""COMPUTED_VALUE"""),"Soproni TSE")</f>
        <v>Soproni TSE</v>
      </c>
      <c r="B2547" s="1" t="str">
        <f ca="1">IFERROR(__xludf.DUMMYFUNCTION("""COMPUTED_VALUE"""),"Kocsis Ábel")</f>
        <v>Kocsis Ábel</v>
      </c>
      <c r="C2547" s="1"/>
      <c r="D2547" s="1" t="str">
        <f ca="1">IFERROR(__xludf.DUMMYFUNCTION("""COMPUTED_VALUE"""),"Férfi")</f>
        <v>Férfi</v>
      </c>
      <c r="E2547" s="1"/>
      <c r="F2547" s="1">
        <f ca="1">IFERROR(__xludf.DUMMYFUNCTION("""COMPUTED_VALUE"""),1998)</f>
        <v>1998</v>
      </c>
      <c r="G2547" s="1">
        <f ca="1">IFERROR(__xludf.DUMMYFUNCTION("""COMPUTED_VALUE"""),2216)</f>
        <v>2216</v>
      </c>
      <c r="H2547" s="1" t="str">
        <f ca="1">IFERROR(__xludf.DUMMYFUNCTION("""COMPUTED_VALUE"""),"MTLSZ002216A16")</f>
        <v>MTLSZ002216A16</v>
      </c>
      <c r="I2547" s="2">
        <f ca="1">IFERROR(__xludf.DUMMYFUNCTION("""COMPUTED_VALUE"""),42643)</f>
        <v>42643</v>
      </c>
      <c r="J2547" s="2">
        <f ca="1">IFERROR(__xludf.DUMMYFUNCTION("""COMPUTED_VALUE"""),43007)</f>
        <v>43007</v>
      </c>
    </row>
    <row r="2548" spans="1:10" x14ac:dyDescent="0.25">
      <c r="A2548" s="1" t="str">
        <f ca="1">IFERROR(__xludf.DUMMYFUNCTION("""COMPUTED_VALUE"""),"NYVSC")</f>
        <v>NYVSC</v>
      </c>
      <c r="B2548" s="1" t="str">
        <f ca="1">IFERROR(__xludf.DUMMYFUNCTION("""COMPUTED_VALUE"""),"Veronyák Roland")</f>
        <v>Veronyák Roland</v>
      </c>
      <c r="C2548" s="1"/>
      <c r="D2548" s="1" t="str">
        <f ca="1">IFERROR(__xludf.DUMMYFUNCTION("""COMPUTED_VALUE"""),"Férfi")</f>
        <v>Férfi</v>
      </c>
      <c r="E2548" s="1"/>
      <c r="F2548" s="1">
        <f ca="1">IFERROR(__xludf.DUMMYFUNCTION("""COMPUTED_VALUE"""),2005)</f>
        <v>2005</v>
      </c>
      <c r="G2548" s="1">
        <f ca="1">IFERROR(__xludf.DUMMYFUNCTION("""COMPUTED_VALUE"""),2624)</f>
        <v>2624</v>
      </c>
      <c r="H2548" s="1" t="str">
        <f ca="1">IFERROR(__xludf.DUMMYFUNCTION("""COMPUTED_VALUE"""),"MTLSZ002624A16")</f>
        <v>MTLSZ002624A16</v>
      </c>
      <c r="I2548" s="2">
        <f ca="1">IFERROR(__xludf.DUMMYFUNCTION("""COMPUTED_VALUE"""),42641)</f>
        <v>42641</v>
      </c>
      <c r="J2548" s="2">
        <f ca="1">IFERROR(__xludf.DUMMYFUNCTION("""COMPUTED_VALUE"""),43005)</f>
        <v>43005</v>
      </c>
    </row>
    <row r="2549" spans="1:10" x14ac:dyDescent="0.25">
      <c r="A2549" s="1" t="str">
        <f ca="1">IFERROR(__xludf.DUMMYFUNCTION("""COMPUTED_VALUE"""),"Seregélyesi PDSE")</f>
        <v>Seregélyesi PDSE</v>
      </c>
      <c r="B2549" s="1" t="str">
        <f ca="1">IFERROR(__xludf.DUMMYFUNCTION("""COMPUTED_VALUE"""),"Miklós Nikolett")</f>
        <v>Miklós Nikolett</v>
      </c>
      <c r="C2549" s="1"/>
      <c r="D2549" s="1" t="str">
        <f ca="1">IFERROR(__xludf.DUMMYFUNCTION("""COMPUTED_VALUE"""),"Nő")</f>
        <v>Nő</v>
      </c>
      <c r="E2549" s="1"/>
      <c r="F2549" s="1">
        <f ca="1">IFERROR(__xludf.DUMMYFUNCTION("""COMPUTED_VALUE"""),2002)</f>
        <v>2002</v>
      </c>
      <c r="G2549" s="1">
        <f ca="1">IFERROR(__xludf.DUMMYFUNCTION("""COMPUTED_VALUE"""),2378)</f>
        <v>2378</v>
      </c>
      <c r="H2549" s="1" t="str">
        <f ca="1">IFERROR(__xludf.DUMMYFUNCTION("""COMPUTED_VALUE"""),"MTLSZ002378A16")</f>
        <v>MTLSZ002378A16</v>
      </c>
      <c r="I2549" s="2">
        <f ca="1">IFERROR(__xludf.DUMMYFUNCTION("""COMPUTED_VALUE"""),42641)</f>
        <v>42641</v>
      </c>
      <c r="J2549" s="2">
        <f ca="1">IFERROR(__xludf.DUMMYFUNCTION("""COMPUTED_VALUE"""),43005)</f>
        <v>43005</v>
      </c>
    </row>
    <row r="2550" spans="1:10" x14ac:dyDescent="0.25">
      <c r="A2550" s="1" t="str">
        <f ca="1">IFERROR(__xludf.DUMMYFUNCTION("""COMPUTED_VALUE"""),"Multi Alarm SE")</f>
        <v>Multi Alarm SE</v>
      </c>
      <c r="B2550" s="1" t="str">
        <f ca="1">IFERROR(__xludf.DUMMYFUNCTION("""COMPUTED_VALUE"""),"Gibicz Alexander Valér")</f>
        <v>Gibicz Alexander Valér</v>
      </c>
      <c r="C2550" s="1"/>
      <c r="D2550" s="1" t="str">
        <f ca="1">IFERROR(__xludf.DUMMYFUNCTION("""COMPUTED_VALUE"""),"Férfi")</f>
        <v>Férfi</v>
      </c>
      <c r="E2550" s="1"/>
      <c r="F2550" s="1">
        <f ca="1">IFERROR(__xludf.DUMMYFUNCTION("""COMPUTED_VALUE"""),2000)</f>
        <v>2000</v>
      </c>
      <c r="G2550" s="1">
        <f ca="1">IFERROR(__xludf.DUMMYFUNCTION("""COMPUTED_VALUE"""),2653)</f>
        <v>2653</v>
      </c>
      <c r="H2550" s="1" t="str">
        <f ca="1">IFERROR(__xludf.DUMMYFUNCTION("""COMPUTED_VALUE"""),"MTLSZ002653A16")</f>
        <v>MTLSZ002653A16</v>
      </c>
      <c r="I2550" s="2">
        <f ca="1">IFERROR(__xludf.DUMMYFUNCTION("""COMPUTED_VALUE"""),42636)</f>
        <v>42636</v>
      </c>
      <c r="J2550" s="2">
        <f ca="1">IFERROR(__xludf.DUMMYFUNCTION("""COMPUTED_VALUE"""),43000)</f>
        <v>43000</v>
      </c>
    </row>
    <row r="2551" spans="1:10" x14ac:dyDescent="0.25">
      <c r="A2551" s="1" t="str">
        <f ca="1">IFERROR(__xludf.DUMMYFUNCTION("""COMPUTED_VALUE"""),"Hajdú TSE")</f>
        <v>Hajdú TSE</v>
      </c>
      <c r="B2551" s="1" t="str">
        <f ca="1">IFERROR(__xludf.DUMMYFUNCTION("""COMPUTED_VALUE"""),"Nagy Attila")</f>
        <v>Nagy Attila</v>
      </c>
      <c r="C2551" s="1"/>
      <c r="D2551" s="1" t="str">
        <f ca="1">IFERROR(__xludf.DUMMYFUNCTION("""COMPUTED_VALUE"""),"Férfi")</f>
        <v>Férfi</v>
      </c>
      <c r="E2551" s="1"/>
      <c r="F2551" s="1">
        <f ca="1">IFERROR(__xludf.DUMMYFUNCTION("""COMPUTED_VALUE"""),1991)</f>
        <v>1991</v>
      </c>
      <c r="G2551" s="1">
        <f ca="1">IFERROR(__xludf.DUMMYFUNCTION("""COMPUTED_VALUE"""),1423)</f>
        <v>1423</v>
      </c>
      <c r="H2551" s="1" t="str">
        <f ca="1">IFERROR(__xludf.DUMMYFUNCTION("""COMPUTED_VALUE"""),"MTLSZ001423A16")</f>
        <v>MTLSZ001423A16</v>
      </c>
      <c r="I2551" s="2">
        <f ca="1">IFERROR(__xludf.DUMMYFUNCTION("""COMPUTED_VALUE"""),42634)</f>
        <v>42634</v>
      </c>
      <c r="J2551" s="2">
        <f ca="1">IFERROR(__xludf.DUMMYFUNCTION("""COMPUTED_VALUE"""),42998)</f>
        <v>42998</v>
      </c>
    </row>
    <row r="2552" spans="1:10" x14ac:dyDescent="0.25">
      <c r="A2552" s="1" t="str">
        <f ca="1">IFERROR(__xludf.DUMMYFUNCTION("""COMPUTED_VALUE"""),"OSC")</f>
        <v>OSC</v>
      </c>
      <c r="B2552" s="1" t="str">
        <f ca="1">IFERROR(__xludf.DUMMYFUNCTION("""COMPUTED_VALUE"""),"Merő Emese")</f>
        <v>Merő Emese</v>
      </c>
      <c r="C2552" s="1"/>
      <c r="D2552" s="1" t="str">
        <f ca="1">IFERROR(__xludf.DUMMYFUNCTION("""COMPUTED_VALUE"""),"Nő")</f>
        <v>Nő</v>
      </c>
      <c r="E2552" s="1"/>
      <c r="F2552" s="1">
        <f ca="1">IFERROR(__xludf.DUMMYFUNCTION("""COMPUTED_VALUE"""),2001)</f>
        <v>2001</v>
      </c>
      <c r="G2552" s="1">
        <f ca="1">IFERROR(__xludf.DUMMYFUNCTION("""COMPUTED_VALUE"""),2427)</f>
        <v>2427</v>
      </c>
      <c r="H2552" s="1" t="str">
        <f ca="1">IFERROR(__xludf.DUMMYFUNCTION("""COMPUTED_VALUE"""),"MTLSZ002427A16")</f>
        <v>MTLSZ002427A16</v>
      </c>
      <c r="I2552" s="2">
        <f ca="1">IFERROR(__xludf.DUMMYFUNCTION("""COMPUTED_VALUE"""),42634)</f>
        <v>42634</v>
      </c>
      <c r="J2552" s="2">
        <f ca="1">IFERROR(__xludf.DUMMYFUNCTION("""COMPUTED_VALUE"""),42998)</f>
        <v>42998</v>
      </c>
    </row>
    <row r="2553" spans="1:10" x14ac:dyDescent="0.25">
      <c r="A2553" s="1" t="str">
        <f ca="1">IFERROR(__xludf.DUMMYFUNCTION("""COMPUTED_VALUE"""),"Tisza TSE")</f>
        <v>Tisza TSE</v>
      </c>
      <c r="B2553" s="1" t="str">
        <f ca="1">IFERROR(__xludf.DUMMYFUNCTION("""COMPUTED_VALUE"""),"Káity Sára")</f>
        <v>Káity Sára</v>
      </c>
      <c r="C2553" s="1"/>
      <c r="D2553" s="1" t="str">
        <f ca="1">IFERROR(__xludf.DUMMYFUNCTION("""COMPUTED_VALUE"""),"Nő")</f>
        <v>Nő</v>
      </c>
      <c r="E2553" s="1"/>
      <c r="F2553" s="1">
        <f ca="1">IFERROR(__xludf.DUMMYFUNCTION("""COMPUTED_VALUE"""),1998)</f>
        <v>1998</v>
      </c>
      <c r="G2553" s="1">
        <f ca="1">IFERROR(__xludf.DUMMYFUNCTION("""COMPUTED_VALUE"""),1922)</f>
        <v>1922</v>
      </c>
      <c r="H2553" s="1" t="str">
        <f ca="1">IFERROR(__xludf.DUMMYFUNCTION("""COMPUTED_VALUE"""),"MTLSZ001922A16")</f>
        <v>MTLSZ001922A16</v>
      </c>
      <c r="I2553" s="2">
        <f ca="1">IFERROR(__xludf.DUMMYFUNCTION("""COMPUTED_VALUE"""),42629)</f>
        <v>42629</v>
      </c>
      <c r="J2553" s="2">
        <f ca="1">IFERROR(__xludf.DUMMYFUNCTION("""COMPUTED_VALUE"""),42993)</f>
        <v>42993</v>
      </c>
    </row>
    <row r="2554" spans="1:10" x14ac:dyDescent="0.25">
      <c r="A2554" s="1" t="str">
        <f ca="1">IFERROR(__xludf.DUMMYFUNCTION("""COMPUTED_VALUE"""),"Tisza TSE")</f>
        <v>Tisza TSE</v>
      </c>
      <c r="B2554" s="1" t="str">
        <f ca="1">IFERROR(__xludf.DUMMYFUNCTION("""COMPUTED_VALUE"""),"Könczöl Kristóf")</f>
        <v>Könczöl Kristóf</v>
      </c>
      <c r="C2554" s="1"/>
      <c r="D2554" s="1" t="str">
        <f ca="1">IFERROR(__xludf.DUMMYFUNCTION("""COMPUTED_VALUE"""),"Férfi")</f>
        <v>Férfi</v>
      </c>
      <c r="E2554" s="1"/>
      <c r="F2554" s="1">
        <f ca="1">IFERROR(__xludf.DUMMYFUNCTION("""COMPUTED_VALUE"""),1998)</f>
        <v>1998</v>
      </c>
      <c r="G2554" s="1">
        <f ca="1">IFERROR(__xludf.DUMMYFUNCTION("""COMPUTED_VALUE"""),2634)</f>
        <v>2634</v>
      </c>
      <c r="H2554" s="1" t="str">
        <f ca="1">IFERROR(__xludf.DUMMYFUNCTION("""COMPUTED_VALUE"""),"MTLSZ002634A16")</f>
        <v>MTLSZ002634A16</v>
      </c>
      <c r="I2554" s="2">
        <f ca="1">IFERROR(__xludf.DUMMYFUNCTION("""COMPUTED_VALUE"""),42629)</f>
        <v>42629</v>
      </c>
      <c r="J2554" s="2">
        <f ca="1">IFERROR(__xludf.DUMMYFUNCTION("""COMPUTED_VALUE"""),42993)</f>
        <v>42993</v>
      </c>
    </row>
    <row r="2555" spans="1:10" x14ac:dyDescent="0.25">
      <c r="A2555" s="1" t="str">
        <f ca="1">IFERROR(__xludf.DUMMYFUNCTION("""COMPUTED_VALUE"""),"Tisza TSE")</f>
        <v>Tisza TSE</v>
      </c>
      <c r="B2555" s="1" t="str">
        <f ca="1">IFERROR(__xludf.DUMMYFUNCTION("""COMPUTED_VALUE"""),"Mucsi Eszter")</f>
        <v>Mucsi Eszter</v>
      </c>
      <c r="C2555" s="1"/>
      <c r="D2555" s="1" t="str">
        <f ca="1">IFERROR(__xludf.DUMMYFUNCTION("""COMPUTED_VALUE"""),"Nő")</f>
        <v>Nő</v>
      </c>
      <c r="E2555" s="1"/>
      <c r="F2555" s="1">
        <f ca="1">IFERROR(__xludf.DUMMYFUNCTION("""COMPUTED_VALUE"""),2000)</f>
        <v>2000</v>
      </c>
      <c r="G2555" s="1">
        <f ca="1">IFERROR(__xludf.DUMMYFUNCTION("""COMPUTED_VALUE"""),2724)</f>
        <v>2724</v>
      </c>
      <c r="H2555" s="1" t="str">
        <f ca="1">IFERROR(__xludf.DUMMYFUNCTION("""COMPUTED_VALUE"""),"MTLSZ002724A16")</f>
        <v>MTLSZ002724A16</v>
      </c>
      <c r="I2555" s="2">
        <f ca="1">IFERROR(__xludf.DUMMYFUNCTION("""COMPUTED_VALUE"""),42629)</f>
        <v>42629</v>
      </c>
      <c r="J2555" s="2">
        <f ca="1">IFERROR(__xludf.DUMMYFUNCTION("""COMPUTED_VALUE"""),42993)</f>
        <v>42993</v>
      </c>
    </row>
    <row r="2556" spans="1:10" x14ac:dyDescent="0.25">
      <c r="A2556" s="1" t="str">
        <f ca="1">IFERROR(__xludf.DUMMYFUNCTION("""COMPUTED_VALUE"""),"Tisza TSE")</f>
        <v>Tisza TSE</v>
      </c>
      <c r="B2556" s="1" t="str">
        <f ca="1">IFERROR(__xludf.DUMMYFUNCTION("""COMPUTED_VALUE"""),"Németh Ágnes")</f>
        <v>Németh Ágnes</v>
      </c>
      <c r="C2556" s="1"/>
      <c r="D2556" s="1" t="str">
        <f ca="1">IFERROR(__xludf.DUMMYFUNCTION("""COMPUTED_VALUE"""),"Nő")</f>
        <v>Nő</v>
      </c>
      <c r="E2556" s="1"/>
      <c r="F2556" s="1">
        <f ca="1">IFERROR(__xludf.DUMMYFUNCTION("""COMPUTED_VALUE"""),1993)</f>
        <v>1993</v>
      </c>
      <c r="G2556" s="1">
        <f ca="1">IFERROR(__xludf.DUMMYFUNCTION("""COMPUTED_VALUE"""),2005)</f>
        <v>2005</v>
      </c>
      <c r="H2556" s="1" t="str">
        <f ca="1">IFERROR(__xludf.DUMMYFUNCTION("""COMPUTED_VALUE"""),"MTLSZ002005A16")</f>
        <v>MTLSZ002005A16</v>
      </c>
      <c r="I2556" s="2">
        <f ca="1">IFERROR(__xludf.DUMMYFUNCTION("""COMPUTED_VALUE"""),42629)</f>
        <v>42629</v>
      </c>
      <c r="J2556" s="2">
        <f ca="1">IFERROR(__xludf.DUMMYFUNCTION("""COMPUTED_VALUE"""),42993)</f>
        <v>42993</v>
      </c>
    </row>
    <row r="2557" spans="1:10" x14ac:dyDescent="0.25">
      <c r="A2557" s="1" t="str">
        <f ca="1">IFERROR(__xludf.DUMMYFUNCTION("""COMPUTED_VALUE"""),"Tisza TSE")</f>
        <v>Tisza TSE</v>
      </c>
      <c r="B2557" s="1" t="str">
        <f ca="1">IFERROR(__xludf.DUMMYFUNCTION("""COMPUTED_VALUE"""),"Sefcsik Janka")</f>
        <v>Sefcsik Janka</v>
      </c>
      <c r="C2557" s="1"/>
      <c r="D2557" s="1" t="str">
        <f ca="1">IFERROR(__xludf.DUMMYFUNCTION("""COMPUTED_VALUE"""),"Nő")</f>
        <v>Nő</v>
      </c>
      <c r="E2557" s="1"/>
      <c r="F2557" s="1">
        <f ca="1">IFERROR(__xludf.DUMMYFUNCTION("""COMPUTED_VALUE"""),2003)</f>
        <v>2003</v>
      </c>
      <c r="G2557" s="1">
        <f ca="1">IFERROR(__xludf.DUMMYFUNCTION("""COMPUTED_VALUE"""),2718)</f>
        <v>2718</v>
      </c>
      <c r="H2557" s="1" t="str">
        <f ca="1">IFERROR(__xludf.DUMMYFUNCTION("""COMPUTED_VALUE"""),"MTLSZ002718A16")</f>
        <v>MTLSZ002718A16</v>
      </c>
      <c r="I2557" s="2">
        <f ca="1">IFERROR(__xludf.DUMMYFUNCTION("""COMPUTED_VALUE"""),42629)</f>
        <v>42629</v>
      </c>
      <c r="J2557" s="2">
        <f ca="1">IFERROR(__xludf.DUMMYFUNCTION("""COMPUTED_VALUE"""),42993)</f>
        <v>42993</v>
      </c>
    </row>
    <row r="2558" spans="1:10" x14ac:dyDescent="0.25">
      <c r="A2558" s="1" t="str">
        <f ca="1">IFERROR(__xludf.DUMMYFUNCTION("""COMPUTED_VALUE"""),"Tisza TSE")</f>
        <v>Tisza TSE</v>
      </c>
      <c r="B2558" s="1" t="str">
        <f ca="1">IFERROR(__xludf.DUMMYFUNCTION("""COMPUTED_VALUE"""),"Szigeti Lili")</f>
        <v>Szigeti Lili</v>
      </c>
      <c r="C2558" s="1"/>
      <c r="D2558" s="1" t="str">
        <f ca="1">IFERROR(__xludf.DUMMYFUNCTION("""COMPUTED_VALUE"""),"Nő")</f>
        <v>Nő</v>
      </c>
      <c r="E2558" s="1"/>
      <c r="F2558" s="1">
        <f ca="1">IFERROR(__xludf.DUMMYFUNCTION("""COMPUTED_VALUE"""),2003)</f>
        <v>2003</v>
      </c>
      <c r="G2558" s="1">
        <f ca="1">IFERROR(__xludf.DUMMYFUNCTION("""COMPUTED_VALUE"""),2713)</f>
        <v>2713</v>
      </c>
      <c r="H2558" s="1" t="str">
        <f ca="1">IFERROR(__xludf.DUMMYFUNCTION("""COMPUTED_VALUE"""),"MTLSZ002713A16")</f>
        <v>MTLSZ002713A16</v>
      </c>
      <c r="I2558" s="2">
        <f ca="1">IFERROR(__xludf.DUMMYFUNCTION("""COMPUTED_VALUE"""),42629)</f>
        <v>42629</v>
      </c>
      <c r="J2558" s="2">
        <f ca="1">IFERROR(__xludf.DUMMYFUNCTION("""COMPUTED_VALUE"""),42993)</f>
        <v>42993</v>
      </c>
    </row>
    <row r="2559" spans="1:10" x14ac:dyDescent="0.25">
      <c r="A2559" s="1" t="str">
        <f ca="1">IFERROR(__xludf.DUMMYFUNCTION("""COMPUTED_VALUE"""),"Multi Alarm SE")</f>
        <v>Multi Alarm SE</v>
      </c>
      <c r="B2559" s="1" t="str">
        <f ca="1">IFERROR(__xludf.DUMMYFUNCTION("""COMPUTED_VALUE"""),"Illés Ákos")</f>
        <v>Illés Ákos</v>
      </c>
      <c r="C2559" s="1"/>
      <c r="D2559" s="1" t="str">
        <f ca="1">IFERROR(__xludf.DUMMYFUNCTION("""COMPUTED_VALUE"""),"Férfi")</f>
        <v>Férfi</v>
      </c>
      <c r="E2559" s="1"/>
      <c r="F2559" s="1">
        <f ca="1">IFERROR(__xludf.DUMMYFUNCTION("""COMPUTED_VALUE"""),2005)</f>
        <v>2005</v>
      </c>
      <c r="G2559" s="1">
        <f ca="1">IFERROR(__xludf.DUMMYFUNCTION("""COMPUTED_VALUE"""),2626)</f>
        <v>2626</v>
      </c>
      <c r="H2559" s="1" t="str">
        <f ca="1">IFERROR(__xludf.DUMMYFUNCTION("""COMPUTED_VALUE"""),"MTLSZ002626A16")</f>
        <v>MTLSZ002626A16</v>
      </c>
      <c r="I2559" s="2">
        <f ca="1">IFERROR(__xludf.DUMMYFUNCTION("""COMPUTED_VALUE"""),42626)</f>
        <v>42626</v>
      </c>
      <c r="J2559" s="2">
        <f ca="1">IFERROR(__xludf.DUMMYFUNCTION("""COMPUTED_VALUE"""),42990)</f>
        <v>42990</v>
      </c>
    </row>
    <row r="2560" spans="1:10" x14ac:dyDescent="0.25">
      <c r="A2560" s="1" t="str">
        <f ca="1">IFERROR(__xludf.DUMMYFUNCTION("""COMPUTED_VALUE"""),"Multi Alarm SE")</f>
        <v>Multi Alarm SE</v>
      </c>
      <c r="B2560" s="1" t="str">
        <f ca="1">IFERROR(__xludf.DUMMYFUNCTION("""COMPUTED_VALUE"""),"Uszléber Áron")</f>
        <v>Uszléber Áron</v>
      </c>
      <c r="C2560" s="1"/>
      <c r="D2560" s="1" t="str">
        <f ca="1">IFERROR(__xludf.DUMMYFUNCTION("""COMPUTED_VALUE"""),"Férfi")</f>
        <v>Férfi</v>
      </c>
      <c r="E2560" s="1"/>
      <c r="F2560" s="1">
        <f ca="1">IFERROR(__xludf.DUMMYFUNCTION("""COMPUTED_VALUE"""),2002)</f>
        <v>2002</v>
      </c>
      <c r="G2560" s="1">
        <f ca="1">IFERROR(__xludf.DUMMYFUNCTION("""COMPUTED_VALUE"""),2646)</f>
        <v>2646</v>
      </c>
      <c r="H2560" s="1" t="str">
        <f ca="1">IFERROR(__xludf.DUMMYFUNCTION("""COMPUTED_VALUE"""),"MTLSZ002646A16")</f>
        <v>MTLSZ002646A16</v>
      </c>
      <c r="I2560" s="2">
        <f ca="1">IFERROR(__xludf.DUMMYFUNCTION("""COMPUTED_VALUE"""),42626)</f>
        <v>42626</v>
      </c>
      <c r="J2560" s="2">
        <f ca="1">IFERROR(__xludf.DUMMYFUNCTION("""COMPUTED_VALUE"""),42990)</f>
        <v>42990</v>
      </c>
    </row>
    <row r="2561" spans="1:10" x14ac:dyDescent="0.25">
      <c r="A2561" s="1" t="str">
        <f ca="1">IFERROR(__xludf.DUMMYFUNCTION("""COMPUTED_VALUE"""),"MAFC")</f>
        <v>MAFC</v>
      </c>
      <c r="B2561" s="1" t="str">
        <f ca="1">IFERROR(__xludf.DUMMYFUNCTION("""COMPUTED_VALUE"""),"Egerer Petra Gerda")</f>
        <v>Egerer Petra Gerda</v>
      </c>
      <c r="C2561" s="1"/>
      <c r="D2561" s="1" t="str">
        <f ca="1">IFERROR(__xludf.DUMMYFUNCTION("""COMPUTED_VALUE"""),"Nő")</f>
        <v>Nő</v>
      </c>
      <c r="E2561" s="1"/>
      <c r="F2561" s="1">
        <f ca="1">IFERROR(__xludf.DUMMYFUNCTION("""COMPUTED_VALUE"""),2005)</f>
        <v>2005</v>
      </c>
      <c r="G2561" s="1">
        <f ca="1">IFERROR(__xludf.DUMMYFUNCTION("""COMPUTED_VALUE"""),2822)</f>
        <v>2822</v>
      </c>
      <c r="H2561" s="1" t="str">
        <f ca="1">IFERROR(__xludf.DUMMYFUNCTION("""COMPUTED_VALUE"""),"MTLSZ002822A16")</f>
        <v>MTLSZ002822A16</v>
      </c>
      <c r="I2561" s="2">
        <f ca="1">IFERROR(__xludf.DUMMYFUNCTION("""COMPUTED_VALUE"""),42626)</f>
        <v>42626</v>
      </c>
      <c r="J2561" s="2">
        <f ca="1">IFERROR(__xludf.DUMMYFUNCTION("""COMPUTED_VALUE"""),42990)</f>
        <v>42990</v>
      </c>
    </row>
    <row r="2562" spans="1:10" x14ac:dyDescent="0.25">
      <c r="A2562" s="1" t="str">
        <f ca="1">IFERROR(__xludf.DUMMYFUNCTION("""COMPUTED_VALUE"""),"DSC-SI")</f>
        <v>DSC-SI</v>
      </c>
      <c r="B2562" s="1" t="str">
        <f ca="1">IFERROR(__xludf.DUMMYFUNCTION("""COMPUTED_VALUE"""),"Kiss Bence")</f>
        <v>Kiss Bence</v>
      </c>
      <c r="C2562" s="1"/>
      <c r="D2562" s="1" t="str">
        <f ca="1">IFERROR(__xludf.DUMMYFUNCTION("""COMPUTED_VALUE"""),"Férfi")</f>
        <v>Férfi</v>
      </c>
      <c r="E2562" s="1"/>
      <c r="F2562" s="1">
        <f ca="1">IFERROR(__xludf.DUMMYFUNCTION("""COMPUTED_VALUE"""),2001)</f>
        <v>2001</v>
      </c>
      <c r="G2562" s="1">
        <f ca="1">IFERROR(__xludf.DUMMYFUNCTION("""COMPUTED_VALUE"""),2363)</f>
        <v>2363</v>
      </c>
      <c r="H2562" s="1" t="str">
        <f ca="1">IFERROR(__xludf.DUMMYFUNCTION("""COMPUTED_VALUE"""),"MTLSZ002363A16")</f>
        <v>MTLSZ002363A16</v>
      </c>
      <c r="I2562" s="2">
        <f ca="1">IFERROR(__xludf.DUMMYFUNCTION("""COMPUTED_VALUE"""),42621)</f>
        <v>42621</v>
      </c>
      <c r="J2562" s="2">
        <f ca="1">IFERROR(__xludf.DUMMYFUNCTION("""COMPUTED_VALUE"""),42985)</f>
        <v>42985</v>
      </c>
    </row>
    <row r="2563" spans="1:10" x14ac:dyDescent="0.25">
      <c r="A2563" s="1" t="str">
        <f ca="1">IFERROR(__xludf.DUMMYFUNCTION("""COMPUTED_VALUE"""),"DSC-SI")</f>
        <v>DSC-SI</v>
      </c>
      <c r="B2563" s="1" t="str">
        <f ca="1">IFERROR(__xludf.DUMMYFUNCTION("""COMPUTED_VALUE"""),"Varga Bianka")</f>
        <v>Varga Bianka</v>
      </c>
      <c r="C2563" s="1"/>
      <c r="D2563" s="1" t="str">
        <f ca="1">IFERROR(__xludf.DUMMYFUNCTION("""COMPUTED_VALUE"""),"Nő")</f>
        <v>Nő</v>
      </c>
      <c r="E2563" s="1"/>
      <c r="F2563" s="1">
        <f ca="1">IFERROR(__xludf.DUMMYFUNCTION("""COMPUTED_VALUE"""),2002)</f>
        <v>2002</v>
      </c>
      <c r="G2563" s="1">
        <f ca="1">IFERROR(__xludf.DUMMYFUNCTION("""COMPUTED_VALUE"""),2684)</f>
        <v>2684</v>
      </c>
      <c r="H2563" s="1" t="str">
        <f ca="1">IFERROR(__xludf.DUMMYFUNCTION("""COMPUTED_VALUE"""),"MTLSZ002684A16")</f>
        <v>MTLSZ002684A16</v>
      </c>
      <c r="I2563" s="2">
        <f ca="1">IFERROR(__xludf.DUMMYFUNCTION("""COMPUTED_VALUE"""),42621)</f>
        <v>42621</v>
      </c>
      <c r="J2563" s="2">
        <f ca="1">IFERROR(__xludf.DUMMYFUNCTION("""COMPUTED_VALUE"""),42985)</f>
        <v>42985</v>
      </c>
    </row>
    <row r="2564" spans="1:10" x14ac:dyDescent="0.25">
      <c r="A2564" s="1" t="str">
        <f ca="1">IFERROR(__xludf.DUMMYFUNCTION("""COMPUTED_VALUE"""),"DSC-SI")</f>
        <v>DSC-SI</v>
      </c>
      <c r="B2564" s="1" t="str">
        <f ca="1">IFERROR(__xludf.DUMMYFUNCTION("""COMPUTED_VALUE"""),"Varga Martin")</f>
        <v>Varga Martin</v>
      </c>
      <c r="C2564" s="1"/>
      <c r="D2564" s="1" t="str">
        <f ca="1">IFERROR(__xludf.DUMMYFUNCTION("""COMPUTED_VALUE"""),"Férfi")</f>
        <v>Férfi</v>
      </c>
      <c r="E2564" s="1"/>
      <c r="F2564" s="1">
        <f ca="1">IFERROR(__xludf.DUMMYFUNCTION("""COMPUTED_VALUE"""),1998)</f>
        <v>1998</v>
      </c>
      <c r="G2564" s="1">
        <f ca="1">IFERROR(__xludf.DUMMYFUNCTION("""COMPUTED_VALUE"""),2351)</f>
        <v>2351</v>
      </c>
      <c r="H2564" s="1" t="str">
        <f ca="1">IFERROR(__xludf.DUMMYFUNCTION("""COMPUTED_VALUE"""),"MTLSZ002351A16")</f>
        <v>MTLSZ002351A16</v>
      </c>
      <c r="I2564" s="2">
        <f ca="1">IFERROR(__xludf.DUMMYFUNCTION("""COMPUTED_VALUE"""),42621)</f>
        <v>42621</v>
      </c>
      <c r="J2564" s="2">
        <f ca="1">IFERROR(__xludf.DUMMYFUNCTION("""COMPUTED_VALUE"""),42985)</f>
        <v>42985</v>
      </c>
    </row>
    <row r="2565" spans="1:10" x14ac:dyDescent="0.25">
      <c r="A2565" s="1" t="str">
        <f ca="1">IFERROR(__xludf.DUMMYFUNCTION("""COMPUTED_VALUE"""),"Hajdú TSE")</f>
        <v>Hajdú TSE</v>
      </c>
      <c r="B2565" s="1" t="str">
        <f ca="1">IFERROR(__xludf.DUMMYFUNCTION("""COMPUTED_VALUE"""),"Farkas Virág")</f>
        <v>Farkas Virág</v>
      </c>
      <c r="C2565" s="1"/>
      <c r="D2565" s="1" t="str">
        <f ca="1">IFERROR(__xludf.DUMMYFUNCTION("""COMPUTED_VALUE"""),"Nő")</f>
        <v>Nő</v>
      </c>
      <c r="E2565" s="1"/>
      <c r="F2565" s="1">
        <f ca="1">IFERROR(__xludf.DUMMYFUNCTION("""COMPUTED_VALUE"""),1994)</f>
        <v>1994</v>
      </c>
      <c r="G2565" s="1">
        <f ca="1">IFERROR(__xludf.DUMMYFUNCTION("""COMPUTED_VALUE"""),1429)</f>
        <v>1429</v>
      </c>
      <c r="H2565" s="1" t="str">
        <f ca="1">IFERROR(__xludf.DUMMYFUNCTION("""COMPUTED_VALUE"""),"MTLSZ001429A16")</f>
        <v>MTLSZ001429A16</v>
      </c>
      <c r="I2565" s="2">
        <f ca="1">IFERROR(__xludf.DUMMYFUNCTION("""COMPUTED_VALUE"""),42621)</f>
        <v>42621</v>
      </c>
      <c r="J2565" s="2">
        <f ca="1">IFERROR(__xludf.DUMMYFUNCTION("""COMPUTED_VALUE"""),42985)</f>
        <v>42985</v>
      </c>
    </row>
    <row r="2566" spans="1:10" x14ac:dyDescent="0.25">
      <c r="A2566" s="1" t="str">
        <f ca="1">IFERROR(__xludf.DUMMYFUNCTION("""COMPUTED_VALUE"""),"Multi Alarm SE")</f>
        <v>Multi Alarm SE</v>
      </c>
      <c r="B2566" s="1" t="str">
        <f ca="1">IFERROR(__xludf.DUMMYFUNCTION("""COMPUTED_VALUE"""),"Kiss Gabriella Anna")</f>
        <v>Kiss Gabriella Anna</v>
      </c>
      <c r="C2566" s="1"/>
      <c r="D2566" s="1" t="str">
        <f ca="1">IFERROR(__xludf.DUMMYFUNCTION("""COMPUTED_VALUE"""),"Nő")</f>
        <v>Nő</v>
      </c>
      <c r="E2566" s="1"/>
      <c r="F2566" s="1">
        <f ca="1">IFERROR(__xludf.DUMMYFUNCTION("""COMPUTED_VALUE"""),1998)</f>
        <v>1998</v>
      </c>
      <c r="G2566" s="1">
        <f ca="1">IFERROR(__xludf.DUMMYFUNCTION("""COMPUTED_VALUE"""),2110)</f>
        <v>2110</v>
      </c>
      <c r="H2566" s="1" t="str">
        <f ca="1">IFERROR(__xludf.DUMMYFUNCTION("""COMPUTED_VALUE"""),"MTLSZ002110A16")</f>
        <v>MTLSZ002110A16</v>
      </c>
      <c r="I2566" s="2">
        <f ca="1">IFERROR(__xludf.DUMMYFUNCTION("""COMPUTED_VALUE"""),42620)</f>
        <v>42620</v>
      </c>
      <c r="J2566" s="2">
        <f ca="1">IFERROR(__xludf.DUMMYFUNCTION("""COMPUTED_VALUE"""),42984)</f>
        <v>42984</v>
      </c>
    </row>
    <row r="2567" spans="1:10" x14ac:dyDescent="0.25">
      <c r="A2567" s="1" t="str">
        <f ca="1">IFERROR(__xludf.DUMMYFUNCTION("""COMPUTED_VALUE"""),"Multi Alarm SE")</f>
        <v>Multi Alarm SE</v>
      </c>
      <c r="B2567" s="1" t="str">
        <f ca="1">IFERROR(__xludf.DUMMYFUNCTION("""COMPUTED_VALUE"""),"Nagy Márton")</f>
        <v>Nagy Márton</v>
      </c>
      <c r="C2567" s="1"/>
      <c r="D2567" s="1" t="str">
        <f ca="1">IFERROR(__xludf.DUMMYFUNCTION("""COMPUTED_VALUE"""),"Férfi")</f>
        <v>Férfi</v>
      </c>
      <c r="E2567" s="1"/>
      <c r="F2567" s="1">
        <f ca="1">IFERROR(__xludf.DUMMYFUNCTION("""COMPUTED_VALUE"""),2000)</f>
        <v>2000</v>
      </c>
      <c r="G2567" s="1">
        <f ca="1">IFERROR(__xludf.DUMMYFUNCTION("""COMPUTED_VALUE"""),2390)</f>
        <v>2390</v>
      </c>
      <c r="H2567" s="1" t="str">
        <f ca="1">IFERROR(__xludf.DUMMYFUNCTION("""COMPUTED_VALUE"""),"MTLSZ002390A16")</f>
        <v>MTLSZ002390A16</v>
      </c>
      <c r="I2567" s="2">
        <f ca="1">IFERROR(__xludf.DUMMYFUNCTION("""COMPUTED_VALUE"""),42620)</f>
        <v>42620</v>
      </c>
      <c r="J2567" s="2">
        <f ca="1">IFERROR(__xludf.DUMMYFUNCTION("""COMPUTED_VALUE"""),42984)</f>
        <v>42984</v>
      </c>
    </row>
    <row r="2568" spans="1:10" x14ac:dyDescent="0.25">
      <c r="A2568" s="1" t="str">
        <f ca="1">IFERROR(__xludf.DUMMYFUNCTION("""COMPUTED_VALUE"""),"Multi Alarm SE")</f>
        <v>Multi Alarm SE</v>
      </c>
      <c r="B2568" s="1" t="str">
        <f ca="1">IFERROR(__xludf.DUMMYFUNCTION("""COMPUTED_VALUE"""),"Nagy Nikolett")</f>
        <v>Nagy Nikolett</v>
      </c>
      <c r="C2568" s="1"/>
      <c r="D2568" s="1" t="str">
        <f ca="1">IFERROR(__xludf.DUMMYFUNCTION("""COMPUTED_VALUE"""),"Nő")</f>
        <v>Nő</v>
      </c>
      <c r="E2568" s="1"/>
      <c r="F2568" s="1">
        <f ca="1">IFERROR(__xludf.DUMMYFUNCTION("""COMPUTED_VALUE"""),2001)</f>
        <v>2001</v>
      </c>
      <c r="G2568" s="1">
        <f ca="1">IFERROR(__xludf.DUMMYFUNCTION("""COMPUTED_VALUE"""),2483)</f>
        <v>2483</v>
      </c>
      <c r="H2568" s="1" t="str">
        <f ca="1">IFERROR(__xludf.DUMMYFUNCTION("""COMPUTED_VALUE"""),"MTLSZ002483A16")</f>
        <v>MTLSZ002483A16</v>
      </c>
      <c r="I2568" s="2">
        <f ca="1">IFERROR(__xludf.DUMMYFUNCTION("""COMPUTED_VALUE"""),42620)</f>
        <v>42620</v>
      </c>
      <c r="J2568" s="2">
        <f ca="1">IFERROR(__xludf.DUMMYFUNCTION("""COMPUTED_VALUE"""),42984)</f>
        <v>42984</v>
      </c>
    </row>
    <row r="2569" spans="1:10" x14ac:dyDescent="0.25">
      <c r="A2569" s="1" t="str">
        <f ca="1">IFERROR(__xludf.DUMMYFUNCTION("""COMPUTED_VALUE"""),"Multi Alarm SE")</f>
        <v>Multi Alarm SE</v>
      </c>
      <c r="B2569" s="1" t="str">
        <f ca="1">IFERROR(__xludf.DUMMYFUNCTION("""COMPUTED_VALUE"""),"Takács Fanni")</f>
        <v>Takács Fanni</v>
      </c>
      <c r="C2569" s="1"/>
      <c r="D2569" s="1" t="str">
        <f ca="1">IFERROR(__xludf.DUMMYFUNCTION("""COMPUTED_VALUE"""),"Nő")</f>
        <v>Nő</v>
      </c>
      <c r="E2569" s="1"/>
      <c r="F2569" s="1">
        <f ca="1">IFERROR(__xludf.DUMMYFUNCTION("""COMPUTED_VALUE"""),1998)</f>
        <v>1998</v>
      </c>
      <c r="G2569" s="1">
        <f ca="1">IFERROR(__xludf.DUMMYFUNCTION("""COMPUTED_VALUE"""),2497)</f>
        <v>2497</v>
      </c>
      <c r="H2569" s="1" t="str">
        <f ca="1">IFERROR(__xludf.DUMMYFUNCTION("""COMPUTED_VALUE"""),"MTLSZ002497A16")</f>
        <v>MTLSZ002497A16</v>
      </c>
      <c r="I2569" s="2">
        <f ca="1">IFERROR(__xludf.DUMMYFUNCTION("""COMPUTED_VALUE"""),42620)</f>
        <v>42620</v>
      </c>
      <c r="J2569" s="2">
        <f ca="1">IFERROR(__xludf.DUMMYFUNCTION("""COMPUTED_VALUE"""),42984)</f>
        <v>42984</v>
      </c>
    </row>
    <row r="2570" spans="1:10" x14ac:dyDescent="0.25">
      <c r="A2570" s="1" t="str">
        <f ca="1">IFERROR(__xludf.DUMMYFUNCTION("""COMPUTED_VALUE"""),"Multi Alarm SE")</f>
        <v>Multi Alarm SE</v>
      </c>
      <c r="B2570" s="1" t="str">
        <f ca="1">IFERROR(__xludf.DUMMYFUNCTION("""COMPUTED_VALUE"""),"Aracsi Dániel")</f>
        <v>Aracsi Dániel</v>
      </c>
      <c r="C2570" s="1"/>
      <c r="D2570" s="1" t="str">
        <f ca="1">IFERROR(__xludf.DUMMYFUNCTION("""COMPUTED_VALUE"""),"Férfi")</f>
        <v>Férfi</v>
      </c>
      <c r="E2570" s="1"/>
      <c r="F2570" s="1">
        <f ca="1">IFERROR(__xludf.DUMMYFUNCTION("""COMPUTED_VALUE"""),2006)</f>
        <v>2006</v>
      </c>
      <c r="G2570" s="1">
        <f ca="1">IFERROR(__xludf.DUMMYFUNCTION("""COMPUTED_VALUE"""),2709)</f>
        <v>2709</v>
      </c>
      <c r="H2570" s="1" t="str">
        <f ca="1">IFERROR(__xludf.DUMMYFUNCTION("""COMPUTED_VALUE"""),"MTLSZ002709A16")</f>
        <v>MTLSZ002709A16</v>
      </c>
      <c r="I2570" s="2">
        <f ca="1">IFERROR(__xludf.DUMMYFUNCTION("""COMPUTED_VALUE"""),42619)</f>
        <v>42619</v>
      </c>
      <c r="J2570" s="2">
        <f ca="1">IFERROR(__xludf.DUMMYFUNCTION("""COMPUTED_VALUE"""),42983)</f>
        <v>42983</v>
      </c>
    </row>
    <row r="2571" spans="1:10" x14ac:dyDescent="0.25">
      <c r="A2571" s="1" t="str">
        <f ca="1">IFERROR(__xludf.DUMMYFUNCTION("""COMPUTED_VALUE"""),"Multi Alarm SE")</f>
        <v>Multi Alarm SE</v>
      </c>
      <c r="B2571" s="1" t="str">
        <f ca="1">IFERROR(__xludf.DUMMYFUNCTION("""COMPUTED_VALUE"""),"Hadi Barnabás")</f>
        <v>Hadi Barnabás</v>
      </c>
      <c r="C2571" s="1"/>
      <c r="D2571" s="1" t="str">
        <f ca="1">IFERROR(__xludf.DUMMYFUNCTION("""COMPUTED_VALUE"""),"Férfi")</f>
        <v>Férfi</v>
      </c>
      <c r="E2571" s="1"/>
      <c r="F2571" s="1">
        <f ca="1">IFERROR(__xludf.DUMMYFUNCTION("""COMPUTED_VALUE"""),2006)</f>
        <v>2006</v>
      </c>
      <c r="G2571" s="1">
        <f ca="1">IFERROR(__xludf.DUMMYFUNCTION("""COMPUTED_VALUE"""),2710)</f>
        <v>2710</v>
      </c>
      <c r="H2571" s="1" t="str">
        <f ca="1">IFERROR(__xludf.DUMMYFUNCTION("""COMPUTED_VALUE"""),"MTLSZ002710A16")</f>
        <v>MTLSZ002710A16</v>
      </c>
      <c r="I2571" s="2">
        <f ca="1">IFERROR(__xludf.DUMMYFUNCTION("""COMPUTED_VALUE"""),42619)</f>
        <v>42619</v>
      </c>
      <c r="J2571" s="2">
        <f ca="1">IFERROR(__xludf.DUMMYFUNCTION("""COMPUTED_VALUE"""),42983)</f>
        <v>42983</v>
      </c>
    </row>
    <row r="2572" spans="1:10" x14ac:dyDescent="0.25">
      <c r="A2572" s="1" t="str">
        <f ca="1">IFERROR(__xludf.DUMMYFUNCTION("""COMPUTED_VALUE"""),"Multi Alarm SE")</f>
        <v>Multi Alarm SE</v>
      </c>
      <c r="B2572" s="1" t="str">
        <f ca="1">IFERROR(__xludf.DUMMYFUNCTION("""COMPUTED_VALUE"""),"Rattasard Narong")</f>
        <v>Rattasard Narong</v>
      </c>
      <c r="C2572" s="1"/>
      <c r="D2572" s="1" t="str">
        <f ca="1">IFERROR(__xludf.DUMMYFUNCTION("""COMPUTED_VALUE"""),"Férfi")</f>
        <v>Férfi</v>
      </c>
      <c r="E2572" s="1"/>
      <c r="F2572" s="1">
        <f ca="1">IFERROR(__xludf.DUMMYFUNCTION("""COMPUTED_VALUE"""),1983)</f>
        <v>1983</v>
      </c>
      <c r="G2572" s="1">
        <f ca="1">IFERROR(__xludf.DUMMYFUNCTION("""COMPUTED_VALUE"""),2821)</f>
        <v>2821</v>
      </c>
      <c r="H2572" s="1" t="str">
        <f ca="1">IFERROR(__xludf.DUMMYFUNCTION("""COMPUTED_VALUE"""),"MTLSZ002821A16")</f>
        <v>MTLSZ002821A16</v>
      </c>
      <c r="I2572" s="2">
        <f ca="1">IFERROR(__xludf.DUMMYFUNCTION("""COMPUTED_VALUE"""),42619)</f>
        <v>42619</v>
      </c>
      <c r="J2572" s="2">
        <f ca="1">IFERROR(__xludf.DUMMYFUNCTION("""COMPUTED_VALUE"""),42983)</f>
        <v>42983</v>
      </c>
    </row>
    <row r="2573" spans="1:10" x14ac:dyDescent="0.25">
      <c r="A2573" s="1" t="str">
        <f ca="1">IFERROR(__xludf.DUMMYFUNCTION("""COMPUTED_VALUE"""),"Multi Alarm SE")</f>
        <v>Multi Alarm SE</v>
      </c>
      <c r="B2573" s="1" t="str">
        <f ca="1">IFERROR(__xludf.DUMMYFUNCTION("""COMPUTED_VALUE"""),"Zsolt Eszter")</f>
        <v>Zsolt Eszter</v>
      </c>
      <c r="C2573" s="1"/>
      <c r="D2573" s="1" t="str">
        <f ca="1">IFERROR(__xludf.DUMMYFUNCTION("""COMPUTED_VALUE"""),"Nő")</f>
        <v>Nő</v>
      </c>
      <c r="E2573" s="1"/>
      <c r="F2573" s="1">
        <f ca="1">IFERROR(__xludf.DUMMYFUNCTION("""COMPUTED_VALUE"""),1992)</f>
        <v>1992</v>
      </c>
      <c r="G2573" s="1">
        <f ca="1">IFERROR(__xludf.DUMMYFUNCTION("""COMPUTED_VALUE"""),1592)</f>
        <v>1592</v>
      </c>
      <c r="H2573" s="1" t="str">
        <f ca="1">IFERROR(__xludf.DUMMYFUNCTION("""COMPUTED_VALUE"""),"MTLSZ001592A16")</f>
        <v>MTLSZ001592A16</v>
      </c>
      <c r="I2573" s="2">
        <f ca="1">IFERROR(__xludf.DUMMYFUNCTION("""COMPUTED_VALUE"""),42619)</f>
        <v>42619</v>
      </c>
      <c r="J2573" s="2">
        <f ca="1">IFERROR(__xludf.DUMMYFUNCTION("""COMPUTED_VALUE"""),42983)</f>
        <v>42983</v>
      </c>
    </row>
    <row r="2574" spans="1:10" x14ac:dyDescent="0.25">
      <c r="A2574" s="1" t="str">
        <f ca="1">IFERROR(__xludf.DUMMYFUNCTION("""COMPUTED_VALUE"""),"Főtaxi SC")</f>
        <v>Főtaxi SC</v>
      </c>
      <c r="B2574" s="1" t="str">
        <f ca="1">IFERROR(__xludf.DUMMYFUNCTION("""COMPUTED_VALUE"""),"Nemes Csongor")</f>
        <v>Nemes Csongor</v>
      </c>
      <c r="C2574" s="1"/>
      <c r="D2574" s="1" t="str">
        <f ca="1">IFERROR(__xludf.DUMMYFUNCTION("""COMPUTED_VALUE"""),"Férfi")</f>
        <v>Férfi</v>
      </c>
      <c r="E2574" s="1"/>
      <c r="F2574" s="1">
        <f ca="1">IFERROR(__xludf.DUMMYFUNCTION("""COMPUTED_VALUE"""),1983)</f>
        <v>1983</v>
      </c>
      <c r="G2574" s="1">
        <f ca="1">IFERROR(__xludf.DUMMYFUNCTION("""COMPUTED_VALUE"""),2820)</f>
        <v>2820</v>
      </c>
      <c r="H2574" s="1" t="str">
        <f ca="1">IFERROR(__xludf.DUMMYFUNCTION("""COMPUTED_VALUE"""),"MTLSZ002820A16")</f>
        <v>MTLSZ002820A16</v>
      </c>
      <c r="I2574" s="2">
        <f ca="1">IFERROR(__xludf.DUMMYFUNCTION("""COMPUTED_VALUE"""),42517)</f>
        <v>42517</v>
      </c>
      <c r="J2574" s="2">
        <f ca="1">IFERROR(__xludf.DUMMYFUNCTION("""COMPUTED_VALUE"""),42881)</f>
        <v>42881</v>
      </c>
    </row>
    <row r="2575" spans="1:10" x14ac:dyDescent="0.25">
      <c r="A2575" s="1" t="str">
        <f ca="1">IFERROR(__xludf.DUMMYFUNCTION("""COMPUTED_VALUE"""),"Seregélyesi PDSE")</f>
        <v>Seregélyesi PDSE</v>
      </c>
      <c r="B2575" s="1" t="str">
        <f ca="1">IFERROR(__xludf.DUMMYFUNCTION("""COMPUTED_VALUE"""),"Meskál Ábel")</f>
        <v>Meskál Ábel</v>
      </c>
      <c r="C2575" s="1"/>
      <c r="D2575" s="1" t="str">
        <f ca="1">IFERROR(__xludf.DUMMYFUNCTION("""COMPUTED_VALUE"""),"Férfi")</f>
        <v>Férfi</v>
      </c>
      <c r="E2575" s="1"/>
      <c r="F2575" s="1">
        <f ca="1">IFERROR(__xludf.DUMMYFUNCTION("""COMPUTED_VALUE"""),2002)</f>
        <v>2002</v>
      </c>
      <c r="G2575" s="1">
        <f ca="1">IFERROR(__xludf.DUMMYFUNCTION("""COMPUTED_VALUE"""),2422)</f>
        <v>2422</v>
      </c>
      <c r="H2575" s="1" t="str">
        <f ca="1">IFERROR(__xludf.DUMMYFUNCTION("""COMPUTED_VALUE"""),"MTLSZ002422A16")</f>
        <v>MTLSZ002422A16</v>
      </c>
      <c r="I2575" s="2">
        <f ca="1">IFERROR(__xludf.DUMMYFUNCTION("""COMPUTED_VALUE"""),42492)</f>
        <v>42492</v>
      </c>
      <c r="J2575" s="2">
        <f ca="1">IFERROR(__xludf.DUMMYFUNCTION("""COMPUTED_VALUE"""),42856)</f>
        <v>42856</v>
      </c>
    </row>
    <row r="2576" spans="1:10" x14ac:dyDescent="0.25">
      <c r="A2576" s="1" t="str">
        <f ca="1">IFERROR(__xludf.DUMMYFUNCTION("""COMPUTED_VALUE"""),"Multi Alarm SE")</f>
        <v>Multi Alarm SE</v>
      </c>
      <c r="B2576" s="1" t="str">
        <f ca="1">IFERROR(__xludf.DUMMYFUNCTION("""COMPUTED_VALUE"""),"Bonyár Klaudia")</f>
        <v>Bonyár Klaudia</v>
      </c>
      <c r="C2576" s="1"/>
      <c r="D2576" s="1" t="str">
        <f ca="1">IFERROR(__xludf.DUMMYFUNCTION("""COMPUTED_VALUE"""),"Nő")</f>
        <v>Nő</v>
      </c>
      <c r="E2576" s="1"/>
      <c r="F2576" s="1">
        <f ca="1">IFERROR(__xludf.DUMMYFUNCTION("""COMPUTED_VALUE"""),1998)</f>
        <v>1998</v>
      </c>
      <c r="G2576" s="1">
        <f ca="1">IFERROR(__xludf.DUMMYFUNCTION("""COMPUTED_VALUE"""),2697)</f>
        <v>2697</v>
      </c>
      <c r="H2576" s="1" t="str">
        <f ca="1">IFERROR(__xludf.DUMMYFUNCTION("""COMPUTED_VALUE"""),"MTLSZ002697A16")</f>
        <v>MTLSZ002697A16</v>
      </c>
      <c r="I2576" s="2">
        <f ca="1">IFERROR(__xludf.DUMMYFUNCTION("""COMPUTED_VALUE"""),42482)</f>
        <v>42482</v>
      </c>
      <c r="J2576" s="2">
        <f ca="1">IFERROR(__xludf.DUMMYFUNCTION("""COMPUTED_VALUE"""),42846)</f>
        <v>42846</v>
      </c>
    </row>
    <row r="2577" spans="1:10" x14ac:dyDescent="0.25">
      <c r="A2577" s="1" t="str">
        <f ca="1">IFERROR(__xludf.DUMMYFUNCTION("""COMPUTED_VALUE"""),"Multi Alarm SE")</f>
        <v>Multi Alarm SE</v>
      </c>
      <c r="B2577" s="1" t="str">
        <f ca="1">IFERROR(__xludf.DUMMYFUNCTION("""COMPUTED_VALUE"""),"Körösparti Róza")</f>
        <v>Körösparti Róza</v>
      </c>
      <c r="C2577" s="1"/>
      <c r="D2577" s="1" t="str">
        <f ca="1">IFERROR(__xludf.DUMMYFUNCTION("""COMPUTED_VALUE"""),"Nő")</f>
        <v>Nő</v>
      </c>
      <c r="E2577" s="1"/>
      <c r="F2577" s="1">
        <f ca="1">IFERROR(__xludf.DUMMYFUNCTION("""COMPUTED_VALUE"""),2004)</f>
        <v>2004</v>
      </c>
      <c r="G2577" s="1">
        <f ca="1">IFERROR(__xludf.DUMMYFUNCTION("""COMPUTED_VALUE"""),2817)</f>
        <v>2817</v>
      </c>
      <c r="H2577" s="1" t="str">
        <f ca="1">IFERROR(__xludf.DUMMYFUNCTION("""COMPUTED_VALUE"""),"MTLSZ002817A16")</f>
        <v>MTLSZ002817A16</v>
      </c>
      <c r="I2577" s="2">
        <f ca="1">IFERROR(__xludf.DUMMYFUNCTION("""COMPUTED_VALUE"""),42468)</f>
        <v>42468</v>
      </c>
      <c r="J2577" s="2">
        <f ca="1">IFERROR(__xludf.DUMMYFUNCTION("""COMPUTED_VALUE"""),42832)</f>
        <v>42832</v>
      </c>
    </row>
    <row r="2578" spans="1:10" x14ac:dyDescent="0.25">
      <c r="A2578" s="1" t="str">
        <f ca="1">IFERROR(__xludf.DUMMYFUNCTION("""COMPUTED_VALUE"""),"Vízművek SK")</f>
        <v>Vízművek SK</v>
      </c>
      <c r="B2578" s="1" t="str">
        <f ca="1">IFERROR(__xludf.DUMMYFUNCTION("""COMPUTED_VALUE"""),"Megyesi János Márk")</f>
        <v>Megyesi János Márk</v>
      </c>
      <c r="C2578" s="1"/>
      <c r="D2578" s="1" t="str">
        <f ca="1">IFERROR(__xludf.DUMMYFUNCTION("""COMPUTED_VALUE"""),"Férfi")</f>
        <v>Férfi</v>
      </c>
      <c r="E2578" s="1"/>
      <c r="F2578" s="1">
        <f ca="1">IFERROR(__xludf.DUMMYFUNCTION("""COMPUTED_VALUE"""),1988)</f>
        <v>1988</v>
      </c>
      <c r="G2578" s="1">
        <f ca="1">IFERROR(__xludf.DUMMYFUNCTION("""COMPUTED_VALUE"""),631)</f>
        <v>631</v>
      </c>
      <c r="H2578" s="1" t="str">
        <f ca="1">IFERROR(__xludf.DUMMYFUNCTION("""COMPUTED_VALUE"""),"MTLSZ000631A16")</f>
        <v>MTLSZ000631A16</v>
      </c>
      <c r="I2578" s="2">
        <f ca="1">IFERROR(__xludf.DUMMYFUNCTION("""COMPUTED_VALUE"""),42453)</f>
        <v>42453</v>
      </c>
      <c r="J2578" s="2">
        <f ca="1">IFERROR(__xludf.DUMMYFUNCTION("""COMPUTED_VALUE"""),42817)</f>
        <v>42817</v>
      </c>
    </row>
    <row r="2579" spans="1:10" x14ac:dyDescent="0.25">
      <c r="A2579" s="1" t="str">
        <f ca="1">IFERROR(__xludf.DUMMYFUNCTION("""COMPUTED_VALUE"""),"FBSE")</f>
        <v>FBSE</v>
      </c>
      <c r="B2579" s="1" t="str">
        <f ca="1">IFERROR(__xludf.DUMMYFUNCTION("""COMPUTED_VALUE"""),"Sándor Réka")</f>
        <v>Sándor Réka</v>
      </c>
      <c r="C2579" s="1"/>
      <c r="D2579" s="1" t="str">
        <f ca="1">IFERROR(__xludf.DUMMYFUNCTION("""COMPUTED_VALUE"""),"Nő")</f>
        <v>Nő</v>
      </c>
      <c r="E2579" s="1"/>
      <c r="F2579" s="1">
        <f ca="1">IFERROR(__xludf.DUMMYFUNCTION("""COMPUTED_VALUE"""),1985)</f>
        <v>1985</v>
      </c>
      <c r="G2579" s="1">
        <f ca="1">IFERROR(__xludf.DUMMYFUNCTION("""COMPUTED_VALUE"""),1703)</f>
        <v>1703</v>
      </c>
      <c r="H2579" s="1" t="str">
        <f ca="1">IFERROR(__xludf.DUMMYFUNCTION("""COMPUTED_VALUE"""),"MTLSZ001703A16")</f>
        <v>MTLSZ001703A16</v>
      </c>
      <c r="I2579" s="2">
        <f ca="1">IFERROR(__xludf.DUMMYFUNCTION("""COMPUTED_VALUE"""),42451)</f>
        <v>42451</v>
      </c>
      <c r="J2579" s="2">
        <f ca="1">IFERROR(__xludf.DUMMYFUNCTION("""COMPUTED_VALUE"""),42815)</f>
        <v>42815</v>
      </c>
    </row>
    <row r="2580" spans="1:10" x14ac:dyDescent="0.25">
      <c r="A2580" s="1" t="str">
        <f ca="1">IFERROR(__xludf.DUMMYFUNCTION("""COMPUTED_VALUE"""),"OSC")</f>
        <v>OSC</v>
      </c>
      <c r="B2580" s="1" t="str">
        <f ca="1">IFERROR(__xludf.DUMMYFUNCTION("""COMPUTED_VALUE"""),"Erdős Fruzsina")</f>
        <v>Erdős Fruzsina</v>
      </c>
      <c r="C2580" s="1"/>
      <c r="D2580" s="1" t="str">
        <f ca="1">IFERROR(__xludf.DUMMYFUNCTION("""COMPUTED_VALUE"""),"Nő")</f>
        <v>Nő</v>
      </c>
      <c r="E2580" s="1"/>
      <c r="F2580" s="1">
        <f ca="1">IFERROR(__xludf.DUMMYFUNCTION("""COMPUTED_VALUE"""),2000)</f>
        <v>2000</v>
      </c>
      <c r="G2580" s="1">
        <f ca="1">IFERROR(__xludf.DUMMYFUNCTION("""COMPUTED_VALUE"""),2087)</f>
        <v>2087</v>
      </c>
      <c r="H2580" s="1" t="str">
        <f ca="1">IFERROR(__xludf.DUMMYFUNCTION("""COMPUTED_VALUE"""),"MTLSZ002087A16")</f>
        <v>MTLSZ002087A16</v>
      </c>
      <c r="I2580" s="2">
        <f ca="1">IFERROR(__xludf.DUMMYFUNCTION("""COMPUTED_VALUE"""),42425)</f>
        <v>42425</v>
      </c>
      <c r="J2580" s="2">
        <f ca="1">IFERROR(__xludf.DUMMYFUNCTION("""COMPUTED_VALUE"""),42790)</f>
        <v>42790</v>
      </c>
    </row>
    <row r="2581" spans="1:10" x14ac:dyDescent="0.25">
      <c r="A2581" s="1" t="str">
        <f ca="1">IFERROR(__xludf.DUMMYFUNCTION("""COMPUTED_VALUE"""),"OSC")</f>
        <v>OSC</v>
      </c>
      <c r="B2581" s="1" t="str">
        <f ca="1">IFERROR(__xludf.DUMMYFUNCTION("""COMPUTED_VALUE"""),"Sikari Sára")</f>
        <v>Sikari Sára</v>
      </c>
      <c r="C2581" s="1"/>
      <c r="D2581" s="1" t="str">
        <f ca="1">IFERROR(__xludf.DUMMYFUNCTION("""COMPUTED_VALUE"""),"Nő")</f>
        <v>Nő</v>
      </c>
      <c r="E2581" s="1"/>
      <c r="F2581" s="1">
        <f ca="1">IFERROR(__xludf.DUMMYFUNCTION("""COMPUTED_VALUE"""),2001)</f>
        <v>2001</v>
      </c>
      <c r="G2581" s="1">
        <f ca="1">IFERROR(__xludf.DUMMYFUNCTION("""COMPUTED_VALUE"""),2210)</f>
        <v>2210</v>
      </c>
      <c r="H2581" s="1" t="str">
        <f ca="1">IFERROR(__xludf.DUMMYFUNCTION("""COMPUTED_VALUE"""),"MTLSZ002210A16")</f>
        <v>MTLSZ002210A16</v>
      </c>
      <c r="I2581" s="2">
        <f ca="1">IFERROR(__xludf.DUMMYFUNCTION("""COMPUTED_VALUE"""),42425)</f>
        <v>42425</v>
      </c>
      <c r="J2581" s="2">
        <f ca="1">IFERROR(__xludf.DUMMYFUNCTION("""COMPUTED_VALUE"""),42790)</f>
        <v>42790</v>
      </c>
    </row>
    <row r="2582" spans="1:10" x14ac:dyDescent="0.25">
      <c r="A2582" s="1" t="str">
        <f ca="1">IFERROR(__xludf.DUMMYFUNCTION("""COMPUTED_VALUE"""),"FBSE")</f>
        <v>FBSE</v>
      </c>
      <c r="B2582" s="1" t="str">
        <f ca="1">IFERROR(__xludf.DUMMYFUNCTION("""COMPUTED_VALUE"""),"Husz Bíborka")</f>
        <v>Husz Bíborka</v>
      </c>
      <c r="C2582" s="1"/>
      <c r="D2582" s="1" t="str">
        <f ca="1">IFERROR(__xludf.DUMMYFUNCTION("""COMPUTED_VALUE"""),"Nő")</f>
        <v>Nő</v>
      </c>
      <c r="E2582" s="1"/>
      <c r="F2582" s="1">
        <f ca="1">IFERROR(__xludf.DUMMYFUNCTION("""COMPUTED_VALUE"""),2001)</f>
        <v>2001</v>
      </c>
      <c r="G2582" s="1">
        <f ca="1">IFERROR(__xludf.DUMMYFUNCTION("""COMPUTED_VALUE"""),2812)</f>
        <v>2812</v>
      </c>
      <c r="H2582" s="1" t="str">
        <f ca="1">IFERROR(__xludf.DUMMYFUNCTION("""COMPUTED_VALUE"""),"MTLSZ002812A16")</f>
        <v>MTLSZ002812A16</v>
      </c>
      <c r="I2582" s="2">
        <f ca="1">IFERROR(__xludf.DUMMYFUNCTION("""COMPUTED_VALUE"""),42423)</f>
        <v>42423</v>
      </c>
      <c r="J2582" s="2">
        <f ca="1">IFERROR(__xludf.DUMMYFUNCTION("""COMPUTED_VALUE"""),42788)</f>
        <v>42788</v>
      </c>
    </row>
    <row r="2583" spans="1:10" x14ac:dyDescent="0.25">
      <c r="A2583" s="1" t="str">
        <f ca="1">IFERROR(__xludf.DUMMYFUNCTION("""COMPUTED_VALUE"""),"Ludovika SE")</f>
        <v>Ludovika SE</v>
      </c>
      <c r="B2583" s="1" t="str">
        <f ca="1">IFERROR(__xludf.DUMMYFUNCTION("""COMPUTED_VALUE"""),"Dékány Gábor")</f>
        <v>Dékány Gábor</v>
      </c>
      <c r="C2583" s="1"/>
      <c r="D2583" s="1" t="str">
        <f ca="1">IFERROR(__xludf.DUMMYFUNCTION("""COMPUTED_VALUE"""),"Férfi")</f>
        <v>Férfi</v>
      </c>
      <c r="E2583" s="1"/>
      <c r="F2583" s="1">
        <f ca="1">IFERROR(__xludf.DUMMYFUNCTION("""COMPUTED_VALUE"""),1994)</f>
        <v>1994</v>
      </c>
      <c r="G2583" s="1">
        <f ca="1">IFERROR(__xludf.DUMMYFUNCTION("""COMPUTED_VALUE"""),2809)</f>
        <v>2809</v>
      </c>
      <c r="H2583" s="1" t="str">
        <f ca="1">IFERROR(__xludf.DUMMYFUNCTION("""COMPUTED_VALUE"""),"MTLSZ002809A16")</f>
        <v>MTLSZ002809A16</v>
      </c>
      <c r="I2583" s="2">
        <f ca="1">IFERROR(__xludf.DUMMYFUNCTION("""COMPUTED_VALUE"""),42410)</f>
        <v>42410</v>
      </c>
      <c r="J2583" s="2">
        <f ca="1">IFERROR(__xludf.DUMMYFUNCTION("""COMPUTED_VALUE"""),42775)</f>
        <v>42775</v>
      </c>
    </row>
    <row r="2584" spans="1:10" x14ac:dyDescent="0.25">
      <c r="A2584" s="1" t="str">
        <f ca="1">IFERROR(__xludf.DUMMYFUNCTION("""COMPUTED_VALUE"""),"Diaboló SE")</f>
        <v>Diaboló SE</v>
      </c>
      <c r="B2584" s="1" t="str">
        <f ca="1">IFERROR(__xludf.DUMMYFUNCTION("""COMPUTED_VALUE"""),"Dali Barbara Henrietta")</f>
        <v>Dali Barbara Henrietta</v>
      </c>
      <c r="C2584" s="1"/>
      <c r="D2584" s="1" t="str">
        <f ca="1">IFERROR(__xludf.DUMMYFUNCTION("""COMPUTED_VALUE"""),"Nő")</f>
        <v>Nő</v>
      </c>
      <c r="E2584" s="1"/>
      <c r="F2584" s="1">
        <f ca="1">IFERROR(__xludf.DUMMYFUNCTION("""COMPUTED_VALUE"""),2005)</f>
        <v>2005</v>
      </c>
      <c r="G2584" s="1">
        <f ca="1">IFERROR(__xludf.DUMMYFUNCTION("""COMPUTED_VALUE"""),2694)</f>
        <v>2694</v>
      </c>
      <c r="H2584" s="1" t="str">
        <f ca="1">IFERROR(__xludf.DUMMYFUNCTION("""COMPUTED_VALUE"""),"MTLSZ002694A16")</f>
        <v>MTLSZ002694A16</v>
      </c>
      <c r="I2584" s="2">
        <f ca="1">IFERROR(__xludf.DUMMYFUNCTION("""COMPUTED_VALUE"""),42403)</f>
        <v>42403</v>
      </c>
      <c r="J2584" s="2">
        <f ca="1">IFERROR(__xludf.DUMMYFUNCTION("""COMPUTED_VALUE"""),42768)</f>
        <v>42768</v>
      </c>
    </row>
    <row r="2585" spans="1:10" x14ac:dyDescent="0.25">
      <c r="A2585" s="1" t="str">
        <f ca="1">IFERROR(__xludf.DUMMYFUNCTION("""COMPUTED_VALUE"""),"OSC")</f>
        <v>OSC</v>
      </c>
      <c r="B2585" s="1" t="str">
        <f ca="1">IFERROR(__xludf.DUMMYFUNCTION("""COMPUTED_VALUE"""),"Horváth Antal")</f>
        <v>Horváth Antal</v>
      </c>
      <c r="C2585" s="1"/>
      <c r="D2585" s="1" t="str">
        <f ca="1">IFERROR(__xludf.DUMMYFUNCTION("""COMPUTED_VALUE"""),"Férfi")</f>
        <v>Férfi</v>
      </c>
      <c r="E2585" s="1"/>
      <c r="F2585" s="1">
        <f ca="1">IFERROR(__xludf.DUMMYFUNCTION("""COMPUTED_VALUE"""),2003)</f>
        <v>2003</v>
      </c>
      <c r="G2585" s="1">
        <f ca="1">IFERROR(__xludf.DUMMYFUNCTION("""COMPUTED_VALUE"""),2804)</f>
        <v>2804</v>
      </c>
      <c r="H2585" s="1" t="str">
        <f ca="1">IFERROR(__xludf.DUMMYFUNCTION("""COMPUTED_VALUE"""),"MTLSZ002804A16")</f>
        <v>MTLSZ002804A16</v>
      </c>
      <c r="I2585" s="2">
        <f ca="1">IFERROR(__xludf.DUMMYFUNCTION("""COMPUTED_VALUE"""),42397)</f>
        <v>42397</v>
      </c>
      <c r="J2585" s="2">
        <f ca="1">IFERROR(__xludf.DUMMYFUNCTION("""COMPUTED_VALUE"""),42762)</f>
        <v>42762</v>
      </c>
    </row>
    <row r="2586" spans="1:10" x14ac:dyDescent="0.25">
      <c r="A2586" s="1" t="str">
        <f ca="1">IFERROR(__xludf.DUMMYFUNCTION("""COMPUTED_VALUE"""),"OSC")</f>
        <v>OSC</v>
      </c>
      <c r="B2586" s="1" t="str">
        <f ca="1">IFERROR(__xludf.DUMMYFUNCTION("""COMPUTED_VALUE"""),"Révész Judit")</f>
        <v>Révész Judit</v>
      </c>
      <c r="C2586" s="1"/>
      <c r="D2586" s="1" t="str">
        <f ca="1">IFERROR(__xludf.DUMMYFUNCTION("""COMPUTED_VALUE"""),"Nő")</f>
        <v>Nő</v>
      </c>
      <c r="E2586" s="1"/>
      <c r="F2586" s="1">
        <f ca="1">IFERROR(__xludf.DUMMYFUNCTION("""COMPUTED_VALUE"""),2003)</f>
        <v>2003</v>
      </c>
      <c r="G2586" s="1">
        <f ca="1">IFERROR(__xludf.DUMMYFUNCTION("""COMPUTED_VALUE"""),2803)</f>
        <v>2803</v>
      </c>
      <c r="H2586" s="1" t="str">
        <f ca="1">IFERROR(__xludf.DUMMYFUNCTION("""COMPUTED_VALUE"""),"MTLSZ002803A16")</f>
        <v>MTLSZ002803A16</v>
      </c>
      <c r="I2586" s="2">
        <f ca="1">IFERROR(__xludf.DUMMYFUNCTION("""COMPUTED_VALUE"""),42397)</f>
        <v>42397</v>
      </c>
      <c r="J2586" s="2">
        <f ca="1">IFERROR(__xludf.DUMMYFUNCTION("""COMPUTED_VALUE"""),42762)</f>
        <v>42762</v>
      </c>
    </row>
    <row r="2587" spans="1:10" x14ac:dyDescent="0.25">
      <c r="A2587" s="1" t="str">
        <f ca="1">IFERROR(__xludf.DUMMYFUNCTION("""COMPUTED_VALUE"""),"OSC")</f>
        <v>OSC</v>
      </c>
      <c r="B2587" s="1" t="str">
        <f ca="1">IFERROR(__xludf.DUMMYFUNCTION("""COMPUTED_VALUE"""),"Tihanyi Zita")</f>
        <v>Tihanyi Zita</v>
      </c>
      <c r="C2587" s="1"/>
      <c r="D2587" s="1" t="str">
        <f ca="1">IFERROR(__xludf.DUMMYFUNCTION("""COMPUTED_VALUE"""),"Nő")</f>
        <v>Nő</v>
      </c>
      <c r="E2587" s="1"/>
      <c r="F2587" s="1">
        <f ca="1">IFERROR(__xludf.DUMMYFUNCTION("""COMPUTED_VALUE"""),2003)</f>
        <v>2003</v>
      </c>
      <c r="G2587" s="1">
        <f ca="1">IFERROR(__xludf.DUMMYFUNCTION("""COMPUTED_VALUE"""),2802)</f>
        <v>2802</v>
      </c>
      <c r="H2587" s="1" t="str">
        <f ca="1">IFERROR(__xludf.DUMMYFUNCTION("""COMPUTED_VALUE"""),"MTLSZ002802A16")</f>
        <v>MTLSZ002802A16</v>
      </c>
      <c r="I2587" s="2">
        <f ca="1">IFERROR(__xludf.DUMMYFUNCTION("""COMPUTED_VALUE"""),42397)</f>
        <v>42397</v>
      </c>
      <c r="J2587" s="2">
        <f ca="1">IFERROR(__xludf.DUMMYFUNCTION("""COMPUTED_VALUE"""),42762)</f>
        <v>42762</v>
      </c>
    </row>
    <row r="2588" spans="1:10" x14ac:dyDescent="0.25">
      <c r="A2588" s="1" t="str">
        <f ca="1">IFERROR(__xludf.DUMMYFUNCTION("""COMPUTED_VALUE"""),"T(r)ollas SE")</f>
        <v>T(r)ollas SE</v>
      </c>
      <c r="B2588" s="1" t="str">
        <f ca="1">IFERROR(__xludf.DUMMYFUNCTION("""COMPUTED_VALUE"""),"Biszak Botond")</f>
        <v>Biszak Botond</v>
      </c>
      <c r="C2588" s="1"/>
      <c r="D2588" s="1" t="str">
        <f ca="1">IFERROR(__xludf.DUMMYFUNCTION("""COMPUTED_VALUE"""),"Férfi")</f>
        <v>Férfi</v>
      </c>
      <c r="E2588" s="1"/>
      <c r="F2588" s="1">
        <f ca="1">IFERROR(__xludf.DUMMYFUNCTION("""COMPUTED_VALUE"""),2006)</f>
        <v>2006</v>
      </c>
      <c r="G2588" s="1">
        <f ca="1">IFERROR(__xludf.DUMMYFUNCTION("""COMPUTED_VALUE"""),2805)</f>
        <v>2805</v>
      </c>
      <c r="H2588" s="1" t="str">
        <f ca="1">IFERROR(__xludf.DUMMYFUNCTION("""COMPUTED_VALUE"""),"MTLSZ002805A16")</f>
        <v>MTLSZ002805A16</v>
      </c>
      <c r="I2588" s="2">
        <f ca="1">IFERROR(__xludf.DUMMYFUNCTION("""COMPUTED_VALUE"""),42397)</f>
        <v>42397</v>
      </c>
      <c r="J2588" s="2">
        <f ca="1">IFERROR(__xludf.DUMMYFUNCTION("""COMPUTED_VALUE"""),42762)</f>
        <v>42762</v>
      </c>
    </row>
    <row r="2589" spans="1:10" x14ac:dyDescent="0.25">
      <c r="A2589" s="1" t="str">
        <f ca="1">IFERROR(__xludf.DUMMYFUNCTION("""COMPUTED_VALUE"""),"Danubius KSE")</f>
        <v>Danubius KSE</v>
      </c>
      <c r="B2589" s="1" t="str">
        <f ca="1">IFERROR(__xludf.DUMMYFUNCTION("""COMPUTED_VALUE"""),"Fekete Gabriella")</f>
        <v>Fekete Gabriella</v>
      </c>
      <c r="C2589" s="1"/>
      <c r="D2589" s="1" t="str">
        <f ca="1">IFERROR(__xludf.DUMMYFUNCTION("""COMPUTED_VALUE"""),"Nő")</f>
        <v>Nő</v>
      </c>
      <c r="E2589" s="1"/>
      <c r="F2589" s="1">
        <f ca="1">IFERROR(__xludf.DUMMYFUNCTION("""COMPUTED_VALUE"""),1992)</f>
        <v>1992</v>
      </c>
      <c r="G2589" s="1">
        <f ca="1">IFERROR(__xludf.DUMMYFUNCTION("""COMPUTED_VALUE"""),1613)</f>
        <v>1613</v>
      </c>
      <c r="H2589" s="1" t="str">
        <f ca="1">IFERROR(__xludf.DUMMYFUNCTION("""COMPUTED_VALUE"""),"MTLSZ001613A16")</f>
        <v>MTLSZ001613A16</v>
      </c>
      <c r="I2589" s="2">
        <f ca="1">IFERROR(__xludf.DUMMYFUNCTION("""COMPUTED_VALUE"""),42395)</f>
        <v>42395</v>
      </c>
      <c r="J2589" s="2">
        <f ca="1">IFERROR(__xludf.DUMMYFUNCTION("""COMPUTED_VALUE"""),42760)</f>
        <v>42760</v>
      </c>
    </row>
    <row r="2590" spans="1:10" x14ac:dyDescent="0.25">
      <c r="A2590" s="1" t="str">
        <f ca="1">IFERROR(__xludf.DUMMYFUNCTION("""COMPUTED_VALUE"""),"OSC")</f>
        <v>OSC</v>
      </c>
      <c r="B2590" s="1" t="str">
        <f ca="1">IFERROR(__xludf.DUMMYFUNCTION("""COMPUTED_VALUE"""),"Varga Melinda")</f>
        <v>Varga Melinda</v>
      </c>
      <c r="C2590" s="1"/>
      <c r="D2590" s="1" t="str">
        <f ca="1">IFERROR(__xludf.DUMMYFUNCTION("""COMPUTED_VALUE"""),"Nő")</f>
        <v>Nő</v>
      </c>
      <c r="E2590" s="1"/>
      <c r="F2590" s="1">
        <f ca="1">IFERROR(__xludf.DUMMYFUNCTION("""COMPUTED_VALUE"""),2002)</f>
        <v>2002</v>
      </c>
      <c r="G2590" s="1">
        <f ca="1">IFERROR(__xludf.DUMMYFUNCTION("""COMPUTED_VALUE"""),2792)</f>
        <v>2792</v>
      </c>
      <c r="H2590" s="1" t="str">
        <f ca="1">IFERROR(__xludf.DUMMYFUNCTION("""COMPUTED_VALUE"""),"MTLSZ002792A16")</f>
        <v>MTLSZ002792A16</v>
      </c>
      <c r="I2590" s="2">
        <f ca="1">IFERROR(__xludf.DUMMYFUNCTION("""COMPUTED_VALUE"""),42382)</f>
        <v>42382</v>
      </c>
      <c r="J2590" s="2">
        <f ca="1">IFERROR(__xludf.DUMMYFUNCTION("""COMPUTED_VALUE"""),42747)</f>
        <v>42747</v>
      </c>
    </row>
    <row r="2591" spans="1:10" x14ac:dyDescent="0.25">
      <c r="A2591" s="1" t="str">
        <f ca="1">IFERROR(__xludf.DUMMYFUNCTION("""COMPUTED_VALUE"""),"OSC")</f>
        <v>OSC</v>
      </c>
      <c r="B2591" s="1" t="str">
        <f ca="1">IFERROR(__xludf.DUMMYFUNCTION("""COMPUTED_VALUE"""),"Dudás Bálint")</f>
        <v>Dudás Bálint</v>
      </c>
      <c r="C2591" s="1"/>
      <c r="D2591" s="1" t="str">
        <f ca="1">IFERROR(__xludf.DUMMYFUNCTION("""COMPUTED_VALUE"""),"Férfi")</f>
        <v>Férfi</v>
      </c>
      <c r="E2591" s="1"/>
      <c r="F2591" s="1">
        <f ca="1">IFERROR(__xludf.DUMMYFUNCTION("""COMPUTED_VALUE"""),1998)</f>
        <v>1998</v>
      </c>
      <c r="G2591" s="1">
        <f ca="1">IFERROR(__xludf.DUMMYFUNCTION("""COMPUTED_VALUE"""),1892)</f>
        <v>1892</v>
      </c>
      <c r="H2591" s="1" t="str">
        <f ca="1">IFERROR(__xludf.DUMMYFUNCTION("""COMPUTED_VALUE"""),"MTLSZ001892A16")</f>
        <v>MTLSZ001892A16</v>
      </c>
      <c r="I2591" s="2">
        <f ca="1">IFERROR(__xludf.DUMMYFUNCTION("""COMPUTED_VALUE"""),42376)</f>
        <v>42376</v>
      </c>
      <c r="J2591" s="2">
        <f ca="1">IFERROR(__xludf.DUMMYFUNCTION("""COMPUTED_VALUE"""),42741)</f>
        <v>42741</v>
      </c>
    </row>
    <row r="2592" spans="1:10" x14ac:dyDescent="0.25">
      <c r="A2592" s="1" t="str">
        <f ca="1">IFERROR(__xludf.DUMMYFUNCTION("""COMPUTED_VALUE"""),"DSK")</f>
        <v>DSK</v>
      </c>
      <c r="B2592" s="1" t="str">
        <f ca="1">IFERROR(__xludf.DUMMYFUNCTION("""COMPUTED_VALUE"""),"Ádám Anna")</f>
        <v>Ádám Anna</v>
      </c>
      <c r="C2592" s="1"/>
      <c r="D2592" s="1" t="str">
        <f ca="1">IFERROR(__xludf.DUMMYFUNCTION("""COMPUTED_VALUE"""),"Nő")</f>
        <v>Nő</v>
      </c>
      <c r="E2592" s="1"/>
      <c r="F2592" s="1">
        <f ca="1">IFERROR(__xludf.DUMMYFUNCTION("""COMPUTED_VALUE"""),1993)</f>
        <v>1993</v>
      </c>
      <c r="G2592" s="1">
        <f ca="1">IFERROR(__xludf.DUMMYFUNCTION("""COMPUTED_VALUE"""),1204)</f>
        <v>1204</v>
      </c>
      <c r="H2592" s="1" t="str">
        <f ca="1">IFERROR(__xludf.DUMMYFUNCTION("""COMPUTED_VALUE"""),"MTLSZ001204A16")</f>
        <v>MTLSZ001204A16</v>
      </c>
      <c r="I2592" s="2">
        <f ca="1">IFERROR(__xludf.DUMMYFUNCTION("""COMPUTED_VALUE"""),42375)</f>
        <v>42375</v>
      </c>
      <c r="J2592" s="2">
        <f ca="1">IFERROR(__xludf.DUMMYFUNCTION("""COMPUTED_VALUE"""),42740)</f>
        <v>42740</v>
      </c>
    </row>
    <row r="2593" spans="1:10" x14ac:dyDescent="0.25">
      <c r="A2593" s="1" t="str">
        <f ca="1">IFERROR(__xludf.DUMMYFUNCTION("""COMPUTED_VALUE"""),"BEAC")</f>
        <v>BEAC</v>
      </c>
      <c r="B2593" s="1" t="str">
        <f ca="1">IFERROR(__xludf.DUMMYFUNCTION("""COMPUTED_VALUE"""),"Auer Patricia")</f>
        <v>Auer Patricia</v>
      </c>
      <c r="C2593" s="1"/>
      <c r="D2593" s="1" t="str">
        <f ca="1">IFERROR(__xludf.DUMMYFUNCTION("""COMPUTED_VALUE"""),"Nő")</f>
        <v>Nő</v>
      </c>
      <c r="E2593" s="1"/>
      <c r="F2593" s="1">
        <f ca="1">IFERROR(__xludf.DUMMYFUNCTION("""COMPUTED_VALUE"""),1989)</f>
        <v>1989</v>
      </c>
      <c r="G2593" s="1">
        <f ca="1">IFERROR(__xludf.DUMMYFUNCTION("""COMPUTED_VALUE"""),22)</f>
        <v>22</v>
      </c>
      <c r="H2593" s="1" t="str">
        <f ca="1">IFERROR(__xludf.DUMMYFUNCTION("""COMPUTED_VALUE"""),"MTLSZ000022A15")</f>
        <v>MTLSZ000022A15</v>
      </c>
      <c r="I2593" s="2">
        <f ca="1">IFERROR(__xludf.DUMMYFUNCTION("""COMPUTED_VALUE"""),42355)</f>
        <v>42355</v>
      </c>
      <c r="J2593" s="2">
        <f ca="1">IFERROR(__xludf.DUMMYFUNCTION("""COMPUTED_VALUE"""),42720)</f>
        <v>42720</v>
      </c>
    </row>
    <row r="2594" spans="1:10" x14ac:dyDescent="0.25">
      <c r="A2594" s="1" t="str">
        <f ca="1">IFERROR(__xludf.DUMMYFUNCTION("""COMPUTED_VALUE"""),"BEAC")</f>
        <v>BEAC</v>
      </c>
      <c r="B2594" s="1" t="str">
        <f ca="1">IFERROR(__xludf.DUMMYFUNCTION("""COMPUTED_VALUE"""),"Mihalik Petra")</f>
        <v>Mihalik Petra</v>
      </c>
      <c r="C2594" s="1"/>
      <c r="D2594" s="1" t="str">
        <f ca="1">IFERROR(__xludf.DUMMYFUNCTION("""COMPUTED_VALUE"""),"Nő")</f>
        <v>Nő</v>
      </c>
      <c r="E2594" s="1"/>
      <c r="F2594" s="1">
        <f ca="1">IFERROR(__xludf.DUMMYFUNCTION("""COMPUTED_VALUE"""),1984)</f>
        <v>1984</v>
      </c>
      <c r="G2594" s="1">
        <f ca="1">IFERROR(__xludf.DUMMYFUNCTION("""COMPUTED_VALUE"""),644)</f>
        <v>644</v>
      </c>
      <c r="H2594" s="1" t="str">
        <f ca="1">IFERROR(__xludf.DUMMYFUNCTION("""COMPUTED_VALUE"""),"MTLSZ000644A15")</f>
        <v>MTLSZ000644A15</v>
      </c>
      <c r="I2594" s="2">
        <f ca="1">IFERROR(__xludf.DUMMYFUNCTION("""COMPUTED_VALUE"""),42355)</f>
        <v>42355</v>
      </c>
      <c r="J2594" s="2">
        <f ca="1">IFERROR(__xludf.DUMMYFUNCTION("""COMPUTED_VALUE"""),42720)</f>
        <v>42720</v>
      </c>
    </row>
    <row r="2595" spans="1:10" x14ac:dyDescent="0.25">
      <c r="A2595" s="1" t="str">
        <f ca="1">IFERROR(__xludf.DUMMYFUNCTION("""COMPUTED_VALUE"""),"BEAC")</f>
        <v>BEAC</v>
      </c>
      <c r="B2595" s="1" t="str">
        <f ca="1">IFERROR(__xludf.DUMMYFUNCTION("""COMPUTED_VALUE"""),"Szabó Lehel")</f>
        <v>Szabó Lehel</v>
      </c>
      <c r="C2595" s="1"/>
      <c r="D2595" s="1" t="str">
        <f ca="1">IFERROR(__xludf.DUMMYFUNCTION("""COMPUTED_VALUE"""),"Férfi")</f>
        <v>Férfi</v>
      </c>
      <c r="E2595" s="1"/>
      <c r="F2595" s="1">
        <f ca="1">IFERROR(__xludf.DUMMYFUNCTION("""COMPUTED_VALUE"""),1973)</f>
        <v>1973</v>
      </c>
      <c r="G2595" s="1">
        <f ca="1">IFERROR(__xludf.DUMMYFUNCTION("""COMPUTED_VALUE"""),897)</f>
        <v>897</v>
      </c>
      <c r="H2595" s="1" t="str">
        <f ca="1">IFERROR(__xludf.DUMMYFUNCTION("""COMPUTED_VALUE"""),"MTLSZ000897A15")</f>
        <v>MTLSZ000897A15</v>
      </c>
      <c r="I2595" s="2">
        <f ca="1">IFERROR(__xludf.DUMMYFUNCTION("""COMPUTED_VALUE"""),42355)</f>
        <v>42355</v>
      </c>
      <c r="J2595" s="2">
        <f ca="1">IFERROR(__xludf.DUMMYFUNCTION("""COMPUTED_VALUE"""),42720)</f>
        <v>42720</v>
      </c>
    </row>
    <row r="2596" spans="1:10" x14ac:dyDescent="0.25">
      <c r="A2596" s="1" t="str">
        <f ca="1">IFERROR(__xludf.DUMMYFUNCTION("""COMPUTED_VALUE"""),"BEAC")</f>
        <v>BEAC</v>
      </c>
      <c r="B2596" s="1" t="str">
        <f ca="1">IFERROR(__xludf.DUMMYFUNCTION("""COMPUTED_VALUE"""),"Szombati Szilvia")</f>
        <v>Szombati Szilvia</v>
      </c>
      <c r="C2596" s="1"/>
      <c r="D2596" s="1" t="str">
        <f ca="1">IFERROR(__xludf.DUMMYFUNCTION("""COMPUTED_VALUE"""),"Nő")</f>
        <v>Nő</v>
      </c>
      <c r="E2596" s="1"/>
      <c r="F2596" s="1">
        <f ca="1">IFERROR(__xludf.DUMMYFUNCTION("""COMPUTED_VALUE"""),1977)</f>
        <v>1977</v>
      </c>
      <c r="G2596" s="1">
        <f ca="1">IFERROR(__xludf.DUMMYFUNCTION("""COMPUTED_VALUE"""),970)</f>
        <v>970</v>
      </c>
      <c r="H2596" s="1" t="str">
        <f ca="1">IFERROR(__xludf.DUMMYFUNCTION("""COMPUTED_VALUE"""),"MTLSZ000970A15")</f>
        <v>MTLSZ000970A15</v>
      </c>
      <c r="I2596" s="2">
        <f ca="1">IFERROR(__xludf.DUMMYFUNCTION("""COMPUTED_VALUE"""),42355)</f>
        <v>42355</v>
      </c>
      <c r="J2596" s="2">
        <f ca="1">IFERROR(__xludf.DUMMYFUNCTION("""COMPUTED_VALUE"""),42720)</f>
        <v>42720</v>
      </c>
    </row>
    <row r="2597" spans="1:10" x14ac:dyDescent="0.25">
      <c r="A2597" s="1" t="str">
        <f ca="1">IFERROR(__xludf.DUMMYFUNCTION("""COMPUTED_VALUE"""),"BEAC")</f>
        <v>BEAC</v>
      </c>
      <c r="B2597" s="1" t="str">
        <f ca="1">IFERROR(__xludf.DUMMYFUNCTION("""COMPUTED_VALUE"""),"Vajda Kristóf")</f>
        <v>Vajda Kristóf</v>
      </c>
      <c r="C2597" s="1"/>
      <c r="D2597" s="1" t="str">
        <f ca="1">IFERROR(__xludf.DUMMYFUNCTION("""COMPUTED_VALUE"""),"Férfi")</f>
        <v>Férfi</v>
      </c>
      <c r="E2597" s="1"/>
      <c r="F2597" s="1">
        <f ca="1">IFERROR(__xludf.DUMMYFUNCTION("""COMPUTED_VALUE"""),2000)</f>
        <v>2000</v>
      </c>
      <c r="G2597" s="1">
        <f ca="1">IFERROR(__xludf.DUMMYFUNCTION("""COMPUTED_VALUE"""),2541)</f>
        <v>2541</v>
      </c>
      <c r="H2597" s="1" t="str">
        <f ca="1">IFERROR(__xludf.DUMMYFUNCTION("""COMPUTED_VALUE"""),"MTLSZ002541A15")</f>
        <v>MTLSZ002541A15</v>
      </c>
      <c r="I2597" s="2">
        <f ca="1">IFERROR(__xludf.DUMMYFUNCTION("""COMPUTED_VALUE"""),42355)</f>
        <v>42355</v>
      </c>
      <c r="J2597" s="2">
        <f ca="1">IFERROR(__xludf.DUMMYFUNCTION("""COMPUTED_VALUE"""),42720)</f>
        <v>42720</v>
      </c>
    </row>
    <row r="2598" spans="1:10" x14ac:dyDescent="0.25">
      <c r="A2598" s="1" t="str">
        <f ca="1">IFERROR(__xludf.DUMMYFUNCTION("""COMPUTED_VALUE"""),"OSC")</f>
        <v>OSC</v>
      </c>
      <c r="B2598" s="1" t="str">
        <f ca="1">IFERROR(__xludf.DUMMYFUNCTION("""COMPUTED_VALUE"""),"Károlyi Angéla")</f>
        <v>Károlyi Angéla</v>
      </c>
      <c r="C2598" s="1"/>
      <c r="D2598" s="1" t="str">
        <f ca="1">IFERROR(__xludf.DUMMYFUNCTION("""COMPUTED_VALUE"""),"Nő")</f>
        <v>Nő</v>
      </c>
      <c r="E2598" s="1"/>
      <c r="F2598" s="1">
        <f ca="1">IFERROR(__xludf.DUMMYFUNCTION("""COMPUTED_VALUE"""),1999)</f>
        <v>1999</v>
      </c>
      <c r="G2598" s="1">
        <f ca="1">IFERROR(__xludf.DUMMYFUNCTION("""COMPUTED_VALUE"""),2431)</f>
        <v>2431</v>
      </c>
      <c r="H2598" s="1" t="str">
        <f ca="1">IFERROR(__xludf.DUMMYFUNCTION("""COMPUTED_VALUE"""),"MTLSZ002431A15")</f>
        <v>MTLSZ002431A15</v>
      </c>
      <c r="I2598" s="2">
        <f ca="1">IFERROR(__xludf.DUMMYFUNCTION("""COMPUTED_VALUE"""),42341)</f>
        <v>42341</v>
      </c>
      <c r="J2598" s="2">
        <f ca="1">IFERROR(__xludf.DUMMYFUNCTION("""COMPUTED_VALUE"""),42706)</f>
        <v>42706</v>
      </c>
    </row>
    <row r="2599" spans="1:10" x14ac:dyDescent="0.25">
      <c r="A2599" s="1" t="str">
        <f ca="1">IFERROR(__xludf.DUMMYFUNCTION("""COMPUTED_VALUE"""),"BTBK")</f>
        <v>BTBK</v>
      </c>
      <c r="B2599" s="1" t="str">
        <f ca="1">IFERROR(__xludf.DUMMYFUNCTION("""COMPUTED_VALUE"""),"Botta Melinda")</f>
        <v>Botta Melinda</v>
      </c>
      <c r="C2599" s="1"/>
      <c r="D2599" s="1" t="str">
        <f ca="1">IFERROR(__xludf.DUMMYFUNCTION("""COMPUTED_VALUE"""),"Nő")</f>
        <v>Nő</v>
      </c>
      <c r="E2599" s="1"/>
      <c r="F2599" s="1">
        <f ca="1">IFERROR(__xludf.DUMMYFUNCTION("""COMPUTED_VALUE"""),1962)</f>
        <v>1962</v>
      </c>
      <c r="G2599" s="1">
        <f ca="1">IFERROR(__xludf.DUMMYFUNCTION("""COMPUTED_VALUE"""),2180)</f>
        <v>2180</v>
      </c>
      <c r="H2599" s="1" t="str">
        <f ca="1">IFERROR(__xludf.DUMMYFUNCTION("""COMPUTED_VALUE"""),"MTLSZ002180A15")</f>
        <v>MTLSZ002180A15</v>
      </c>
      <c r="I2599" s="2">
        <f ca="1">IFERROR(__xludf.DUMMYFUNCTION("""COMPUTED_VALUE"""),42327)</f>
        <v>42327</v>
      </c>
      <c r="J2599" s="2">
        <f ca="1">IFERROR(__xludf.DUMMYFUNCTION("""COMPUTED_VALUE"""),42692)</f>
        <v>42692</v>
      </c>
    </row>
    <row r="2600" spans="1:10" x14ac:dyDescent="0.25">
      <c r="A2600" s="1" t="str">
        <f ca="1">IFERROR(__xludf.DUMMYFUNCTION("""COMPUTED_VALUE"""),"BTBK")</f>
        <v>BTBK</v>
      </c>
      <c r="B2600" s="1" t="str">
        <f ca="1">IFERROR(__xludf.DUMMYFUNCTION("""COMPUTED_VALUE"""),"Gál Edit")</f>
        <v>Gál Edit</v>
      </c>
      <c r="C2600" s="1"/>
      <c r="D2600" s="1" t="str">
        <f ca="1">IFERROR(__xludf.DUMMYFUNCTION("""COMPUTED_VALUE"""),"Nő")</f>
        <v>Nő</v>
      </c>
      <c r="E2600" s="1"/>
      <c r="F2600" s="1">
        <f ca="1">IFERROR(__xludf.DUMMYFUNCTION("""COMPUTED_VALUE"""),1971)</f>
        <v>1971</v>
      </c>
      <c r="G2600" s="1">
        <f ca="1">IFERROR(__xludf.DUMMYFUNCTION("""COMPUTED_VALUE"""),748)</f>
        <v>748</v>
      </c>
      <c r="H2600" s="1" t="str">
        <f ca="1">IFERROR(__xludf.DUMMYFUNCTION("""COMPUTED_VALUE"""),"MTLSZ000748A15")</f>
        <v>MTLSZ000748A15</v>
      </c>
      <c r="I2600" s="2">
        <f ca="1">IFERROR(__xludf.DUMMYFUNCTION("""COMPUTED_VALUE"""),42327)</f>
        <v>42327</v>
      </c>
      <c r="J2600" s="2">
        <f ca="1">IFERROR(__xludf.DUMMYFUNCTION("""COMPUTED_VALUE"""),42692)</f>
        <v>42692</v>
      </c>
    </row>
    <row r="2601" spans="1:10" x14ac:dyDescent="0.25">
      <c r="A2601" s="1" t="str">
        <f ca="1">IFERROR(__xludf.DUMMYFUNCTION("""COMPUTED_VALUE"""),"BTBK")</f>
        <v>BTBK</v>
      </c>
      <c r="B2601" s="1" t="str">
        <f ca="1">IFERROR(__xludf.DUMMYFUNCTION("""COMPUTED_VALUE"""),"Hoffmann Rudolf")</f>
        <v>Hoffmann Rudolf</v>
      </c>
      <c r="C2601" s="1"/>
      <c r="D2601" s="1" t="str">
        <f ca="1">IFERROR(__xludf.DUMMYFUNCTION("""COMPUTED_VALUE"""),"Férfi")</f>
        <v>Férfi</v>
      </c>
      <c r="E2601" s="1"/>
      <c r="F2601" s="1">
        <f ca="1">IFERROR(__xludf.DUMMYFUNCTION("""COMPUTED_VALUE"""),1959)</f>
        <v>1959</v>
      </c>
      <c r="G2601" s="1">
        <f ca="1">IFERROR(__xludf.DUMMYFUNCTION("""COMPUTED_VALUE"""),360)</f>
        <v>360</v>
      </c>
      <c r="H2601" s="1" t="str">
        <f ca="1">IFERROR(__xludf.DUMMYFUNCTION("""COMPUTED_VALUE"""),"MTLSZ000360A15")</f>
        <v>MTLSZ000360A15</v>
      </c>
      <c r="I2601" s="2">
        <f ca="1">IFERROR(__xludf.DUMMYFUNCTION("""COMPUTED_VALUE"""),42327)</f>
        <v>42327</v>
      </c>
      <c r="J2601" s="2">
        <f ca="1">IFERROR(__xludf.DUMMYFUNCTION("""COMPUTED_VALUE"""),42692)</f>
        <v>42692</v>
      </c>
    </row>
    <row r="2602" spans="1:10" x14ac:dyDescent="0.25">
      <c r="A2602" s="1" t="str">
        <f ca="1">IFERROR(__xludf.DUMMYFUNCTION("""COMPUTED_VALUE"""),"DSC-SI")</f>
        <v>DSC-SI</v>
      </c>
      <c r="B2602" s="1" t="str">
        <f ca="1">IFERROR(__xludf.DUMMYFUNCTION("""COMPUTED_VALUE"""),"Tóthné Szabó Gabriella")</f>
        <v>Tóthné Szabó Gabriella</v>
      </c>
      <c r="C2602" s="1"/>
      <c r="D2602" s="1" t="str">
        <f ca="1">IFERROR(__xludf.DUMMYFUNCTION("""COMPUTED_VALUE"""),"Nő")</f>
        <v>Nő</v>
      </c>
      <c r="E2602" s="1"/>
      <c r="F2602" s="1">
        <f ca="1">IFERROR(__xludf.DUMMYFUNCTION("""COMPUTED_VALUE"""),1972)</f>
        <v>1972</v>
      </c>
      <c r="G2602" s="1">
        <f ca="1">IFERROR(__xludf.DUMMYFUNCTION("""COMPUTED_VALUE"""),2452)</f>
        <v>2452</v>
      </c>
      <c r="H2602" s="1" t="str">
        <f ca="1">IFERROR(__xludf.DUMMYFUNCTION("""COMPUTED_VALUE"""),"MTLSZ002452A15")</f>
        <v>MTLSZ002452A15</v>
      </c>
      <c r="I2602" s="2">
        <f ca="1">IFERROR(__xludf.DUMMYFUNCTION("""COMPUTED_VALUE"""),42327)</f>
        <v>42327</v>
      </c>
      <c r="J2602" s="2">
        <f ca="1">IFERROR(__xludf.DUMMYFUNCTION("""COMPUTED_VALUE"""),42692)</f>
        <v>42692</v>
      </c>
    </row>
    <row r="2603" spans="1:10" x14ac:dyDescent="0.25">
      <c r="A2603" s="1" t="str">
        <f ca="1">IFERROR(__xludf.DUMMYFUNCTION("""COMPUTED_VALUE"""),"Érdi VSE")</f>
        <v>Érdi VSE</v>
      </c>
      <c r="B2603" s="1" t="str">
        <f ca="1">IFERROR(__xludf.DUMMYFUNCTION("""COMPUTED_VALUE"""),"Tornai Tibor")</f>
        <v>Tornai Tibor</v>
      </c>
      <c r="C2603" s="1"/>
      <c r="D2603" s="1" t="str">
        <f ca="1">IFERROR(__xludf.DUMMYFUNCTION("""COMPUTED_VALUE"""),"Férfi")</f>
        <v>Férfi</v>
      </c>
      <c r="E2603" s="1"/>
      <c r="F2603" s="1">
        <f ca="1">IFERROR(__xludf.DUMMYFUNCTION("""COMPUTED_VALUE"""),1968)</f>
        <v>1968</v>
      </c>
      <c r="G2603" s="1">
        <f ca="1">IFERROR(__xludf.DUMMYFUNCTION("""COMPUTED_VALUE"""),2114)</f>
        <v>2114</v>
      </c>
      <c r="H2603" s="1" t="str">
        <f ca="1">IFERROR(__xludf.DUMMYFUNCTION("""COMPUTED_VALUE"""),"MTLSZ002114A15")</f>
        <v>MTLSZ002114A15</v>
      </c>
      <c r="I2603" s="2">
        <f ca="1">IFERROR(__xludf.DUMMYFUNCTION("""COMPUTED_VALUE"""),42327)</f>
        <v>42327</v>
      </c>
      <c r="J2603" s="2">
        <f ca="1">IFERROR(__xludf.DUMMYFUNCTION("""COMPUTED_VALUE"""),42692)</f>
        <v>42692</v>
      </c>
    </row>
    <row r="2604" spans="1:10" x14ac:dyDescent="0.25">
      <c r="A2604" s="1" t="str">
        <f ca="1">IFERROR(__xludf.DUMMYFUNCTION("""COMPUTED_VALUE"""),"Vízművek SK")</f>
        <v>Vízművek SK</v>
      </c>
      <c r="B2604" s="1" t="str">
        <f ca="1">IFERROR(__xludf.DUMMYFUNCTION("""COMPUTED_VALUE"""),"Halász György")</f>
        <v>Halász György</v>
      </c>
      <c r="C2604" s="1"/>
      <c r="D2604" s="1" t="str">
        <f ca="1">IFERROR(__xludf.DUMMYFUNCTION("""COMPUTED_VALUE"""),"Férfi")</f>
        <v>Férfi</v>
      </c>
      <c r="E2604" s="1"/>
      <c r="F2604" s="1">
        <f ca="1">IFERROR(__xludf.DUMMYFUNCTION("""COMPUTED_VALUE"""),1970)</f>
        <v>1970</v>
      </c>
      <c r="G2604" s="1">
        <f ca="1">IFERROR(__xludf.DUMMYFUNCTION("""COMPUTED_VALUE"""),2183)</f>
        <v>2183</v>
      </c>
      <c r="H2604" s="1" t="str">
        <f ca="1">IFERROR(__xludf.DUMMYFUNCTION("""COMPUTED_VALUE"""),"MTLSZ002183A15")</f>
        <v>MTLSZ002183A15</v>
      </c>
      <c r="I2604" s="2">
        <f ca="1">IFERROR(__xludf.DUMMYFUNCTION("""COMPUTED_VALUE"""),42327)</f>
        <v>42327</v>
      </c>
      <c r="J2604" s="2">
        <f ca="1">IFERROR(__xludf.DUMMYFUNCTION("""COMPUTED_VALUE"""),42692)</f>
        <v>42692</v>
      </c>
    </row>
    <row r="2605" spans="1:10" x14ac:dyDescent="0.25">
      <c r="A2605" s="1" t="str">
        <f ca="1">IFERROR(__xludf.DUMMYFUNCTION("""COMPUTED_VALUE"""),"Győri TSE")</f>
        <v>Győri TSE</v>
      </c>
      <c r="B2605" s="1" t="str">
        <f ca="1">IFERROR(__xludf.DUMMYFUNCTION("""COMPUTED_VALUE"""),"Tamás Melinda")</f>
        <v>Tamás Melinda</v>
      </c>
      <c r="C2605" s="1"/>
      <c r="D2605" s="1" t="str">
        <f ca="1">IFERROR(__xludf.DUMMYFUNCTION("""COMPUTED_VALUE"""),"Nő")</f>
        <v>Nő</v>
      </c>
      <c r="E2605" s="1"/>
      <c r="F2605" s="1">
        <f ca="1">IFERROR(__xludf.DUMMYFUNCTION("""COMPUTED_VALUE"""),1979)</f>
        <v>1979</v>
      </c>
      <c r="G2605" s="1">
        <f ca="1">IFERROR(__xludf.DUMMYFUNCTION("""COMPUTED_VALUE"""),2651)</f>
        <v>2651</v>
      </c>
      <c r="H2605" s="1" t="str">
        <f ca="1">IFERROR(__xludf.DUMMYFUNCTION("""COMPUTED_VALUE"""),"MTLSZ002651A15")</f>
        <v>MTLSZ002651A15</v>
      </c>
      <c r="I2605" s="2">
        <f ca="1">IFERROR(__xludf.DUMMYFUNCTION("""COMPUTED_VALUE"""),42327)</f>
        <v>42327</v>
      </c>
      <c r="J2605" s="2">
        <f ca="1">IFERROR(__xludf.DUMMYFUNCTION("""COMPUTED_VALUE"""),42692)</f>
        <v>42692</v>
      </c>
    </row>
    <row r="2606" spans="1:10" x14ac:dyDescent="0.25">
      <c r="A2606" s="1" t="str">
        <f ca="1">IFERROR(__xludf.DUMMYFUNCTION("""COMPUTED_VALUE"""),"HZSE")</f>
        <v>HZSE</v>
      </c>
      <c r="B2606" s="1" t="str">
        <f ca="1">IFERROR(__xludf.DUMMYFUNCTION("""COMPUTED_VALUE"""),"Vörös György")</f>
        <v>Vörös György</v>
      </c>
      <c r="C2606" s="1"/>
      <c r="D2606" s="1" t="str">
        <f ca="1">IFERROR(__xludf.DUMMYFUNCTION("""COMPUTED_VALUE"""),"Férfi")</f>
        <v>Férfi</v>
      </c>
      <c r="E2606" s="1"/>
      <c r="F2606" s="1">
        <f ca="1">IFERROR(__xludf.DUMMYFUNCTION("""COMPUTED_VALUE"""),1959)</f>
        <v>1959</v>
      </c>
      <c r="G2606" s="1">
        <f ca="1">IFERROR(__xludf.DUMMYFUNCTION("""COMPUTED_VALUE"""),1133)</f>
        <v>1133</v>
      </c>
      <c r="H2606" s="1" t="str">
        <f ca="1">IFERROR(__xludf.DUMMYFUNCTION("""COMPUTED_VALUE"""),"MTLSZ001133A15")</f>
        <v>MTLSZ001133A15</v>
      </c>
      <c r="I2606" s="2">
        <f ca="1">IFERROR(__xludf.DUMMYFUNCTION("""COMPUTED_VALUE"""),42327)</f>
        <v>42327</v>
      </c>
      <c r="J2606" s="2">
        <f ca="1">IFERROR(__xludf.DUMMYFUNCTION("""COMPUTED_VALUE"""),42692)</f>
        <v>42692</v>
      </c>
    </row>
    <row r="2607" spans="1:10" x14ac:dyDescent="0.25">
      <c r="A2607" s="1" t="str">
        <f ca="1">IFERROR(__xludf.DUMMYFUNCTION("""COMPUTED_VALUE"""),"Klébi DSE")</f>
        <v>Klébi DSE</v>
      </c>
      <c r="B2607" s="1" t="str">
        <f ca="1">IFERROR(__xludf.DUMMYFUNCTION("""COMPUTED_VALUE"""),"Hegedüs Márton")</f>
        <v>Hegedüs Márton</v>
      </c>
      <c r="C2607" s="1"/>
      <c r="D2607" s="1" t="str">
        <f ca="1">IFERROR(__xludf.DUMMYFUNCTION("""COMPUTED_VALUE"""),"Férfi")</f>
        <v>Férfi</v>
      </c>
      <c r="E2607" s="1"/>
      <c r="F2607" s="1">
        <f ca="1">IFERROR(__xludf.DUMMYFUNCTION("""COMPUTED_VALUE"""),1980)</f>
        <v>1980</v>
      </c>
      <c r="G2607" s="1">
        <f ca="1">IFERROR(__xludf.DUMMYFUNCTION("""COMPUTED_VALUE"""),1652)</f>
        <v>1652</v>
      </c>
      <c r="H2607" s="1" t="str">
        <f ca="1">IFERROR(__xludf.DUMMYFUNCTION("""COMPUTED_VALUE"""),"MTLSZ001652A15")</f>
        <v>MTLSZ001652A15</v>
      </c>
      <c r="I2607" s="2">
        <f ca="1">IFERROR(__xludf.DUMMYFUNCTION("""COMPUTED_VALUE"""),42327)</f>
        <v>42327</v>
      </c>
      <c r="J2607" s="2">
        <f ca="1">IFERROR(__xludf.DUMMYFUNCTION("""COMPUTED_VALUE"""),42692)</f>
        <v>42692</v>
      </c>
    </row>
    <row r="2608" spans="1:10" x14ac:dyDescent="0.25">
      <c r="A2608" s="1" t="str">
        <f ca="1">IFERROR(__xludf.DUMMYFUNCTION("""COMPUTED_VALUE"""),"Tapolcai TFSE")</f>
        <v>Tapolcai TFSE</v>
      </c>
      <c r="B2608" s="1" t="str">
        <f ca="1">IFERROR(__xludf.DUMMYFUNCTION("""COMPUTED_VALUE"""),"Kasza Norbert")</f>
        <v>Kasza Norbert</v>
      </c>
      <c r="C2608" s="1"/>
      <c r="D2608" s="1" t="str">
        <f ca="1">IFERROR(__xludf.DUMMYFUNCTION("""COMPUTED_VALUE"""),"Férfi")</f>
        <v>Férfi</v>
      </c>
      <c r="E2608" s="1"/>
      <c r="F2608" s="1">
        <f ca="1">IFERROR(__xludf.DUMMYFUNCTION("""COMPUTED_VALUE"""),1973)</f>
        <v>1973</v>
      </c>
      <c r="G2608" s="1">
        <f ca="1">IFERROR(__xludf.DUMMYFUNCTION("""COMPUTED_VALUE"""),2451)</f>
        <v>2451</v>
      </c>
      <c r="H2608" s="1" t="str">
        <f ca="1">IFERROR(__xludf.DUMMYFUNCTION("""COMPUTED_VALUE"""),"MTLSZ002451A15")</f>
        <v>MTLSZ002451A15</v>
      </c>
      <c r="I2608" s="2">
        <f ca="1">IFERROR(__xludf.DUMMYFUNCTION("""COMPUTED_VALUE"""),42327)</f>
        <v>42327</v>
      </c>
      <c r="J2608" s="2">
        <f ca="1">IFERROR(__xludf.DUMMYFUNCTION("""COMPUTED_VALUE"""),42692)</f>
        <v>42692</v>
      </c>
    </row>
    <row r="2609" spans="1:10" x14ac:dyDescent="0.25">
      <c r="A2609" s="1" t="str">
        <f ca="1">IFERROR(__xludf.DUMMYFUNCTION("""COMPUTED_VALUE"""),"Multi Alarm SE")</f>
        <v>Multi Alarm SE</v>
      </c>
      <c r="B2609" s="1" t="str">
        <f ca="1">IFERROR(__xludf.DUMMYFUNCTION("""COMPUTED_VALUE"""),"Gashi Ardian")</f>
        <v>Gashi Ardian</v>
      </c>
      <c r="C2609" s="1"/>
      <c r="D2609" s="1" t="str">
        <f ca="1">IFERROR(__xludf.DUMMYFUNCTION("""COMPUTED_VALUE"""),"Férfi")</f>
        <v>Férfi</v>
      </c>
      <c r="E2609" s="1"/>
      <c r="F2609" s="1">
        <f ca="1">IFERROR(__xludf.DUMMYFUNCTION("""COMPUTED_VALUE"""),2000)</f>
        <v>2000</v>
      </c>
      <c r="G2609" s="1">
        <f ca="1">IFERROR(__xludf.DUMMYFUNCTION("""COMPUTED_VALUE"""),2420)</f>
        <v>2420</v>
      </c>
      <c r="H2609" s="1" t="str">
        <f ca="1">IFERROR(__xludf.DUMMYFUNCTION("""COMPUTED_VALUE"""),"MTLSZ002420A15")</f>
        <v>MTLSZ002420A15</v>
      </c>
      <c r="I2609" s="2">
        <f ca="1">IFERROR(__xludf.DUMMYFUNCTION("""COMPUTED_VALUE"""),42319)</f>
        <v>42319</v>
      </c>
      <c r="J2609" s="2">
        <f ca="1">IFERROR(__xludf.DUMMYFUNCTION("""COMPUTED_VALUE"""),42684)</f>
        <v>42684</v>
      </c>
    </row>
    <row r="2610" spans="1:10" x14ac:dyDescent="0.25">
      <c r="A2610" s="1" t="str">
        <f ca="1">IFERROR(__xludf.DUMMYFUNCTION("""COMPUTED_VALUE"""),"Hajdú TSE")</f>
        <v>Hajdú TSE</v>
      </c>
      <c r="B2610" s="1" t="str">
        <f ca="1">IFERROR(__xludf.DUMMYFUNCTION("""COMPUTED_VALUE"""),"Fazekas András")</f>
        <v>Fazekas András</v>
      </c>
      <c r="C2610" s="1"/>
      <c r="D2610" s="1" t="str">
        <f ca="1">IFERROR(__xludf.DUMMYFUNCTION("""COMPUTED_VALUE"""),"Férfi")</f>
        <v>Férfi</v>
      </c>
      <c r="E2610" s="1"/>
      <c r="F2610" s="1">
        <f ca="1">IFERROR(__xludf.DUMMYFUNCTION("""COMPUTED_VALUE"""),2001)</f>
        <v>2001</v>
      </c>
      <c r="G2610" s="1">
        <f ca="1">IFERROR(__xludf.DUMMYFUNCTION("""COMPUTED_VALUE"""),2528)</f>
        <v>2528</v>
      </c>
      <c r="H2610" s="1" t="str">
        <f ca="1">IFERROR(__xludf.DUMMYFUNCTION("""COMPUTED_VALUE"""),"MTLSZ002528A15")</f>
        <v>MTLSZ002528A15</v>
      </c>
      <c r="I2610" s="2">
        <f ca="1">IFERROR(__xludf.DUMMYFUNCTION("""COMPUTED_VALUE"""),42313)</f>
        <v>42313</v>
      </c>
      <c r="J2610" s="2">
        <f ca="1">IFERROR(__xludf.DUMMYFUNCTION("""COMPUTED_VALUE"""),42678)</f>
        <v>42678</v>
      </c>
    </row>
    <row r="2611" spans="1:10" x14ac:dyDescent="0.25">
      <c r="A2611" s="1" t="str">
        <f ca="1">IFERROR(__xludf.DUMMYFUNCTION("""COMPUTED_VALUE"""),"Érdi VSE")</f>
        <v>Érdi VSE</v>
      </c>
      <c r="B2611" s="1" t="str">
        <f ca="1">IFERROR(__xludf.DUMMYFUNCTION("""COMPUTED_VALUE"""),"Csányi Maja Médi")</f>
        <v>Csányi Maja Médi</v>
      </c>
      <c r="C2611" s="1"/>
      <c r="D2611" s="1" t="str">
        <f ca="1">IFERROR(__xludf.DUMMYFUNCTION("""COMPUTED_VALUE"""),"Nő")</f>
        <v>Nő</v>
      </c>
      <c r="E2611" s="1"/>
      <c r="F2611" s="1">
        <f ca="1">IFERROR(__xludf.DUMMYFUNCTION("""COMPUTED_VALUE"""),2001)</f>
        <v>2001</v>
      </c>
      <c r="G2611" s="1">
        <f ca="1">IFERROR(__xludf.DUMMYFUNCTION("""COMPUTED_VALUE"""),2748)</f>
        <v>2748</v>
      </c>
      <c r="H2611" s="1" t="str">
        <f ca="1">IFERROR(__xludf.DUMMYFUNCTION("""COMPUTED_VALUE"""),"MTLSZ002748A15")</f>
        <v>MTLSZ002748A15</v>
      </c>
      <c r="I2611" s="2">
        <f ca="1">IFERROR(__xludf.DUMMYFUNCTION("""COMPUTED_VALUE"""),42297)</f>
        <v>42297</v>
      </c>
      <c r="J2611" s="2">
        <f ca="1">IFERROR(__xludf.DUMMYFUNCTION("""COMPUTED_VALUE"""),42662)</f>
        <v>42662</v>
      </c>
    </row>
    <row r="2612" spans="1:10" x14ac:dyDescent="0.25">
      <c r="A2612" s="1" t="str">
        <f ca="1">IFERROR(__xludf.DUMMYFUNCTION("""COMPUTED_VALUE"""),"Érdi VSE")</f>
        <v>Érdi VSE</v>
      </c>
      <c r="B2612" s="1" t="str">
        <f ca="1">IFERROR(__xludf.DUMMYFUNCTION("""COMPUTED_VALUE"""),"Schvirján Olivér")</f>
        <v>Schvirján Olivér</v>
      </c>
      <c r="C2612" s="1"/>
      <c r="D2612" s="1" t="str">
        <f ca="1">IFERROR(__xludf.DUMMYFUNCTION("""COMPUTED_VALUE"""),"Férfi")</f>
        <v>Férfi</v>
      </c>
      <c r="E2612" s="1"/>
      <c r="F2612" s="1">
        <f ca="1">IFERROR(__xludf.DUMMYFUNCTION("""COMPUTED_VALUE"""),1999)</f>
        <v>1999</v>
      </c>
      <c r="G2612" s="1">
        <f ca="1">IFERROR(__xludf.DUMMYFUNCTION("""COMPUTED_VALUE"""),2749)</f>
        <v>2749</v>
      </c>
      <c r="H2612" s="1" t="str">
        <f ca="1">IFERROR(__xludf.DUMMYFUNCTION("""COMPUTED_VALUE"""),"MTLSZ002749A15")</f>
        <v>MTLSZ002749A15</v>
      </c>
      <c r="I2612" s="2">
        <f ca="1">IFERROR(__xludf.DUMMYFUNCTION("""COMPUTED_VALUE"""),42297)</f>
        <v>42297</v>
      </c>
      <c r="J2612" s="2">
        <f ca="1">IFERROR(__xludf.DUMMYFUNCTION("""COMPUTED_VALUE"""),42662)</f>
        <v>42662</v>
      </c>
    </row>
    <row r="2613" spans="1:10" x14ac:dyDescent="0.25">
      <c r="A2613" s="1" t="str">
        <f ca="1">IFERROR(__xludf.DUMMYFUNCTION("""COMPUTED_VALUE"""),"Vízművek SK")</f>
        <v>Vízművek SK</v>
      </c>
      <c r="B2613" s="1" t="str">
        <f ca="1">IFERROR(__xludf.DUMMYFUNCTION("""COMPUTED_VALUE"""),"Honéczy Zoárd")</f>
        <v>Honéczy Zoárd</v>
      </c>
      <c r="C2613" s="1"/>
      <c r="D2613" s="1" t="str">
        <f ca="1">IFERROR(__xludf.DUMMYFUNCTION("""COMPUTED_VALUE"""),"Férfi")</f>
        <v>Férfi</v>
      </c>
      <c r="E2613" s="1"/>
      <c r="F2613" s="1">
        <f ca="1">IFERROR(__xludf.DUMMYFUNCTION("""COMPUTED_VALUE"""),1999)</f>
        <v>1999</v>
      </c>
      <c r="G2613" s="1">
        <f ca="1">IFERROR(__xludf.DUMMYFUNCTION("""COMPUTED_VALUE"""),2730)</f>
        <v>2730</v>
      </c>
      <c r="H2613" s="1" t="str">
        <f ca="1">IFERROR(__xludf.DUMMYFUNCTION("""COMPUTED_VALUE"""),"MTLSZ002730A15")</f>
        <v>MTLSZ002730A15</v>
      </c>
      <c r="I2613" s="2">
        <f ca="1">IFERROR(__xludf.DUMMYFUNCTION("""COMPUTED_VALUE"""),42293)</f>
        <v>42293</v>
      </c>
      <c r="J2613" s="2">
        <f ca="1">IFERROR(__xludf.DUMMYFUNCTION("""COMPUTED_VALUE"""),42658)</f>
        <v>42658</v>
      </c>
    </row>
    <row r="2614" spans="1:10" x14ac:dyDescent="0.25">
      <c r="A2614" s="1" t="str">
        <f ca="1">IFERROR(__xludf.DUMMYFUNCTION("""COMPUTED_VALUE"""),"Vízművek SK")</f>
        <v>Vízművek SK</v>
      </c>
      <c r="B2614" s="1" t="str">
        <f ca="1">IFERROR(__xludf.DUMMYFUNCTION("""COMPUTED_VALUE"""),"Turbucz Gabriella")</f>
        <v>Turbucz Gabriella</v>
      </c>
      <c r="C2614" s="1"/>
      <c r="D2614" s="1" t="str">
        <f ca="1">IFERROR(__xludf.DUMMYFUNCTION("""COMPUTED_VALUE"""),"Nő")</f>
        <v>Nő</v>
      </c>
      <c r="E2614" s="1"/>
      <c r="F2614" s="1">
        <f ca="1">IFERROR(__xludf.DUMMYFUNCTION("""COMPUTED_VALUE"""),2002)</f>
        <v>2002</v>
      </c>
      <c r="G2614" s="1">
        <f ca="1">IFERROR(__xludf.DUMMYFUNCTION("""COMPUTED_VALUE"""),2737)</f>
        <v>2737</v>
      </c>
      <c r="H2614" s="1" t="str">
        <f ca="1">IFERROR(__xludf.DUMMYFUNCTION("""COMPUTED_VALUE"""),"MTLSZ002737A15")</f>
        <v>MTLSZ002737A15</v>
      </c>
      <c r="I2614" s="2">
        <f ca="1">IFERROR(__xludf.DUMMYFUNCTION("""COMPUTED_VALUE"""),42293)</f>
        <v>42293</v>
      </c>
      <c r="J2614" s="2">
        <f ca="1">IFERROR(__xludf.DUMMYFUNCTION("""COMPUTED_VALUE"""),42658)</f>
        <v>42658</v>
      </c>
    </row>
    <row r="2615" spans="1:10" x14ac:dyDescent="0.25">
      <c r="A2615" s="1" t="str">
        <f ca="1">IFERROR(__xludf.DUMMYFUNCTION("""COMPUTED_VALUE"""),"Multi Alarm SE")</f>
        <v>Multi Alarm SE</v>
      </c>
      <c r="B2615" s="1" t="str">
        <f ca="1">IFERROR(__xludf.DUMMYFUNCTION("""COMPUTED_VALUE"""),"Végh Péter")</f>
        <v>Végh Péter</v>
      </c>
      <c r="C2615" s="1"/>
      <c r="D2615" s="1" t="str">
        <f ca="1">IFERROR(__xludf.DUMMYFUNCTION("""COMPUTED_VALUE"""),"Férfi")</f>
        <v>Férfi</v>
      </c>
      <c r="E2615" s="1"/>
      <c r="F2615" s="1">
        <f ca="1">IFERROR(__xludf.DUMMYFUNCTION("""COMPUTED_VALUE"""),2004)</f>
        <v>2004</v>
      </c>
      <c r="G2615" s="1">
        <f ca="1">IFERROR(__xludf.DUMMYFUNCTION("""COMPUTED_VALUE"""),2628)</f>
        <v>2628</v>
      </c>
      <c r="H2615" s="1" t="str">
        <f ca="1">IFERROR(__xludf.DUMMYFUNCTION("""COMPUTED_VALUE"""),"MTLSZ002628A15")</f>
        <v>MTLSZ002628A15</v>
      </c>
      <c r="I2615" s="2">
        <f ca="1">IFERROR(__xludf.DUMMYFUNCTION("""COMPUTED_VALUE"""),42293)</f>
        <v>42293</v>
      </c>
      <c r="J2615" s="2">
        <f ca="1">IFERROR(__xludf.DUMMYFUNCTION("""COMPUTED_VALUE"""),42658)</f>
        <v>42658</v>
      </c>
    </row>
    <row r="2616" spans="1:10" x14ac:dyDescent="0.25">
      <c r="A2616" s="1" t="str">
        <f ca="1">IFERROR(__xludf.DUMMYFUNCTION("""COMPUTED_VALUE"""),"Győri TSE")</f>
        <v>Győri TSE</v>
      </c>
      <c r="B2616" s="1" t="str">
        <f ca="1">IFERROR(__xludf.DUMMYFUNCTION("""COMPUTED_VALUE"""),"Jámbor Kata")</f>
        <v>Jámbor Kata</v>
      </c>
      <c r="C2616" s="1"/>
      <c r="D2616" s="1" t="str">
        <f ca="1">IFERROR(__xludf.DUMMYFUNCTION("""COMPUTED_VALUE"""),"Nő")</f>
        <v>Nő</v>
      </c>
      <c r="E2616" s="1"/>
      <c r="F2616" s="1">
        <f ca="1">IFERROR(__xludf.DUMMYFUNCTION("""COMPUTED_VALUE"""),1995)</f>
        <v>1995</v>
      </c>
      <c r="G2616" s="1">
        <f ca="1">IFERROR(__xludf.DUMMYFUNCTION("""COMPUTED_VALUE"""),2425)</f>
        <v>2425</v>
      </c>
      <c r="H2616" s="1" t="str">
        <f ca="1">IFERROR(__xludf.DUMMYFUNCTION("""COMPUTED_VALUE"""),"MTLSZ002425A15")</f>
        <v>MTLSZ002425A15</v>
      </c>
      <c r="I2616" s="2">
        <f ca="1">IFERROR(__xludf.DUMMYFUNCTION("""COMPUTED_VALUE"""),42285)</f>
        <v>42285</v>
      </c>
      <c r="J2616" s="2">
        <f ca="1">IFERROR(__xludf.DUMMYFUNCTION("""COMPUTED_VALUE"""),42650)</f>
        <v>42650</v>
      </c>
    </row>
    <row r="2617" spans="1:10" x14ac:dyDescent="0.25">
      <c r="A2617" s="1" t="str">
        <f ca="1">IFERROR(__xludf.DUMMYFUNCTION("""COMPUTED_VALUE"""),"Győri TSE")</f>
        <v>Győri TSE</v>
      </c>
      <c r="B2617" s="1" t="str">
        <f ca="1">IFERROR(__xludf.DUMMYFUNCTION("""COMPUTED_VALUE"""),"Sashalmi Béláné")</f>
        <v>Sashalmi Béláné</v>
      </c>
      <c r="C2617" s="1"/>
      <c r="D2617" s="1" t="str">
        <f ca="1">IFERROR(__xludf.DUMMYFUNCTION("""COMPUTED_VALUE"""),"Nő")</f>
        <v>Nő</v>
      </c>
      <c r="E2617" s="1"/>
      <c r="F2617" s="1">
        <f ca="1">IFERROR(__xludf.DUMMYFUNCTION("""COMPUTED_VALUE"""),1969)</f>
        <v>1969</v>
      </c>
      <c r="G2617" s="1">
        <f ca="1">IFERROR(__xludf.DUMMYFUNCTION("""COMPUTED_VALUE"""),2728)</f>
        <v>2728</v>
      </c>
      <c r="H2617" s="1" t="str">
        <f ca="1">IFERROR(__xludf.DUMMYFUNCTION("""COMPUTED_VALUE"""),"MTLSZ002728A15")</f>
        <v>MTLSZ002728A15</v>
      </c>
      <c r="I2617" s="2">
        <f ca="1">IFERROR(__xludf.DUMMYFUNCTION("""COMPUTED_VALUE"""),42285)</f>
        <v>42285</v>
      </c>
      <c r="J2617" s="2">
        <f ca="1">IFERROR(__xludf.DUMMYFUNCTION("""COMPUTED_VALUE"""),42650)</f>
        <v>42650</v>
      </c>
    </row>
    <row r="2618" spans="1:10" x14ac:dyDescent="0.25">
      <c r="A2618" s="1" t="str">
        <f ca="1">IFERROR(__xludf.DUMMYFUNCTION("""COMPUTED_VALUE"""),"Hajdú TSE")</f>
        <v>Hajdú TSE</v>
      </c>
      <c r="B2618" s="1" t="str">
        <f ca="1">IFERROR(__xludf.DUMMYFUNCTION("""COMPUTED_VALUE"""),"Bihari Dóra")</f>
        <v>Bihari Dóra</v>
      </c>
      <c r="C2618" s="1"/>
      <c r="D2618" s="1" t="str">
        <f ca="1">IFERROR(__xludf.DUMMYFUNCTION("""COMPUTED_VALUE"""),"Nő")</f>
        <v>Nő</v>
      </c>
      <c r="E2618" s="1"/>
      <c r="F2618" s="1">
        <f ca="1">IFERROR(__xludf.DUMMYFUNCTION("""COMPUTED_VALUE"""),1997)</f>
        <v>1997</v>
      </c>
      <c r="G2618" s="1">
        <f ca="1">IFERROR(__xludf.DUMMYFUNCTION("""COMPUTED_VALUE"""),2278)</f>
        <v>2278</v>
      </c>
      <c r="H2618" s="1" t="str">
        <f ca="1">IFERROR(__xludf.DUMMYFUNCTION("""COMPUTED_VALUE"""),"MTLSZ002278A15")</f>
        <v>MTLSZ002278A15</v>
      </c>
      <c r="I2618" s="2">
        <f ca="1">IFERROR(__xludf.DUMMYFUNCTION("""COMPUTED_VALUE"""),42283)</f>
        <v>42283</v>
      </c>
      <c r="J2618" s="2">
        <f ca="1">IFERROR(__xludf.DUMMYFUNCTION("""COMPUTED_VALUE"""),42648)</f>
        <v>42648</v>
      </c>
    </row>
    <row r="2619" spans="1:10" x14ac:dyDescent="0.25">
      <c r="A2619" s="1" t="str">
        <f ca="1">IFERROR(__xludf.DUMMYFUNCTION("""COMPUTED_VALUE"""),"NYVSC")</f>
        <v>NYVSC</v>
      </c>
      <c r="B2619" s="1" t="str">
        <f ca="1">IFERROR(__xludf.DUMMYFUNCTION("""COMPUTED_VALUE"""),"Fejes Gábor")</f>
        <v>Fejes Gábor</v>
      </c>
      <c r="C2619" s="1"/>
      <c r="D2619" s="1" t="str">
        <f ca="1">IFERROR(__xludf.DUMMYFUNCTION("""COMPUTED_VALUE"""),"Férfi")</f>
        <v>Férfi</v>
      </c>
      <c r="E2619" s="1"/>
      <c r="F2619" s="1">
        <f ca="1">IFERROR(__xludf.DUMMYFUNCTION("""COMPUTED_VALUE"""),1978)</f>
        <v>1978</v>
      </c>
      <c r="G2619" s="1">
        <f ca="1">IFERROR(__xludf.DUMMYFUNCTION("""COMPUTED_VALUE"""),243)</f>
        <v>243</v>
      </c>
      <c r="H2619" s="1" t="str">
        <f ca="1">IFERROR(__xludf.DUMMYFUNCTION("""COMPUTED_VALUE"""),"MTLSZ000243A15")</f>
        <v>MTLSZ000243A15</v>
      </c>
      <c r="I2619" s="2">
        <f ca="1">IFERROR(__xludf.DUMMYFUNCTION("""COMPUTED_VALUE"""),42283)</f>
        <v>42283</v>
      </c>
      <c r="J2619" s="2">
        <f ca="1">IFERROR(__xludf.DUMMYFUNCTION("""COMPUTED_VALUE"""),42648)</f>
        <v>42648</v>
      </c>
    </row>
    <row r="2620" spans="1:10" x14ac:dyDescent="0.25">
      <c r="A2620" s="1" t="str">
        <f ca="1">IFERROR(__xludf.DUMMYFUNCTION("""COMPUTED_VALUE"""),"Keszthelyi TE")</f>
        <v>Keszthelyi TE</v>
      </c>
      <c r="B2620" s="1" t="str">
        <f ca="1">IFERROR(__xludf.DUMMYFUNCTION("""COMPUTED_VALUE"""),"Krausz Dóra")</f>
        <v>Krausz Dóra</v>
      </c>
      <c r="C2620" s="1"/>
      <c r="D2620" s="1" t="str">
        <f ca="1">IFERROR(__xludf.DUMMYFUNCTION("""COMPUTED_VALUE"""),"Nő")</f>
        <v>Nő</v>
      </c>
      <c r="E2620" s="1"/>
      <c r="F2620" s="1">
        <f ca="1">IFERROR(__xludf.DUMMYFUNCTION("""COMPUTED_VALUE"""),1995)</f>
        <v>1995</v>
      </c>
      <c r="G2620" s="1">
        <f ca="1">IFERROR(__xludf.DUMMYFUNCTION("""COMPUTED_VALUE"""),2120)</f>
        <v>2120</v>
      </c>
      <c r="H2620" s="1" t="str">
        <f ca="1">IFERROR(__xludf.DUMMYFUNCTION("""COMPUTED_VALUE"""),"MTLSZ002120A15")</f>
        <v>MTLSZ002120A15</v>
      </c>
      <c r="I2620" s="2">
        <f ca="1">IFERROR(__xludf.DUMMYFUNCTION("""COMPUTED_VALUE"""),42280)</f>
        <v>42280</v>
      </c>
      <c r="J2620" s="2">
        <f ca="1">IFERROR(__xludf.DUMMYFUNCTION("""COMPUTED_VALUE"""),42645)</f>
        <v>42645</v>
      </c>
    </row>
    <row r="2621" spans="1:10" x14ac:dyDescent="0.25">
      <c r="A2621" s="1" t="str">
        <f ca="1">IFERROR(__xludf.DUMMYFUNCTION("""COMPUTED_VALUE"""),"Keszthelyi TE")</f>
        <v>Keszthelyi TE</v>
      </c>
      <c r="B2621" s="1" t="str">
        <f ca="1">IFERROR(__xludf.DUMMYFUNCTION("""COMPUTED_VALUE"""),"Pintér Ákos Dr.")</f>
        <v>Pintér Ákos Dr.</v>
      </c>
      <c r="C2621" s="1"/>
      <c r="D2621" s="1" t="str">
        <f ca="1">IFERROR(__xludf.DUMMYFUNCTION("""COMPUTED_VALUE"""),"Férfi")</f>
        <v>Férfi</v>
      </c>
      <c r="E2621" s="1"/>
      <c r="F2621" s="1">
        <f ca="1">IFERROR(__xludf.DUMMYFUNCTION("""COMPUTED_VALUE"""),1976)</f>
        <v>1976</v>
      </c>
      <c r="G2621" s="1">
        <f ca="1">IFERROR(__xludf.DUMMYFUNCTION("""COMPUTED_VALUE"""),775)</f>
        <v>775</v>
      </c>
      <c r="H2621" s="1" t="str">
        <f ca="1">IFERROR(__xludf.DUMMYFUNCTION("""COMPUTED_VALUE"""),"MTLSZ000775A15")</f>
        <v>MTLSZ000775A15</v>
      </c>
      <c r="I2621" s="2">
        <f ca="1">IFERROR(__xludf.DUMMYFUNCTION("""COMPUTED_VALUE"""),42280)</f>
        <v>42280</v>
      </c>
      <c r="J2621" s="2">
        <f ca="1">IFERROR(__xludf.DUMMYFUNCTION("""COMPUTED_VALUE"""),42645)</f>
        <v>42645</v>
      </c>
    </row>
    <row r="2622" spans="1:10" x14ac:dyDescent="0.25">
      <c r="A2622" s="1" t="str">
        <f ca="1">IFERROR(__xludf.DUMMYFUNCTION("""COMPUTED_VALUE"""),"Bodajki TSE")</f>
        <v>Bodajki TSE</v>
      </c>
      <c r="B2622" s="1" t="str">
        <f ca="1">IFERROR(__xludf.DUMMYFUNCTION("""COMPUTED_VALUE"""),"Skrop Anna")</f>
        <v>Skrop Anna</v>
      </c>
      <c r="C2622" s="1"/>
      <c r="D2622" s="1" t="str">
        <f ca="1">IFERROR(__xludf.DUMMYFUNCTION("""COMPUTED_VALUE"""),"Nő")</f>
        <v>Nő</v>
      </c>
      <c r="E2622" s="1"/>
      <c r="F2622" s="1">
        <f ca="1">IFERROR(__xludf.DUMMYFUNCTION("""COMPUTED_VALUE"""),2001)</f>
        <v>2001</v>
      </c>
      <c r="G2622" s="1">
        <f ca="1">IFERROR(__xludf.DUMMYFUNCTION("""COMPUTED_VALUE"""),2478)</f>
        <v>2478</v>
      </c>
      <c r="H2622" s="1" t="str">
        <f ca="1">IFERROR(__xludf.DUMMYFUNCTION("""COMPUTED_VALUE"""),"MTLSZ002478A15")</f>
        <v>MTLSZ002478A15</v>
      </c>
      <c r="I2622" s="2">
        <f ca="1">IFERROR(__xludf.DUMMYFUNCTION("""COMPUTED_VALUE"""),42278)</f>
        <v>42278</v>
      </c>
      <c r="J2622" s="2">
        <f ca="1">IFERROR(__xludf.DUMMYFUNCTION("""COMPUTED_VALUE"""),42643)</f>
        <v>42643</v>
      </c>
    </row>
    <row r="2623" spans="1:10" x14ac:dyDescent="0.25">
      <c r="A2623" s="1" t="str">
        <f ca="1">IFERROR(__xludf.DUMMYFUNCTION("""COMPUTED_VALUE"""),"Multi Alarm SE")</f>
        <v>Multi Alarm SE</v>
      </c>
      <c r="B2623" s="1" t="str">
        <f ca="1">IFERROR(__xludf.DUMMYFUNCTION("""COMPUTED_VALUE"""),"Kalocsai Nóra")</f>
        <v>Kalocsai Nóra</v>
      </c>
      <c r="C2623" s="1"/>
      <c r="D2623" s="1" t="str">
        <f ca="1">IFERROR(__xludf.DUMMYFUNCTION("""COMPUTED_VALUE"""),"Nő")</f>
        <v>Nő</v>
      </c>
      <c r="E2623" s="1"/>
      <c r="F2623" s="1">
        <f ca="1">IFERROR(__xludf.DUMMYFUNCTION("""COMPUTED_VALUE"""),2000)</f>
        <v>2000</v>
      </c>
      <c r="G2623" s="1">
        <f ca="1">IFERROR(__xludf.DUMMYFUNCTION("""COMPUTED_VALUE"""),2629)</f>
        <v>2629</v>
      </c>
      <c r="H2623" s="1" t="str">
        <f ca="1">IFERROR(__xludf.DUMMYFUNCTION("""COMPUTED_VALUE"""),"MTLSZ002629A15")</f>
        <v>MTLSZ002629A15</v>
      </c>
      <c r="I2623" s="2">
        <f ca="1">IFERROR(__xludf.DUMMYFUNCTION("""COMPUTED_VALUE"""),42278)</f>
        <v>42278</v>
      </c>
      <c r="J2623" s="2">
        <f ca="1">IFERROR(__xludf.DUMMYFUNCTION("""COMPUTED_VALUE"""),42643)</f>
        <v>42643</v>
      </c>
    </row>
    <row r="2624" spans="1:10" x14ac:dyDescent="0.25">
      <c r="A2624" s="1" t="str">
        <f ca="1">IFERROR(__xludf.DUMMYFUNCTION("""COMPUTED_VALUE"""),"Seregélyesi PDSE")</f>
        <v>Seregélyesi PDSE</v>
      </c>
      <c r="B2624" s="1" t="str">
        <f ca="1">IFERROR(__xludf.DUMMYFUNCTION("""COMPUTED_VALUE"""),"Molnár Dávid Krisztofer")</f>
        <v>Molnár Dávid Krisztofer</v>
      </c>
      <c r="C2624" s="1"/>
      <c r="D2624" s="1" t="str">
        <f ca="1">IFERROR(__xludf.DUMMYFUNCTION("""COMPUTED_VALUE"""),"Férfi")</f>
        <v>Férfi</v>
      </c>
      <c r="E2624" s="1"/>
      <c r="F2624" s="1">
        <f ca="1">IFERROR(__xludf.DUMMYFUNCTION("""COMPUTED_VALUE"""),1999)</f>
        <v>1999</v>
      </c>
      <c r="G2624" s="1">
        <f ca="1">IFERROR(__xludf.DUMMYFUNCTION("""COMPUTED_VALUE"""),2305)</f>
        <v>2305</v>
      </c>
      <c r="H2624" s="1" t="str">
        <f ca="1">IFERROR(__xludf.DUMMYFUNCTION("""COMPUTED_VALUE"""),"MTLSZ002305A15")</f>
        <v>MTLSZ002305A15</v>
      </c>
      <c r="I2624" s="2">
        <f ca="1">IFERROR(__xludf.DUMMYFUNCTION("""COMPUTED_VALUE"""),42278)</f>
        <v>42278</v>
      </c>
      <c r="J2624" s="2">
        <f ca="1">IFERROR(__xludf.DUMMYFUNCTION("""COMPUTED_VALUE"""),42643)</f>
        <v>42643</v>
      </c>
    </row>
    <row r="2625" spans="1:10" x14ac:dyDescent="0.25">
      <c r="A2625" s="1" t="str">
        <f ca="1">IFERROR(__xludf.DUMMYFUNCTION("""COMPUTED_VALUE"""),"Ludovika SE")</f>
        <v>Ludovika SE</v>
      </c>
      <c r="B2625" s="1" t="str">
        <f ca="1">IFERROR(__xludf.DUMMYFUNCTION("""COMPUTED_VALUE"""),"Major Zita")</f>
        <v>Major Zita</v>
      </c>
      <c r="C2625" s="1"/>
      <c r="D2625" s="1" t="str">
        <f ca="1">IFERROR(__xludf.DUMMYFUNCTION("""COMPUTED_VALUE"""),"Nő")</f>
        <v>Nő</v>
      </c>
      <c r="E2625" s="1"/>
      <c r="F2625" s="1">
        <f ca="1">IFERROR(__xludf.DUMMYFUNCTION("""COMPUTED_VALUE"""),1999)</f>
        <v>1999</v>
      </c>
      <c r="G2625" s="1">
        <f ca="1">IFERROR(__xludf.DUMMYFUNCTION("""COMPUTED_VALUE"""),1983)</f>
        <v>1983</v>
      </c>
      <c r="H2625" s="1" t="str">
        <f ca="1">IFERROR(__xludf.DUMMYFUNCTION("""COMPUTED_VALUE"""),"MTLSZ001983A15")</f>
        <v>MTLSZ001983A15</v>
      </c>
      <c r="I2625" s="2">
        <f ca="1">IFERROR(__xludf.DUMMYFUNCTION("""COMPUTED_VALUE"""),42276)</f>
        <v>42276</v>
      </c>
      <c r="J2625" s="2">
        <f ca="1">IFERROR(__xludf.DUMMYFUNCTION("""COMPUTED_VALUE"""),42641)</f>
        <v>42641</v>
      </c>
    </row>
    <row r="2626" spans="1:10" x14ac:dyDescent="0.25">
      <c r="A2626" s="1" t="str">
        <f ca="1">IFERROR(__xludf.DUMMYFUNCTION("""COMPUTED_VALUE"""),"Tisza TSE")</f>
        <v>Tisza TSE</v>
      </c>
      <c r="B2626" s="1" t="str">
        <f ca="1">IFERROR(__xludf.DUMMYFUNCTION("""COMPUTED_VALUE"""),"Kajtár Panna")</f>
        <v>Kajtár Panna</v>
      </c>
      <c r="C2626" s="1"/>
      <c r="D2626" s="1" t="str">
        <f ca="1">IFERROR(__xludf.DUMMYFUNCTION("""COMPUTED_VALUE"""),"Férfi")</f>
        <v>Férfi</v>
      </c>
      <c r="E2626" s="1"/>
      <c r="F2626" s="1">
        <f ca="1">IFERROR(__xludf.DUMMYFUNCTION("""COMPUTED_VALUE"""),2000)</f>
        <v>2000</v>
      </c>
      <c r="G2626" s="1">
        <f ca="1">IFERROR(__xludf.DUMMYFUNCTION("""COMPUTED_VALUE"""),2299)</f>
        <v>2299</v>
      </c>
      <c r="H2626" s="1" t="str">
        <f ca="1">IFERROR(__xludf.DUMMYFUNCTION("""COMPUTED_VALUE"""),"MTLSZ002299A15")</f>
        <v>MTLSZ002299A15</v>
      </c>
      <c r="I2626" s="2">
        <f ca="1">IFERROR(__xludf.DUMMYFUNCTION("""COMPUTED_VALUE"""),42271)</f>
        <v>42271</v>
      </c>
      <c r="J2626" s="2">
        <f ca="1">IFERROR(__xludf.DUMMYFUNCTION("""COMPUTED_VALUE"""),42636)</f>
        <v>42636</v>
      </c>
    </row>
    <row r="2627" spans="1:10" x14ac:dyDescent="0.25">
      <c r="A2627" s="1" t="str">
        <f ca="1">IFERROR(__xludf.DUMMYFUNCTION("""COMPUTED_VALUE"""),"Tisza TSE")</f>
        <v>Tisza TSE</v>
      </c>
      <c r="B2627" s="1" t="str">
        <f ca="1">IFERROR(__xludf.DUMMYFUNCTION("""COMPUTED_VALUE"""),"Kóczó József Márk")</f>
        <v>Kóczó József Márk</v>
      </c>
      <c r="C2627" s="1"/>
      <c r="D2627" s="1" t="str">
        <f ca="1">IFERROR(__xludf.DUMMYFUNCTION("""COMPUTED_VALUE"""),"Férfi")</f>
        <v>Férfi</v>
      </c>
      <c r="E2627" s="1"/>
      <c r="F2627" s="1">
        <f ca="1">IFERROR(__xludf.DUMMYFUNCTION("""COMPUTED_VALUE"""),2002)</f>
        <v>2002</v>
      </c>
      <c r="G2627" s="1">
        <f ca="1">IFERROR(__xludf.DUMMYFUNCTION("""COMPUTED_VALUE"""),2720)</f>
        <v>2720</v>
      </c>
      <c r="H2627" s="1" t="str">
        <f ca="1">IFERROR(__xludf.DUMMYFUNCTION("""COMPUTED_VALUE"""),"MTLSZ002720A15")</f>
        <v>MTLSZ002720A15</v>
      </c>
      <c r="I2627" s="2">
        <f ca="1">IFERROR(__xludf.DUMMYFUNCTION("""COMPUTED_VALUE"""),42271)</f>
        <v>42271</v>
      </c>
      <c r="J2627" s="2">
        <f ca="1">IFERROR(__xludf.DUMMYFUNCTION("""COMPUTED_VALUE"""),42636)</f>
        <v>42636</v>
      </c>
    </row>
    <row r="2628" spans="1:10" x14ac:dyDescent="0.25">
      <c r="A2628" s="1" t="str">
        <f ca="1">IFERROR(__xludf.DUMMYFUNCTION("""COMPUTED_VALUE"""),"Tisza TSE")</f>
        <v>Tisza TSE</v>
      </c>
      <c r="B2628" s="1" t="str">
        <f ca="1">IFERROR(__xludf.DUMMYFUNCTION("""COMPUTED_VALUE"""),"Pápai Violetta")</f>
        <v>Pápai Violetta</v>
      </c>
      <c r="C2628" s="1"/>
      <c r="D2628" s="1" t="str">
        <f ca="1">IFERROR(__xludf.DUMMYFUNCTION("""COMPUTED_VALUE"""),"Nő")</f>
        <v>Nő</v>
      </c>
      <c r="E2628" s="1"/>
      <c r="F2628" s="1">
        <f ca="1">IFERROR(__xludf.DUMMYFUNCTION("""COMPUTED_VALUE"""),2000)</f>
        <v>2000</v>
      </c>
      <c r="G2628" s="1">
        <f ca="1">IFERROR(__xludf.DUMMYFUNCTION("""COMPUTED_VALUE"""),2162)</f>
        <v>2162</v>
      </c>
      <c r="H2628" s="1" t="str">
        <f ca="1">IFERROR(__xludf.DUMMYFUNCTION("""COMPUTED_VALUE"""),"MTLSZ002162A15")</f>
        <v>MTLSZ002162A15</v>
      </c>
      <c r="I2628" s="2">
        <f ca="1">IFERROR(__xludf.DUMMYFUNCTION("""COMPUTED_VALUE"""),42271)</f>
        <v>42271</v>
      </c>
      <c r="J2628" s="2">
        <f ca="1">IFERROR(__xludf.DUMMYFUNCTION("""COMPUTED_VALUE"""),42636)</f>
        <v>42636</v>
      </c>
    </row>
    <row r="2629" spans="1:10" x14ac:dyDescent="0.25">
      <c r="A2629" s="1" t="str">
        <f ca="1">IFERROR(__xludf.DUMMYFUNCTION("""COMPUTED_VALUE"""),"Vízművek SK")</f>
        <v>Vízművek SK</v>
      </c>
      <c r="B2629" s="1" t="str">
        <f ca="1">IFERROR(__xludf.DUMMYFUNCTION("""COMPUTED_VALUE"""),"Kovács Marcell")</f>
        <v>Kovács Marcell</v>
      </c>
      <c r="C2629" s="1"/>
      <c r="D2629" s="1" t="str">
        <f ca="1">IFERROR(__xludf.DUMMYFUNCTION("""COMPUTED_VALUE"""),"Férfi")</f>
        <v>Férfi</v>
      </c>
      <c r="E2629" s="1"/>
      <c r="F2629" s="1">
        <f ca="1">IFERROR(__xludf.DUMMYFUNCTION("""COMPUTED_VALUE"""),1999)</f>
        <v>1999</v>
      </c>
      <c r="G2629" s="1">
        <f ca="1">IFERROR(__xludf.DUMMYFUNCTION("""COMPUTED_VALUE"""),2269)</f>
        <v>2269</v>
      </c>
      <c r="H2629" s="1" t="str">
        <f ca="1">IFERROR(__xludf.DUMMYFUNCTION("""COMPUTED_VALUE"""),"MTLSZ002269A15")</f>
        <v>MTLSZ002269A15</v>
      </c>
      <c r="I2629" s="2">
        <f ca="1">IFERROR(__xludf.DUMMYFUNCTION("""COMPUTED_VALUE"""),42251)</f>
        <v>42251</v>
      </c>
      <c r="J2629" s="2">
        <f ca="1">IFERROR(__xludf.DUMMYFUNCTION("""COMPUTED_VALUE"""),42616)</f>
        <v>42616</v>
      </c>
    </row>
    <row r="2630" spans="1:10" x14ac:dyDescent="0.25">
      <c r="A2630" s="1" t="str">
        <f ca="1">IFERROR(__xludf.DUMMYFUNCTION("""COMPUTED_VALUE"""),"OSC")</f>
        <v>OSC</v>
      </c>
      <c r="B2630" s="1" t="str">
        <f ca="1">IFERROR(__xludf.DUMMYFUNCTION("""COMPUTED_VALUE"""),"Ludvig Szilárd")</f>
        <v>Ludvig Szilárd</v>
      </c>
      <c r="C2630" s="1"/>
      <c r="D2630" s="1" t="str">
        <f ca="1">IFERROR(__xludf.DUMMYFUNCTION("""COMPUTED_VALUE"""),"Férfi")</f>
        <v>Férfi</v>
      </c>
      <c r="E2630" s="1"/>
      <c r="F2630" s="1">
        <f ca="1">IFERROR(__xludf.DUMMYFUNCTION("""COMPUTED_VALUE"""),1996)</f>
        <v>1996</v>
      </c>
      <c r="G2630" s="1">
        <f ca="1">IFERROR(__xludf.DUMMYFUNCTION("""COMPUTED_VALUE"""),2247)</f>
        <v>2247</v>
      </c>
      <c r="H2630" s="1" t="str">
        <f ca="1">IFERROR(__xludf.DUMMYFUNCTION("""COMPUTED_VALUE"""),"MTLSZ002247A15")</f>
        <v>MTLSZ002247A15</v>
      </c>
      <c r="I2630" s="2">
        <f ca="1">IFERROR(__xludf.DUMMYFUNCTION("""COMPUTED_VALUE"""),42249)</f>
        <v>42249</v>
      </c>
      <c r="J2630" s="2">
        <f ca="1">IFERROR(__xludf.DUMMYFUNCTION("""COMPUTED_VALUE"""),42614)</f>
        <v>42614</v>
      </c>
    </row>
    <row r="2631" spans="1:10" x14ac:dyDescent="0.25">
      <c r="A2631" s="1" t="str">
        <f ca="1">IFERROR(__xludf.DUMMYFUNCTION("""COMPUTED_VALUE"""),"DSC-SI")</f>
        <v>DSC-SI</v>
      </c>
      <c r="B2631" s="1" t="str">
        <f ca="1">IFERROR(__xludf.DUMMYFUNCTION("""COMPUTED_VALUE"""),"Pacsuta Lilla")</f>
        <v>Pacsuta Lilla</v>
      </c>
      <c r="C2631" s="1"/>
      <c r="D2631" s="1" t="str">
        <f ca="1">IFERROR(__xludf.DUMMYFUNCTION("""COMPUTED_VALUE"""),"Nő")</f>
        <v>Nő</v>
      </c>
      <c r="E2631" s="1"/>
      <c r="F2631" s="1">
        <f ca="1">IFERROR(__xludf.DUMMYFUNCTION("""COMPUTED_VALUE"""),2004)</f>
        <v>2004</v>
      </c>
      <c r="G2631" s="1">
        <f ca="1">IFERROR(__xludf.DUMMYFUNCTION("""COMPUTED_VALUE"""),2683)</f>
        <v>2683</v>
      </c>
      <c r="H2631" s="1" t="str">
        <f ca="1">IFERROR(__xludf.DUMMYFUNCTION("""COMPUTED_VALUE"""),"MTLSZ002683A15")</f>
        <v>MTLSZ002683A15</v>
      </c>
      <c r="I2631" s="2">
        <f ca="1">IFERROR(__xludf.DUMMYFUNCTION("""COMPUTED_VALUE"""),42248)</f>
        <v>42248</v>
      </c>
      <c r="J2631" s="2">
        <f ca="1">IFERROR(__xludf.DUMMYFUNCTION("""COMPUTED_VALUE"""),42613)</f>
        <v>42613</v>
      </c>
    </row>
    <row r="2632" spans="1:10" x14ac:dyDescent="0.25">
      <c r="A2632" s="1" t="str">
        <f ca="1">IFERROR(__xludf.DUMMYFUNCTION("""COMPUTED_VALUE"""),"Főtaxi SC")</f>
        <v>Főtaxi SC</v>
      </c>
      <c r="B2632" s="1" t="str">
        <f ca="1">IFERROR(__xludf.DUMMYFUNCTION("""COMPUTED_VALUE"""),"Heim Mária")</f>
        <v>Heim Mária</v>
      </c>
      <c r="C2632" s="1"/>
      <c r="D2632" s="1" t="str">
        <f ca="1">IFERROR(__xludf.DUMMYFUNCTION("""COMPUTED_VALUE"""),"Nő")</f>
        <v>Nő</v>
      </c>
      <c r="E2632" s="1"/>
      <c r="F2632" s="1">
        <f ca="1">IFERROR(__xludf.DUMMYFUNCTION("""COMPUTED_VALUE"""),1977)</f>
        <v>1977</v>
      </c>
      <c r="G2632" s="1">
        <f ca="1">IFERROR(__xludf.DUMMYFUNCTION("""COMPUTED_VALUE"""),2276)</f>
        <v>2276</v>
      </c>
      <c r="H2632" s="1" t="str">
        <f ca="1">IFERROR(__xludf.DUMMYFUNCTION("""COMPUTED_VALUE"""),"MTLSZ002276A15")</f>
        <v>MTLSZ002276A15</v>
      </c>
      <c r="I2632" s="2">
        <f ca="1">IFERROR(__xludf.DUMMYFUNCTION("""COMPUTED_VALUE"""),42244)</f>
        <v>42244</v>
      </c>
      <c r="J2632" s="2">
        <f ca="1">IFERROR(__xludf.DUMMYFUNCTION("""COMPUTED_VALUE"""),42609)</f>
        <v>42609</v>
      </c>
    </row>
    <row r="2633" spans="1:10" x14ac:dyDescent="0.25">
      <c r="A2633" s="1" t="str">
        <f ca="1">IFERROR(__xludf.DUMMYFUNCTION("""COMPUTED_VALUE"""),"Multi Alarm SE")</f>
        <v>Multi Alarm SE</v>
      </c>
      <c r="B2633" s="1" t="str">
        <f ca="1">IFERROR(__xludf.DUMMYFUNCTION("""COMPUTED_VALUE"""),"Gyöngyi Benedek")</f>
        <v>Gyöngyi Benedek</v>
      </c>
      <c r="C2633" s="1"/>
      <c r="D2633" s="1" t="str">
        <f ca="1">IFERROR(__xludf.DUMMYFUNCTION("""COMPUTED_VALUE"""),"Férfi")</f>
        <v>Férfi</v>
      </c>
      <c r="E2633" s="1"/>
      <c r="F2633" s="1">
        <f ca="1">IFERROR(__xludf.DUMMYFUNCTION("""COMPUTED_VALUE"""),2002)</f>
        <v>2002</v>
      </c>
      <c r="G2633" s="1">
        <f ca="1">IFERROR(__xludf.DUMMYFUNCTION("""COMPUTED_VALUE"""),2659)</f>
        <v>2659</v>
      </c>
      <c r="H2633" s="1" t="str">
        <f ca="1">IFERROR(__xludf.DUMMYFUNCTION("""COMPUTED_VALUE"""),"MTLSZ002659A15")</f>
        <v>MTLSZ002659A15</v>
      </c>
      <c r="I2633" s="2">
        <f ca="1">IFERROR(__xludf.DUMMYFUNCTION("""COMPUTED_VALUE"""),42224)</f>
        <v>42224</v>
      </c>
      <c r="J2633" s="2">
        <f ca="1">IFERROR(__xludf.DUMMYFUNCTION("""COMPUTED_VALUE"""),42589)</f>
        <v>42589</v>
      </c>
    </row>
    <row r="2634" spans="1:10" x14ac:dyDescent="0.25">
      <c r="A2634" s="1" t="str">
        <f ca="1">IFERROR(__xludf.DUMMYFUNCTION("""COMPUTED_VALUE"""),"Multi Alarm SE")</f>
        <v>Multi Alarm SE</v>
      </c>
      <c r="B2634" s="1" t="str">
        <f ca="1">IFERROR(__xludf.DUMMYFUNCTION("""COMPUTED_VALUE"""),"Jung Kata")</f>
        <v>Jung Kata</v>
      </c>
      <c r="C2634" s="1"/>
      <c r="D2634" s="1" t="str">
        <f ca="1">IFERROR(__xludf.DUMMYFUNCTION("""COMPUTED_VALUE"""),"Nő")</f>
        <v>Nő</v>
      </c>
      <c r="E2634" s="1"/>
      <c r="F2634" s="1">
        <f ca="1">IFERROR(__xludf.DUMMYFUNCTION("""COMPUTED_VALUE"""),2003)</f>
        <v>2003</v>
      </c>
      <c r="G2634" s="1">
        <f ca="1">IFERROR(__xludf.DUMMYFUNCTION("""COMPUTED_VALUE"""),2609)</f>
        <v>2609</v>
      </c>
      <c r="H2634" s="1" t="str">
        <f ca="1">IFERROR(__xludf.DUMMYFUNCTION("""COMPUTED_VALUE"""),"MTLSZ002609A15")</f>
        <v>MTLSZ002609A15</v>
      </c>
      <c r="I2634" s="2">
        <f ca="1">IFERROR(__xludf.DUMMYFUNCTION("""COMPUTED_VALUE"""),42224)</f>
        <v>42224</v>
      </c>
      <c r="J2634" s="2">
        <f ca="1">IFERROR(__xludf.DUMMYFUNCTION("""COMPUTED_VALUE"""),42589)</f>
        <v>42589</v>
      </c>
    </row>
    <row r="2635" spans="1:10" x14ac:dyDescent="0.25">
      <c r="A2635" s="1" t="str">
        <f ca="1">IFERROR(__xludf.DUMMYFUNCTION("""COMPUTED_VALUE"""),"Multi Alarm SE")</f>
        <v>Multi Alarm SE</v>
      </c>
      <c r="B2635" s="1" t="str">
        <f ca="1">IFERROR(__xludf.DUMMYFUNCTION("""COMPUTED_VALUE"""),"Papp Tittina")</f>
        <v>Papp Tittina</v>
      </c>
      <c r="C2635" s="1"/>
      <c r="D2635" s="1" t="str">
        <f ca="1">IFERROR(__xludf.DUMMYFUNCTION("""COMPUTED_VALUE"""),"Nő")</f>
        <v>Nő</v>
      </c>
      <c r="E2635" s="1"/>
      <c r="F2635" s="1">
        <f ca="1">IFERROR(__xludf.DUMMYFUNCTION("""COMPUTED_VALUE"""),2000)</f>
        <v>2000</v>
      </c>
      <c r="G2635" s="1">
        <f ca="1">IFERROR(__xludf.DUMMYFUNCTION("""COMPUTED_VALUE"""),2054)</f>
        <v>2054</v>
      </c>
      <c r="H2635" s="1" t="str">
        <f ca="1">IFERROR(__xludf.DUMMYFUNCTION("""COMPUTED_VALUE"""),"MTLSZ002054A15")</f>
        <v>MTLSZ002054A15</v>
      </c>
      <c r="I2635" s="2">
        <f ca="1">IFERROR(__xludf.DUMMYFUNCTION("""COMPUTED_VALUE"""),42224)</f>
        <v>42224</v>
      </c>
      <c r="J2635" s="2">
        <f ca="1">IFERROR(__xludf.DUMMYFUNCTION("""COMPUTED_VALUE"""),42589)</f>
        <v>42589</v>
      </c>
    </row>
    <row r="2636" spans="1:10" x14ac:dyDescent="0.25">
      <c r="A2636" s="1" t="str">
        <f ca="1">IFERROR(__xludf.DUMMYFUNCTION("""COMPUTED_VALUE"""),"Danubius KSE")</f>
        <v>Danubius KSE</v>
      </c>
      <c r="B2636" s="1" t="str">
        <f ca="1">IFERROR(__xludf.DUMMYFUNCTION("""COMPUTED_VALUE"""),"Zuniga Ádám")</f>
        <v>Zuniga Ádám</v>
      </c>
      <c r="C2636" s="1"/>
      <c r="D2636" s="1" t="str">
        <f ca="1">IFERROR(__xludf.DUMMYFUNCTION("""COMPUTED_VALUE"""),"Férfi")</f>
        <v>Férfi</v>
      </c>
      <c r="E2636" s="1"/>
      <c r="F2636" s="1">
        <f ca="1">IFERROR(__xludf.DUMMYFUNCTION("""COMPUTED_VALUE"""),2004)</f>
        <v>2004</v>
      </c>
      <c r="G2636" s="1">
        <f ca="1">IFERROR(__xludf.DUMMYFUNCTION("""COMPUTED_VALUE"""),2704)</f>
        <v>2704</v>
      </c>
      <c r="H2636" s="1" t="str">
        <f ca="1">IFERROR(__xludf.DUMMYFUNCTION("""COMPUTED_VALUE"""),"MTLSZ002704A15")</f>
        <v>MTLSZ002704A15</v>
      </c>
      <c r="I2636" s="2">
        <f ca="1">IFERROR(__xludf.DUMMYFUNCTION("""COMPUTED_VALUE"""),42126)</f>
        <v>42126</v>
      </c>
      <c r="J2636" s="2">
        <f ca="1">IFERROR(__xludf.DUMMYFUNCTION("""COMPUTED_VALUE"""),42491)</f>
        <v>42491</v>
      </c>
    </row>
    <row r="2637" spans="1:10" x14ac:dyDescent="0.25">
      <c r="A2637" s="1" t="str">
        <f ca="1">IFERROR(__xludf.DUMMYFUNCTION("""COMPUTED_VALUE"""),"Multi Alarm SE")</f>
        <v>Multi Alarm SE</v>
      </c>
      <c r="B2637" s="1" t="str">
        <f ca="1">IFERROR(__xludf.DUMMYFUNCTION("""COMPUTED_VALUE"""),"Kiss Enikő Éva")</f>
        <v>Kiss Enikő Éva</v>
      </c>
      <c r="C2637" s="1"/>
      <c r="D2637" s="1" t="str">
        <f ca="1">IFERROR(__xludf.DUMMYFUNCTION("""COMPUTED_VALUE"""),"Nő")</f>
        <v>Nő</v>
      </c>
      <c r="E2637" s="1"/>
      <c r="F2637" s="1">
        <f ca="1">IFERROR(__xludf.DUMMYFUNCTION("""COMPUTED_VALUE"""),2000)</f>
        <v>2000</v>
      </c>
      <c r="G2637" s="1">
        <f ca="1">IFERROR(__xludf.DUMMYFUNCTION("""COMPUTED_VALUE"""),2590)</f>
        <v>2590</v>
      </c>
      <c r="H2637" s="1" t="str">
        <f ca="1">IFERROR(__xludf.DUMMYFUNCTION("""COMPUTED_VALUE"""),"MTLSZ002590A15")</f>
        <v>MTLSZ002590A15</v>
      </c>
      <c r="I2637" s="2">
        <f ca="1">IFERROR(__xludf.DUMMYFUNCTION("""COMPUTED_VALUE"""),42124)</f>
        <v>42124</v>
      </c>
      <c r="J2637" s="2">
        <f ca="1">IFERROR(__xludf.DUMMYFUNCTION("""COMPUTED_VALUE"""),42489)</f>
        <v>42489</v>
      </c>
    </row>
    <row r="2638" spans="1:10" x14ac:dyDescent="0.25">
      <c r="A2638" s="1" t="str">
        <f ca="1">IFERROR(__xludf.DUMMYFUNCTION("""COMPUTED_VALUE"""),"Vízművek SK")</f>
        <v>Vízművek SK</v>
      </c>
      <c r="B2638" s="1" t="str">
        <f ca="1">IFERROR(__xludf.DUMMYFUNCTION("""COMPUTED_VALUE"""),"Borsányi Gergely")</f>
        <v>Borsányi Gergely</v>
      </c>
      <c r="C2638" s="1"/>
      <c r="D2638" s="1" t="str">
        <f ca="1">IFERROR(__xludf.DUMMYFUNCTION("""COMPUTED_VALUE"""),"Férfi")</f>
        <v>Férfi</v>
      </c>
      <c r="E2638" s="1"/>
      <c r="F2638" s="1">
        <f ca="1">IFERROR(__xludf.DUMMYFUNCTION("""COMPUTED_VALUE"""),1997)</f>
        <v>1997</v>
      </c>
      <c r="G2638" s="1">
        <f ca="1">IFERROR(__xludf.DUMMYFUNCTION("""COMPUTED_VALUE"""),1985)</f>
        <v>1985</v>
      </c>
      <c r="H2638" s="1" t="str">
        <f ca="1">IFERROR(__xludf.DUMMYFUNCTION("""COMPUTED_VALUE"""),"MTLSZ001985A15")</f>
        <v>MTLSZ001985A15</v>
      </c>
      <c r="I2638" s="2">
        <f ca="1">IFERROR(__xludf.DUMMYFUNCTION("""COMPUTED_VALUE"""),42119)</f>
        <v>42119</v>
      </c>
      <c r="J2638" s="2">
        <f ca="1">IFERROR(__xludf.DUMMYFUNCTION("""COMPUTED_VALUE"""),42484)</f>
        <v>42484</v>
      </c>
    </row>
    <row r="2639" spans="1:10" x14ac:dyDescent="0.25">
      <c r="A2639" s="1" t="str">
        <f ca="1">IFERROR(__xludf.DUMMYFUNCTION("""COMPUTED_VALUE"""),"Multi Alarm SE")</f>
        <v>Multi Alarm SE</v>
      </c>
      <c r="B2639" s="1" t="str">
        <f ca="1">IFERROR(__xludf.DUMMYFUNCTION("""COMPUTED_VALUE"""),"Balog Levente")</f>
        <v>Balog Levente</v>
      </c>
      <c r="C2639" s="1"/>
      <c r="D2639" s="1" t="str">
        <f ca="1">IFERROR(__xludf.DUMMYFUNCTION("""COMPUTED_VALUE"""),"Férfi")</f>
        <v>Férfi</v>
      </c>
      <c r="E2639" s="1"/>
      <c r="F2639" s="1">
        <f ca="1">IFERROR(__xludf.DUMMYFUNCTION("""COMPUTED_VALUE"""),2003)</f>
        <v>2003</v>
      </c>
      <c r="G2639" s="1">
        <f ca="1">IFERROR(__xludf.DUMMYFUNCTION("""COMPUTED_VALUE"""),2698)</f>
        <v>2698</v>
      </c>
      <c r="H2639" s="1" t="str">
        <f ca="1">IFERROR(__xludf.DUMMYFUNCTION("""COMPUTED_VALUE"""),"MTLSZ002698A15")</f>
        <v>MTLSZ002698A15</v>
      </c>
      <c r="I2639" s="2">
        <f ca="1">IFERROR(__xludf.DUMMYFUNCTION("""COMPUTED_VALUE"""),42116)</f>
        <v>42116</v>
      </c>
      <c r="J2639" s="2">
        <f ca="1">IFERROR(__xludf.DUMMYFUNCTION("""COMPUTED_VALUE"""),42481)</f>
        <v>42481</v>
      </c>
    </row>
    <row r="2640" spans="1:10" x14ac:dyDescent="0.25">
      <c r="A2640" s="1" t="str">
        <f ca="1">IFERROR(__xludf.DUMMYFUNCTION("""COMPUTED_VALUE"""),"Multi Alarm SE")</f>
        <v>Multi Alarm SE</v>
      </c>
      <c r="B2640" s="1" t="str">
        <f ca="1">IFERROR(__xludf.DUMMYFUNCTION("""COMPUTED_VALUE"""),"Somogyi Mátyás")</f>
        <v>Somogyi Mátyás</v>
      </c>
      <c r="C2640" s="1"/>
      <c r="D2640" s="1" t="str">
        <f ca="1">IFERROR(__xludf.DUMMYFUNCTION("""COMPUTED_VALUE"""),"Férfi")</f>
        <v>Férfi</v>
      </c>
      <c r="E2640" s="1"/>
      <c r="F2640" s="1">
        <f ca="1">IFERROR(__xludf.DUMMYFUNCTION("""COMPUTED_VALUE"""),1999)</f>
        <v>1999</v>
      </c>
      <c r="G2640" s="1">
        <f ca="1">IFERROR(__xludf.DUMMYFUNCTION("""COMPUTED_VALUE"""),2700)</f>
        <v>2700</v>
      </c>
      <c r="H2640" s="1" t="str">
        <f ca="1">IFERROR(__xludf.DUMMYFUNCTION("""COMPUTED_VALUE"""),"MTLSZ002700A15")</f>
        <v>MTLSZ002700A15</v>
      </c>
      <c r="I2640" s="2">
        <f ca="1">IFERROR(__xludf.DUMMYFUNCTION("""COMPUTED_VALUE"""),42116)</f>
        <v>42116</v>
      </c>
      <c r="J2640" s="2">
        <f ca="1">IFERROR(__xludf.DUMMYFUNCTION("""COMPUTED_VALUE"""),42481)</f>
        <v>42481</v>
      </c>
    </row>
    <row r="2641" spans="1:10" x14ac:dyDescent="0.25">
      <c r="A2641" s="1" t="str">
        <f ca="1">IFERROR(__xludf.DUMMYFUNCTION("""COMPUTED_VALUE"""),"Multi Alarm SE")</f>
        <v>Multi Alarm SE</v>
      </c>
      <c r="B2641" s="1" t="str">
        <f ca="1">IFERROR(__xludf.DUMMYFUNCTION("""COMPUTED_VALUE"""),"Somogyi Réka")</f>
        <v>Somogyi Réka</v>
      </c>
      <c r="C2641" s="1"/>
      <c r="D2641" s="1" t="str">
        <f ca="1">IFERROR(__xludf.DUMMYFUNCTION("""COMPUTED_VALUE"""),"Nő")</f>
        <v>Nő</v>
      </c>
      <c r="E2641" s="1"/>
      <c r="F2641" s="1">
        <f ca="1">IFERROR(__xludf.DUMMYFUNCTION("""COMPUTED_VALUE"""),2004)</f>
        <v>2004</v>
      </c>
      <c r="G2641" s="1">
        <f ca="1">IFERROR(__xludf.DUMMYFUNCTION("""COMPUTED_VALUE"""),2699)</f>
        <v>2699</v>
      </c>
      <c r="H2641" s="1" t="str">
        <f ca="1">IFERROR(__xludf.DUMMYFUNCTION("""COMPUTED_VALUE"""),"MTLSZ002699A15")</f>
        <v>MTLSZ002699A15</v>
      </c>
      <c r="I2641" s="2">
        <f ca="1">IFERROR(__xludf.DUMMYFUNCTION("""COMPUTED_VALUE"""),42116)</f>
        <v>42116</v>
      </c>
      <c r="J2641" s="2">
        <f ca="1">IFERROR(__xludf.DUMMYFUNCTION("""COMPUTED_VALUE"""),42481)</f>
        <v>42481</v>
      </c>
    </row>
    <row r="2642" spans="1:10" x14ac:dyDescent="0.25">
      <c r="A2642" s="1" t="str">
        <f ca="1">IFERROR(__xludf.DUMMYFUNCTION("""COMPUTED_VALUE"""),"Danubius KSE")</f>
        <v>Danubius KSE</v>
      </c>
      <c r="B2642" s="1" t="str">
        <f ca="1">IFERROR(__xludf.DUMMYFUNCTION("""COMPUTED_VALUE"""),"Szalontai Szven")</f>
        <v>Szalontai Szven</v>
      </c>
      <c r="C2642" s="1"/>
      <c r="D2642" s="1" t="str">
        <f ca="1">IFERROR(__xludf.DUMMYFUNCTION("""COMPUTED_VALUE"""),"Férfi")</f>
        <v>Férfi</v>
      </c>
      <c r="E2642" s="1"/>
      <c r="F2642" s="1">
        <f ca="1">IFERROR(__xludf.DUMMYFUNCTION("""COMPUTED_VALUE"""),2004)</f>
        <v>2004</v>
      </c>
      <c r="G2642" s="1">
        <f ca="1">IFERROR(__xludf.DUMMYFUNCTION("""COMPUTED_VALUE"""),2592)</f>
        <v>2592</v>
      </c>
      <c r="H2642" s="1" t="str">
        <f ca="1">IFERROR(__xludf.DUMMYFUNCTION("""COMPUTED_VALUE"""),"MTLSZ002592A15")</f>
        <v>MTLSZ002592A15</v>
      </c>
      <c r="I2642" s="2">
        <f ca="1">IFERROR(__xludf.DUMMYFUNCTION("""COMPUTED_VALUE"""),42114)</f>
        <v>42114</v>
      </c>
      <c r="J2642" s="2">
        <f ca="1">IFERROR(__xludf.DUMMYFUNCTION("""COMPUTED_VALUE"""),42479)</f>
        <v>42479</v>
      </c>
    </row>
    <row r="2643" spans="1:10" x14ac:dyDescent="0.25">
      <c r="A2643" s="1" t="str">
        <f ca="1">IFERROR(__xludf.DUMMYFUNCTION("""COMPUTED_VALUE"""),"Danubius KSE")</f>
        <v>Danubius KSE</v>
      </c>
      <c r="B2643" s="1" t="str">
        <f ca="1">IFERROR(__xludf.DUMMYFUNCTION("""COMPUTED_VALUE"""),"Tarczal Kira")</f>
        <v>Tarczal Kira</v>
      </c>
      <c r="C2643" s="1"/>
      <c r="D2643" s="1" t="str">
        <f ca="1">IFERROR(__xludf.DUMMYFUNCTION("""COMPUTED_VALUE"""),"Nő")</f>
        <v>Nő</v>
      </c>
      <c r="E2643" s="1"/>
      <c r="F2643" s="1">
        <f ca="1">IFERROR(__xludf.DUMMYFUNCTION("""COMPUTED_VALUE"""),2004)</f>
        <v>2004</v>
      </c>
      <c r="G2643" s="1">
        <f ca="1">IFERROR(__xludf.DUMMYFUNCTION("""COMPUTED_VALUE"""),2593)</f>
        <v>2593</v>
      </c>
      <c r="H2643" s="1" t="str">
        <f ca="1">IFERROR(__xludf.DUMMYFUNCTION("""COMPUTED_VALUE"""),"MTLSZ002593A15")</f>
        <v>MTLSZ002593A15</v>
      </c>
      <c r="I2643" s="2">
        <f ca="1">IFERROR(__xludf.DUMMYFUNCTION("""COMPUTED_VALUE"""),42114)</f>
        <v>42114</v>
      </c>
      <c r="J2643" s="2">
        <f ca="1">IFERROR(__xludf.DUMMYFUNCTION("""COMPUTED_VALUE"""),42479)</f>
        <v>42479</v>
      </c>
    </row>
    <row r="2644" spans="1:10" x14ac:dyDescent="0.25">
      <c r="A2644" s="1" t="str">
        <f ca="1">IFERROR(__xludf.DUMMYFUNCTION("""COMPUTED_VALUE"""),"Hajdú TSE")</f>
        <v>Hajdú TSE</v>
      </c>
      <c r="B2644" s="1" t="str">
        <f ca="1">IFERROR(__xludf.DUMMYFUNCTION("""COMPUTED_VALUE"""),"Pinczés Izabella")</f>
        <v>Pinczés Izabella</v>
      </c>
      <c r="C2644" s="1"/>
      <c r="D2644" s="1" t="str">
        <f ca="1">IFERROR(__xludf.DUMMYFUNCTION("""COMPUTED_VALUE"""),"Nő")</f>
        <v>Nő</v>
      </c>
      <c r="E2644" s="1"/>
      <c r="F2644" s="1">
        <f ca="1">IFERROR(__xludf.DUMMYFUNCTION("""COMPUTED_VALUE"""),2003)</f>
        <v>2003</v>
      </c>
      <c r="G2644" s="1">
        <f ca="1">IFERROR(__xludf.DUMMYFUNCTION("""COMPUTED_VALUE"""),2695)</f>
        <v>2695</v>
      </c>
      <c r="H2644" s="1" t="str">
        <f ca="1">IFERROR(__xludf.DUMMYFUNCTION("""COMPUTED_VALUE"""),"MTLSZ002695A15")</f>
        <v>MTLSZ002695A15</v>
      </c>
      <c r="I2644" s="2">
        <f ca="1">IFERROR(__xludf.DUMMYFUNCTION("""COMPUTED_VALUE"""),42103)</f>
        <v>42103</v>
      </c>
      <c r="J2644" s="2">
        <f ca="1">IFERROR(__xludf.DUMMYFUNCTION("""COMPUTED_VALUE"""),42468)</f>
        <v>42468</v>
      </c>
    </row>
    <row r="2645" spans="1:10" x14ac:dyDescent="0.25">
      <c r="A2645" s="1" t="str">
        <f ca="1">IFERROR(__xludf.DUMMYFUNCTION("""COMPUTED_VALUE"""),"Vízművek SK")</f>
        <v>Vízművek SK</v>
      </c>
      <c r="B2645" s="1" t="str">
        <f ca="1">IFERROR(__xludf.DUMMYFUNCTION("""COMPUTED_VALUE"""),"Lőrincz Dániel")</f>
        <v>Lőrincz Dániel</v>
      </c>
      <c r="C2645" s="1"/>
      <c r="D2645" s="1" t="str">
        <f ca="1">IFERROR(__xludf.DUMMYFUNCTION("""COMPUTED_VALUE"""),"Férfi")</f>
        <v>Férfi</v>
      </c>
      <c r="E2645" s="1"/>
      <c r="F2645" s="1">
        <f ca="1">IFERROR(__xludf.DUMMYFUNCTION("""COMPUTED_VALUE"""),1988)</f>
        <v>1988</v>
      </c>
      <c r="G2645" s="1">
        <f ca="1">IFERROR(__xludf.DUMMYFUNCTION("""COMPUTED_VALUE"""),1439)</f>
        <v>1439</v>
      </c>
      <c r="H2645" s="1" t="str">
        <f ca="1">IFERROR(__xludf.DUMMYFUNCTION("""COMPUTED_VALUE"""),"MTLSZ001439A15")</f>
        <v>MTLSZ001439A15</v>
      </c>
      <c r="I2645" s="2">
        <f ca="1">IFERROR(__xludf.DUMMYFUNCTION("""COMPUTED_VALUE"""),42102)</f>
        <v>42102</v>
      </c>
      <c r="J2645" s="2">
        <f ca="1">IFERROR(__xludf.DUMMYFUNCTION("""COMPUTED_VALUE"""),42467)</f>
        <v>42467</v>
      </c>
    </row>
    <row r="2646" spans="1:10" x14ac:dyDescent="0.25">
      <c r="A2646" s="1" t="str">
        <f ca="1">IFERROR(__xludf.DUMMYFUNCTION("""COMPUTED_VALUE"""),"Vízművek SK")</f>
        <v>Vízművek SK</v>
      </c>
      <c r="B2646" s="1" t="str">
        <f ca="1">IFERROR(__xludf.DUMMYFUNCTION("""COMPUTED_VALUE"""),"Varga Levente")</f>
        <v>Varga Levente</v>
      </c>
      <c r="C2646" s="1"/>
      <c r="D2646" s="1" t="str">
        <f ca="1">IFERROR(__xludf.DUMMYFUNCTION("""COMPUTED_VALUE"""),"Férfi")</f>
        <v>Férfi</v>
      </c>
      <c r="E2646" s="1"/>
      <c r="F2646" s="1">
        <f ca="1">IFERROR(__xludf.DUMMYFUNCTION("""COMPUTED_VALUE"""),1994)</f>
        <v>1994</v>
      </c>
      <c r="G2646" s="1">
        <f ca="1">IFERROR(__xludf.DUMMYFUNCTION("""COMPUTED_VALUE"""),2484)</f>
        <v>2484</v>
      </c>
      <c r="H2646" s="1" t="str">
        <f ca="1">IFERROR(__xludf.DUMMYFUNCTION("""COMPUTED_VALUE"""),"MTLSZ002484A15")</f>
        <v>MTLSZ002484A15</v>
      </c>
      <c r="I2646" s="2">
        <f ca="1">IFERROR(__xludf.DUMMYFUNCTION("""COMPUTED_VALUE"""),42102)</f>
        <v>42102</v>
      </c>
      <c r="J2646" s="2">
        <f ca="1">IFERROR(__xludf.DUMMYFUNCTION("""COMPUTED_VALUE"""),42467)</f>
        <v>42467</v>
      </c>
    </row>
    <row r="2647" spans="1:10" x14ac:dyDescent="0.25">
      <c r="A2647" s="1" t="str">
        <f ca="1">IFERROR(__xludf.DUMMYFUNCTION("""COMPUTED_VALUE"""),"Tisza TSE")</f>
        <v>Tisza TSE</v>
      </c>
      <c r="B2647" s="1" t="str">
        <f ca="1">IFERROR(__xludf.DUMMYFUNCTION("""COMPUTED_VALUE"""),"Szőke Mónika")</f>
        <v>Szőke Mónika</v>
      </c>
      <c r="C2647" s="1"/>
      <c r="D2647" s="1" t="str">
        <f ca="1">IFERROR(__xludf.DUMMYFUNCTION("""COMPUTED_VALUE"""),"Nő")</f>
        <v>Nő</v>
      </c>
      <c r="E2647" s="1"/>
      <c r="F2647" s="1">
        <f ca="1">IFERROR(__xludf.DUMMYFUNCTION("""COMPUTED_VALUE"""),1991)</f>
        <v>1991</v>
      </c>
      <c r="G2647" s="1">
        <f ca="1">IFERROR(__xludf.DUMMYFUNCTION("""COMPUTED_VALUE"""),1338)</f>
        <v>1338</v>
      </c>
      <c r="H2647" s="1" t="str">
        <f ca="1">IFERROR(__xludf.DUMMYFUNCTION("""COMPUTED_VALUE"""),"MTLSZ001338A15")</f>
        <v>MTLSZ001338A15</v>
      </c>
      <c r="I2647" s="2">
        <f ca="1">IFERROR(__xludf.DUMMYFUNCTION("""COMPUTED_VALUE"""),42102)</f>
        <v>42102</v>
      </c>
      <c r="J2647" s="2">
        <f ca="1">IFERROR(__xludf.DUMMYFUNCTION("""COMPUTED_VALUE"""),42467)</f>
        <v>42467</v>
      </c>
    </row>
    <row r="2648" spans="1:10" x14ac:dyDescent="0.25">
      <c r="A2648" s="1" t="str">
        <f ca="1">IFERROR(__xludf.DUMMYFUNCTION("""COMPUTED_VALUE"""),"Diaboló SE")</f>
        <v>Diaboló SE</v>
      </c>
      <c r="B2648" s="1" t="str">
        <f ca="1">IFERROR(__xludf.DUMMYFUNCTION("""COMPUTED_VALUE"""),"Tóth Ádám")</f>
        <v>Tóth Ádám</v>
      </c>
      <c r="C2648" s="1"/>
      <c r="D2648" s="1" t="str">
        <f ca="1">IFERROR(__xludf.DUMMYFUNCTION("""COMPUTED_VALUE"""),"Férfi")</f>
        <v>Férfi</v>
      </c>
      <c r="E2648" s="1"/>
      <c r="F2648" s="1">
        <f ca="1">IFERROR(__xludf.DUMMYFUNCTION("""COMPUTED_VALUE"""),1988)</f>
        <v>1988</v>
      </c>
      <c r="G2648" s="1">
        <f ca="1">IFERROR(__xludf.DUMMYFUNCTION("""COMPUTED_VALUE"""),2527)</f>
        <v>2527</v>
      </c>
      <c r="H2648" s="1" t="str">
        <f ca="1">IFERROR(__xludf.DUMMYFUNCTION("""COMPUTED_VALUE"""),"MTLSZ002527A15")</f>
        <v>MTLSZ002527A15</v>
      </c>
      <c r="I2648" s="2">
        <f ca="1">IFERROR(__xludf.DUMMYFUNCTION("""COMPUTED_VALUE"""),42088)</f>
        <v>42088</v>
      </c>
      <c r="J2648" s="2">
        <f ca="1">IFERROR(__xludf.DUMMYFUNCTION("""COMPUTED_VALUE"""),42453)</f>
        <v>42453</v>
      </c>
    </row>
    <row r="2649" spans="1:10" x14ac:dyDescent="0.25">
      <c r="A2649" s="1" t="str">
        <f ca="1">IFERROR(__xludf.DUMMYFUNCTION("""COMPUTED_VALUE"""),"Multi Alarm SE")</f>
        <v>Multi Alarm SE</v>
      </c>
      <c r="B2649" s="1" t="str">
        <f ca="1">IFERROR(__xludf.DUMMYFUNCTION("""COMPUTED_VALUE"""),"Sárosi Réka")</f>
        <v>Sárosi Réka</v>
      </c>
      <c r="C2649" s="1"/>
      <c r="D2649" s="1" t="str">
        <f ca="1">IFERROR(__xludf.DUMMYFUNCTION("""COMPUTED_VALUE"""),"Nő")</f>
        <v>Nő</v>
      </c>
      <c r="E2649" s="1"/>
      <c r="F2649" s="1">
        <f ca="1">IFERROR(__xludf.DUMMYFUNCTION("""COMPUTED_VALUE"""),1989)</f>
        <v>1989</v>
      </c>
      <c r="G2649" s="1">
        <f ca="1">IFERROR(__xludf.DUMMYFUNCTION("""COMPUTED_VALUE"""),836)</f>
        <v>836</v>
      </c>
      <c r="H2649" s="1" t="str">
        <f ca="1">IFERROR(__xludf.DUMMYFUNCTION("""COMPUTED_VALUE"""),"MTLSZ000836A15")</f>
        <v>MTLSZ000836A15</v>
      </c>
      <c r="I2649" s="2">
        <f ca="1">IFERROR(__xludf.DUMMYFUNCTION("""COMPUTED_VALUE"""),42082)</f>
        <v>42082</v>
      </c>
      <c r="J2649" s="2">
        <f ca="1">IFERROR(__xludf.DUMMYFUNCTION("""COMPUTED_VALUE"""),42447)</f>
        <v>42447</v>
      </c>
    </row>
    <row r="2650" spans="1:10" x14ac:dyDescent="0.25">
      <c r="A2650" s="1" t="str">
        <f ca="1">IFERROR(__xludf.DUMMYFUNCTION("""COMPUTED_VALUE"""),"Alba-Toll SE")</f>
        <v>Alba-Toll SE</v>
      </c>
      <c r="B2650" s="1" t="str">
        <f ca="1">IFERROR(__xludf.DUMMYFUNCTION("""COMPUTED_VALUE"""),"Nyírő Mátyás")</f>
        <v>Nyírő Mátyás</v>
      </c>
      <c r="C2650" s="1"/>
      <c r="D2650" s="1" t="str">
        <f ca="1">IFERROR(__xludf.DUMMYFUNCTION("""COMPUTED_VALUE"""),"Férfi")</f>
        <v>Férfi</v>
      </c>
      <c r="E2650" s="1"/>
      <c r="F2650" s="1">
        <f ca="1">IFERROR(__xludf.DUMMYFUNCTION("""COMPUTED_VALUE"""),1995)</f>
        <v>1995</v>
      </c>
      <c r="G2650" s="1">
        <f ca="1">IFERROR(__xludf.DUMMYFUNCTION("""COMPUTED_VALUE"""),2169)</f>
        <v>2169</v>
      </c>
      <c r="H2650" s="1" t="str">
        <f ca="1">IFERROR(__xludf.DUMMYFUNCTION("""COMPUTED_VALUE"""),"MTLSZ002169A15")</f>
        <v>MTLSZ002169A15</v>
      </c>
      <c r="I2650" s="2">
        <f ca="1">IFERROR(__xludf.DUMMYFUNCTION("""COMPUTED_VALUE"""),42053)</f>
        <v>42053</v>
      </c>
      <c r="J2650" s="2">
        <f ca="1">IFERROR(__xludf.DUMMYFUNCTION("""COMPUTED_VALUE"""),42417)</f>
        <v>42417</v>
      </c>
    </row>
    <row r="2651" spans="1:10" x14ac:dyDescent="0.25">
      <c r="A2651" s="1" t="str">
        <f ca="1">IFERROR(__xludf.DUMMYFUNCTION("""COMPUTED_VALUE"""),"Szegedi TSE")</f>
        <v>Szegedi TSE</v>
      </c>
      <c r="B2651" s="1" t="str">
        <f ca="1">IFERROR(__xludf.DUMMYFUNCTION("""COMPUTED_VALUE"""),"Viskolcz Béla")</f>
        <v>Viskolcz Béla</v>
      </c>
      <c r="C2651" s="1"/>
      <c r="D2651" s="1" t="str">
        <f ca="1">IFERROR(__xludf.DUMMYFUNCTION("""COMPUTED_VALUE"""),"Férfi")</f>
        <v>Férfi</v>
      </c>
      <c r="E2651" s="1"/>
      <c r="F2651" s="1">
        <f ca="1">IFERROR(__xludf.DUMMYFUNCTION("""COMPUTED_VALUE"""),1998)</f>
        <v>1998</v>
      </c>
      <c r="G2651" s="1">
        <f ca="1">IFERROR(__xludf.DUMMYFUNCTION("""COMPUTED_VALUE"""),1975)</f>
        <v>1975</v>
      </c>
      <c r="H2651" s="1" t="str">
        <f ca="1">IFERROR(__xludf.DUMMYFUNCTION("""COMPUTED_VALUE"""),"MTLSZ001975A15")</f>
        <v>MTLSZ001975A15</v>
      </c>
      <c r="I2651" s="2">
        <f ca="1">IFERROR(__xludf.DUMMYFUNCTION("""COMPUTED_VALUE"""),42053)</f>
        <v>42053</v>
      </c>
      <c r="J2651" s="2">
        <f ca="1">IFERROR(__xludf.DUMMYFUNCTION("""COMPUTED_VALUE"""),42417)</f>
        <v>42417</v>
      </c>
    </row>
    <row r="2652" spans="1:10" x14ac:dyDescent="0.25">
      <c r="A2652" s="1" t="str">
        <f ca="1">IFERROR(__xludf.DUMMYFUNCTION("""COMPUTED_VALUE"""),"Vízművek SK")</f>
        <v>Vízművek SK</v>
      </c>
      <c r="B2652" s="1" t="str">
        <f ca="1">IFERROR(__xludf.DUMMYFUNCTION("""COMPUTED_VALUE"""),"Hellner Balázs Máté")</f>
        <v>Hellner Balázs Máté</v>
      </c>
      <c r="C2652" s="1"/>
      <c r="D2652" s="1" t="str">
        <f ca="1">IFERROR(__xludf.DUMMYFUNCTION("""COMPUTED_VALUE"""),"Férfi")</f>
        <v>Férfi</v>
      </c>
      <c r="E2652" s="1"/>
      <c r="F2652" s="1">
        <f ca="1">IFERROR(__xludf.DUMMYFUNCTION("""COMPUTED_VALUE"""),1990)</f>
        <v>1990</v>
      </c>
      <c r="G2652" s="1">
        <f ca="1">IFERROR(__xludf.DUMMYFUNCTION("""COMPUTED_VALUE"""),2693)</f>
        <v>2693</v>
      </c>
      <c r="H2652" s="1" t="str">
        <f ca="1">IFERROR(__xludf.DUMMYFUNCTION("""COMPUTED_VALUE"""),"MTLSZ002693A15")</f>
        <v>MTLSZ002693A15</v>
      </c>
      <c r="I2652" s="2">
        <f ca="1">IFERROR(__xludf.DUMMYFUNCTION("""COMPUTED_VALUE"""),42037)</f>
        <v>42037</v>
      </c>
      <c r="J2652" s="2">
        <f ca="1">IFERROR(__xludf.DUMMYFUNCTION("""COMPUTED_VALUE"""),42401)</f>
        <v>42401</v>
      </c>
    </row>
    <row r="2653" spans="1:10" x14ac:dyDescent="0.25">
      <c r="A2653" s="1" t="str">
        <f ca="1">IFERROR(__xludf.DUMMYFUNCTION("""COMPUTED_VALUE"""),"DSK")</f>
        <v>DSK</v>
      </c>
      <c r="B2653" s="1" t="str">
        <f ca="1">IFERROR(__xludf.DUMMYFUNCTION("""COMPUTED_VALUE"""),"Göbölyös Vivien")</f>
        <v>Göbölyös Vivien</v>
      </c>
      <c r="C2653" s="1"/>
      <c r="D2653" s="1" t="str">
        <f ca="1">IFERROR(__xludf.DUMMYFUNCTION("""COMPUTED_VALUE"""),"Nő")</f>
        <v>Nő</v>
      </c>
      <c r="E2653" s="1"/>
      <c r="F2653" s="1">
        <f ca="1">IFERROR(__xludf.DUMMYFUNCTION("""COMPUTED_VALUE"""),2000)</f>
        <v>2000</v>
      </c>
      <c r="G2653" s="1">
        <f ca="1">IFERROR(__xludf.DUMMYFUNCTION("""COMPUTED_VALUE"""),2562)</f>
        <v>2562</v>
      </c>
      <c r="H2653" s="1" t="str">
        <f ca="1">IFERROR(__xludf.DUMMYFUNCTION("""COMPUTED_VALUE"""),"MTLSZ002562A15")</f>
        <v>MTLSZ002562A15</v>
      </c>
      <c r="I2653" s="2">
        <f ca="1">IFERROR(__xludf.DUMMYFUNCTION("""COMPUTED_VALUE"""),42024)</f>
        <v>42024</v>
      </c>
      <c r="J2653" s="2">
        <f ca="1">IFERROR(__xludf.DUMMYFUNCTION("""COMPUTED_VALUE"""),42388)</f>
        <v>42388</v>
      </c>
    </row>
    <row r="2654" spans="1:10" x14ac:dyDescent="0.25">
      <c r="A2654" s="1" t="str">
        <f ca="1">IFERROR(__xludf.DUMMYFUNCTION("""COMPUTED_VALUE"""),"DSK")</f>
        <v>DSK</v>
      </c>
      <c r="B2654" s="1" t="str">
        <f ca="1">IFERROR(__xludf.DUMMYFUNCTION("""COMPUTED_VALUE"""),"Markovics Levente")</f>
        <v>Markovics Levente</v>
      </c>
      <c r="C2654" s="1"/>
      <c r="D2654" s="1" t="str">
        <f ca="1">IFERROR(__xludf.DUMMYFUNCTION("""COMPUTED_VALUE"""),"Férfi")</f>
        <v>Férfi</v>
      </c>
      <c r="E2654" s="1"/>
      <c r="F2654" s="1">
        <f ca="1">IFERROR(__xludf.DUMMYFUNCTION("""COMPUTED_VALUE"""),2000)</f>
        <v>2000</v>
      </c>
      <c r="G2654" s="1">
        <f ca="1">IFERROR(__xludf.DUMMYFUNCTION("""COMPUTED_VALUE"""),2498)</f>
        <v>2498</v>
      </c>
      <c r="H2654" s="1" t="str">
        <f ca="1">IFERROR(__xludf.DUMMYFUNCTION("""COMPUTED_VALUE"""),"MTLSZ002498A15")</f>
        <v>MTLSZ002498A15</v>
      </c>
      <c r="I2654" s="2">
        <f ca="1">IFERROR(__xludf.DUMMYFUNCTION("""COMPUTED_VALUE"""),42024)</f>
        <v>42024</v>
      </c>
      <c r="J2654" s="2">
        <f ca="1">IFERROR(__xludf.DUMMYFUNCTION("""COMPUTED_VALUE"""),42388)</f>
        <v>42388</v>
      </c>
    </row>
    <row r="2655" spans="1:10" x14ac:dyDescent="0.25">
      <c r="A2655" s="1" t="str">
        <f ca="1">IFERROR(__xludf.DUMMYFUNCTION("""COMPUTED_VALUE"""),"DSC-SI")</f>
        <v>DSC-SI</v>
      </c>
      <c r="B2655" s="1" t="str">
        <f ca="1">IFERROR(__xludf.DUMMYFUNCTION("""COMPUTED_VALUE"""),"Vizi Boldizsár")</f>
        <v>Vizi Boldizsár</v>
      </c>
      <c r="C2655" s="1"/>
      <c r="D2655" s="1" t="str">
        <f ca="1">IFERROR(__xludf.DUMMYFUNCTION("""COMPUTED_VALUE"""),"Férfi")</f>
        <v>Férfi</v>
      </c>
      <c r="E2655" s="1"/>
      <c r="F2655" s="1">
        <f ca="1">IFERROR(__xludf.DUMMYFUNCTION("""COMPUTED_VALUE"""),2006)</f>
        <v>2006</v>
      </c>
      <c r="G2655" s="1">
        <f ca="1">IFERROR(__xludf.DUMMYFUNCTION("""COMPUTED_VALUE"""),2686)</f>
        <v>2686</v>
      </c>
      <c r="H2655" s="1" t="str">
        <f ca="1">IFERROR(__xludf.DUMMYFUNCTION("""COMPUTED_VALUE"""),"MTLSZ002686A15")</f>
        <v>MTLSZ002686A15</v>
      </c>
      <c r="I2655" s="2">
        <f ca="1">IFERROR(__xludf.DUMMYFUNCTION("""COMPUTED_VALUE"""),42016)</f>
        <v>42016</v>
      </c>
      <c r="J2655" s="2">
        <f ca="1">IFERROR(__xludf.DUMMYFUNCTION("""COMPUTED_VALUE"""),42380)</f>
        <v>42380</v>
      </c>
    </row>
    <row r="2656" spans="1:10" x14ac:dyDescent="0.25">
      <c r="A2656" s="1" t="str">
        <f ca="1">IFERROR(__xludf.DUMMYFUNCTION("""COMPUTED_VALUE"""),"DSC-SI")</f>
        <v>DSC-SI</v>
      </c>
      <c r="B2656" s="1" t="str">
        <f ca="1">IFERROR(__xludf.DUMMYFUNCTION("""COMPUTED_VALUE"""),"Vizi Zsigmond")</f>
        <v>Vizi Zsigmond</v>
      </c>
      <c r="C2656" s="1"/>
      <c r="D2656" s="1" t="str">
        <f ca="1">IFERROR(__xludf.DUMMYFUNCTION("""COMPUTED_VALUE"""),"Férfi")</f>
        <v>Férfi</v>
      </c>
      <c r="E2656" s="1"/>
      <c r="F2656" s="1">
        <f ca="1">IFERROR(__xludf.DUMMYFUNCTION("""COMPUTED_VALUE"""),2003)</f>
        <v>2003</v>
      </c>
      <c r="G2656" s="1">
        <f ca="1">IFERROR(__xludf.DUMMYFUNCTION("""COMPUTED_VALUE"""),2685)</f>
        <v>2685</v>
      </c>
      <c r="H2656" s="1" t="str">
        <f ca="1">IFERROR(__xludf.DUMMYFUNCTION("""COMPUTED_VALUE"""),"MTLSZ002685A15")</f>
        <v>MTLSZ002685A15</v>
      </c>
      <c r="I2656" s="2">
        <f ca="1">IFERROR(__xludf.DUMMYFUNCTION("""COMPUTED_VALUE"""),42016)</f>
        <v>42016</v>
      </c>
      <c r="J2656" s="2">
        <f ca="1">IFERROR(__xludf.DUMMYFUNCTION("""COMPUTED_VALUE"""),42380)</f>
        <v>42380</v>
      </c>
    </row>
    <row r="2657" spans="1:10" x14ac:dyDescent="0.25">
      <c r="A2657" s="1" t="str">
        <f ca="1">IFERROR(__xludf.DUMMYFUNCTION("""COMPUTED_VALUE"""),"BEAC")</f>
        <v>BEAC</v>
      </c>
      <c r="B2657" s="1" t="str">
        <f ca="1">IFERROR(__xludf.DUMMYFUNCTION("""COMPUTED_VALUE"""),"Marios Michael")</f>
        <v>Marios Michael</v>
      </c>
      <c r="C2657" s="1"/>
      <c r="D2657" s="1" t="str">
        <f ca="1">IFERROR(__xludf.DUMMYFUNCTION("""COMPUTED_VALUE"""),"Férfi")</f>
        <v>Férfi</v>
      </c>
      <c r="E2657" s="1"/>
      <c r="F2657" s="1">
        <f ca="1">IFERROR(__xludf.DUMMYFUNCTION("""COMPUTED_VALUE"""),1983)</f>
        <v>1983</v>
      </c>
      <c r="G2657" s="1">
        <f ca="1">IFERROR(__xludf.DUMMYFUNCTION("""COMPUTED_VALUE"""),1587)</f>
        <v>1587</v>
      </c>
      <c r="H2657" s="1" t="str">
        <f ca="1">IFERROR(__xludf.DUMMYFUNCTION("""COMPUTED_VALUE"""),"MTLSZ001587A14")</f>
        <v>MTLSZ001587A14</v>
      </c>
      <c r="I2657" s="2">
        <f ca="1">IFERROR(__xludf.DUMMYFUNCTION("""COMPUTED_VALUE"""),41991)</f>
        <v>41991</v>
      </c>
      <c r="J2657" s="2">
        <f ca="1">IFERROR(__xludf.DUMMYFUNCTION("""COMPUTED_VALUE"""),42355)</f>
        <v>42355</v>
      </c>
    </row>
    <row r="2658" spans="1:10" x14ac:dyDescent="0.25">
      <c r="A2658" s="1" t="str">
        <f ca="1">IFERROR(__xludf.DUMMYFUNCTION("""COMPUTED_VALUE"""),"BEAC")</f>
        <v>BEAC</v>
      </c>
      <c r="B2658" s="1" t="str">
        <f ca="1">IFERROR(__xludf.DUMMYFUNCTION("""COMPUTED_VALUE"""),"Martinovich Kristóf")</f>
        <v>Martinovich Kristóf</v>
      </c>
      <c r="C2658" s="1"/>
      <c r="D2658" s="1" t="str">
        <f ca="1">IFERROR(__xludf.DUMMYFUNCTION("""COMPUTED_VALUE"""),"Férfi")</f>
        <v>Férfi</v>
      </c>
      <c r="E2658" s="1"/>
      <c r="F2658" s="1">
        <f ca="1">IFERROR(__xludf.DUMMYFUNCTION("""COMPUTED_VALUE"""),1998)</f>
        <v>1998</v>
      </c>
      <c r="G2658" s="1">
        <f ca="1">IFERROR(__xludf.DUMMYFUNCTION("""COMPUTED_VALUE"""),2542)</f>
        <v>2542</v>
      </c>
      <c r="H2658" s="1" t="str">
        <f ca="1">IFERROR(__xludf.DUMMYFUNCTION("""COMPUTED_VALUE"""),"MTLSZ002542A14")</f>
        <v>MTLSZ002542A14</v>
      </c>
      <c r="I2658" s="2">
        <f ca="1">IFERROR(__xludf.DUMMYFUNCTION("""COMPUTED_VALUE"""),41991)</f>
        <v>41991</v>
      </c>
      <c r="J2658" s="2">
        <f ca="1">IFERROR(__xludf.DUMMYFUNCTION("""COMPUTED_VALUE"""),42355)</f>
        <v>42355</v>
      </c>
    </row>
    <row r="2659" spans="1:10" x14ac:dyDescent="0.25">
      <c r="A2659" s="1" t="str">
        <f ca="1">IFERROR(__xludf.DUMMYFUNCTION("""COMPUTED_VALUE"""),"BEAC")</f>
        <v>BEAC</v>
      </c>
      <c r="B2659" s="1" t="str">
        <f ca="1">IFERROR(__xludf.DUMMYFUNCTION("""COMPUTED_VALUE"""),"Nagy Attila")</f>
        <v>Nagy Attila</v>
      </c>
      <c r="C2659" s="1"/>
      <c r="D2659" s="1" t="str">
        <f ca="1">IFERROR(__xludf.DUMMYFUNCTION("""COMPUTED_VALUE"""),"Férfi")</f>
        <v>Férfi</v>
      </c>
      <c r="E2659" s="1"/>
      <c r="F2659" s="1">
        <f ca="1">IFERROR(__xludf.DUMMYFUNCTION("""COMPUTED_VALUE"""),1966)</f>
        <v>1966</v>
      </c>
      <c r="G2659" s="1">
        <f ca="1">IFERROR(__xludf.DUMMYFUNCTION("""COMPUTED_VALUE"""),678)</f>
        <v>678</v>
      </c>
      <c r="H2659" s="1" t="str">
        <f ca="1">IFERROR(__xludf.DUMMYFUNCTION("""COMPUTED_VALUE"""),"MTLSZ000678A14")</f>
        <v>MTLSZ000678A14</v>
      </c>
      <c r="I2659" s="2">
        <f ca="1">IFERROR(__xludf.DUMMYFUNCTION("""COMPUTED_VALUE"""),41991)</f>
        <v>41991</v>
      </c>
      <c r="J2659" s="2">
        <f ca="1">IFERROR(__xludf.DUMMYFUNCTION("""COMPUTED_VALUE"""),42355)</f>
        <v>42355</v>
      </c>
    </row>
    <row r="2660" spans="1:10" x14ac:dyDescent="0.25">
      <c r="A2660" s="1" t="str">
        <f ca="1">IFERROR(__xludf.DUMMYFUNCTION("""COMPUTED_VALUE"""),"BEAC")</f>
        <v>BEAC</v>
      </c>
      <c r="B2660" s="1" t="str">
        <f ca="1">IFERROR(__xludf.DUMMYFUNCTION("""COMPUTED_VALUE"""),"Ódor Andrea")</f>
        <v>Ódor Andrea</v>
      </c>
      <c r="C2660" s="1"/>
      <c r="D2660" s="1" t="str">
        <f ca="1">IFERROR(__xludf.DUMMYFUNCTION("""COMPUTED_VALUE"""),"Nő")</f>
        <v>Nő</v>
      </c>
      <c r="E2660" s="1"/>
      <c r="F2660" s="1">
        <f ca="1">IFERROR(__xludf.DUMMYFUNCTION("""COMPUTED_VALUE"""),1975)</f>
        <v>1975</v>
      </c>
      <c r="G2660" s="1">
        <f ca="1">IFERROR(__xludf.DUMMYFUNCTION("""COMPUTED_VALUE"""),714)</f>
        <v>714</v>
      </c>
      <c r="H2660" s="1" t="str">
        <f ca="1">IFERROR(__xludf.DUMMYFUNCTION("""COMPUTED_VALUE"""),"MTLSZ000714A14")</f>
        <v>MTLSZ000714A14</v>
      </c>
      <c r="I2660" s="2">
        <f ca="1">IFERROR(__xludf.DUMMYFUNCTION("""COMPUTED_VALUE"""),41991)</f>
        <v>41991</v>
      </c>
      <c r="J2660" s="2">
        <f ca="1">IFERROR(__xludf.DUMMYFUNCTION("""COMPUTED_VALUE"""),42355)</f>
        <v>42355</v>
      </c>
    </row>
    <row r="2661" spans="1:10" x14ac:dyDescent="0.25">
      <c r="A2661" s="1" t="str">
        <f ca="1">IFERROR(__xludf.DUMMYFUNCTION("""COMPUTED_VALUE"""),"BEAC")</f>
        <v>BEAC</v>
      </c>
      <c r="B2661" s="1" t="str">
        <f ca="1">IFERROR(__xludf.DUMMYFUNCTION("""COMPUTED_VALUE"""),"Orosz Melinda")</f>
        <v>Orosz Melinda</v>
      </c>
      <c r="C2661" s="1"/>
      <c r="D2661" s="1" t="str">
        <f ca="1">IFERROR(__xludf.DUMMYFUNCTION("""COMPUTED_VALUE"""),"Nő")</f>
        <v>Nő</v>
      </c>
      <c r="E2661" s="1"/>
      <c r="F2661" s="1">
        <f ca="1">IFERROR(__xludf.DUMMYFUNCTION("""COMPUTED_VALUE"""),1984)</f>
        <v>1984</v>
      </c>
      <c r="G2661" s="1">
        <f ca="1">IFERROR(__xludf.DUMMYFUNCTION("""COMPUTED_VALUE"""),723)</f>
        <v>723</v>
      </c>
      <c r="H2661" s="1" t="str">
        <f ca="1">IFERROR(__xludf.DUMMYFUNCTION("""COMPUTED_VALUE"""),"MTLSZ000723A14")</f>
        <v>MTLSZ000723A14</v>
      </c>
      <c r="I2661" s="2">
        <f ca="1">IFERROR(__xludf.DUMMYFUNCTION("""COMPUTED_VALUE"""),41991)</f>
        <v>41991</v>
      </c>
      <c r="J2661" s="2">
        <f ca="1">IFERROR(__xludf.DUMMYFUNCTION("""COMPUTED_VALUE"""),42355)</f>
        <v>42355</v>
      </c>
    </row>
    <row r="2662" spans="1:10" x14ac:dyDescent="0.25">
      <c r="A2662" s="1" t="str">
        <f ca="1">IFERROR(__xludf.DUMMYFUNCTION("""COMPUTED_VALUE"""),"BEAC")</f>
        <v>BEAC</v>
      </c>
      <c r="B2662" s="1" t="str">
        <f ca="1">IFERROR(__xludf.DUMMYFUNCTION("""COMPUTED_VALUE"""),"Orosz Tibor")</f>
        <v>Orosz Tibor</v>
      </c>
      <c r="C2662" s="1"/>
      <c r="D2662" s="1" t="str">
        <f ca="1">IFERROR(__xludf.DUMMYFUNCTION("""COMPUTED_VALUE"""),"Férfi")</f>
        <v>Férfi</v>
      </c>
      <c r="E2662" s="1"/>
      <c r="F2662" s="1">
        <f ca="1">IFERROR(__xludf.DUMMYFUNCTION("""COMPUTED_VALUE"""),1979)</f>
        <v>1979</v>
      </c>
      <c r="G2662" s="1">
        <f ca="1">IFERROR(__xludf.DUMMYFUNCTION("""COMPUTED_VALUE"""),724)</f>
        <v>724</v>
      </c>
      <c r="H2662" s="1" t="str">
        <f ca="1">IFERROR(__xludf.DUMMYFUNCTION("""COMPUTED_VALUE"""),"MTLSZ000724A14")</f>
        <v>MTLSZ000724A14</v>
      </c>
      <c r="I2662" s="2">
        <f ca="1">IFERROR(__xludf.DUMMYFUNCTION("""COMPUTED_VALUE"""),41991)</f>
        <v>41991</v>
      </c>
      <c r="J2662" s="2">
        <f ca="1">IFERROR(__xludf.DUMMYFUNCTION("""COMPUTED_VALUE"""),42355)</f>
        <v>42355</v>
      </c>
    </row>
    <row r="2663" spans="1:10" x14ac:dyDescent="0.25">
      <c r="A2663" s="1" t="str">
        <f ca="1">IFERROR(__xludf.DUMMYFUNCTION("""COMPUTED_VALUE"""),"BEAC")</f>
        <v>BEAC</v>
      </c>
      <c r="B2663" s="1" t="str">
        <f ca="1">IFERROR(__xludf.DUMMYFUNCTION("""COMPUTED_VALUE"""),"Papp Ferenc")</f>
        <v>Papp Ferenc</v>
      </c>
      <c r="C2663" s="1"/>
      <c r="D2663" s="1" t="str">
        <f ca="1">IFERROR(__xludf.DUMMYFUNCTION("""COMPUTED_VALUE"""),"Férfi")</f>
        <v>Férfi</v>
      </c>
      <c r="E2663" s="1"/>
      <c r="F2663" s="1">
        <f ca="1">IFERROR(__xludf.DUMMYFUNCTION("""COMPUTED_VALUE"""),1976)</f>
        <v>1976</v>
      </c>
      <c r="G2663" s="1">
        <f ca="1">IFERROR(__xludf.DUMMYFUNCTION("""COMPUTED_VALUE"""),749)</f>
        <v>749</v>
      </c>
      <c r="H2663" s="1" t="str">
        <f ca="1">IFERROR(__xludf.DUMMYFUNCTION("""COMPUTED_VALUE"""),"MTLSZ000749A14")</f>
        <v>MTLSZ000749A14</v>
      </c>
      <c r="I2663" s="2">
        <f ca="1">IFERROR(__xludf.DUMMYFUNCTION("""COMPUTED_VALUE"""),41991)</f>
        <v>41991</v>
      </c>
      <c r="J2663" s="2">
        <f ca="1">IFERROR(__xludf.DUMMYFUNCTION("""COMPUTED_VALUE"""),42355)</f>
        <v>42355</v>
      </c>
    </row>
    <row r="2664" spans="1:10" x14ac:dyDescent="0.25">
      <c r="A2664" s="1" t="str">
        <f ca="1">IFERROR(__xludf.DUMMYFUNCTION("""COMPUTED_VALUE"""),"BEAC")</f>
        <v>BEAC</v>
      </c>
      <c r="B2664" s="1" t="str">
        <f ca="1">IFERROR(__xludf.DUMMYFUNCTION("""COMPUTED_VALUE"""),"Sigmond Zsolt")</f>
        <v>Sigmond Zsolt</v>
      </c>
      <c r="C2664" s="1"/>
      <c r="D2664" s="1" t="str">
        <f ca="1">IFERROR(__xludf.DUMMYFUNCTION("""COMPUTED_VALUE"""),"Férfi")</f>
        <v>Férfi</v>
      </c>
      <c r="E2664" s="1"/>
      <c r="F2664" s="1">
        <f ca="1">IFERROR(__xludf.DUMMYFUNCTION("""COMPUTED_VALUE"""),1963)</f>
        <v>1963</v>
      </c>
      <c r="G2664" s="1">
        <f ca="1">IFERROR(__xludf.DUMMYFUNCTION("""COMPUTED_VALUE"""),851)</f>
        <v>851</v>
      </c>
      <c r="H2664" s="1" t="str">
        <f ca="1">IFERROR(__xludf.DUMMYFUNCTION("""COMPUTED_VALUE"""),"MTLSZ000851A14")</f>
        <v>MTLSZ000851A14</v>
      </c>
      <c r="I2664" s="2">
        <f ca="1">IFERROR(__xludf.DUMMYFUNCTION("""COMPUTED_VALUE"""),41991)</f>
        <v>41991</v>
      </c>
      <c r="J2664" s="2">
        <f ca="1">IFERROR(__xludf.DUMMYFUNCTION("""COMPUTED_VALUE"""),42355)</f>
        <v>42355</v>
      </c>
    </row>
    <row r="2665" spans="1:10" x14ac:dyDescent="0.25">
      <c r="A2665" s="1" t="str">
        <f ca="1">IFERROR(__xludf.DUMMYFUNCTION("""COMPUTED_VALUE"""),"BEAC")</f>
        <v>BEAC</v>
      </c>
      <c r="B2665" s="1" t="str">
        <f ca="1">IFERROR(__xludf.DUMMYFUNCTION("""COMPUTED_VALUE"""),"Szűcs Ákos")</f>
        <v>Szűcs Ákos</v>
      </c>
      <c r="C2665" s="1"/>
      <c r="D2665" s="1" t="str">
        <f ca="1">IFERROR(__xludf.DUMMYFUNCTION("""COMPUTED_VALUE"""),"Férfi")</f>
        <v>Férfi</v>
      </c>
      <c r="E2665" s="1"/>
      <c r="F2665" s="1">
        <f ca="1">IFERROR(__xludf.DUMMYFUNCTION("""COMPUTED_VALUE"""),1970)</f>
        <v>1970</v>
      </c>
      <c r="G2665" s="1">
        <f ca="1">IFERROR(__xludf.DUMMYFUNCTION("""COMPUTED_VALUE"""),975)</f>
        <v>975</v>
      </c>
      <c r="H2665" s="1" t="str">
        <f ca="1">IFERROR(__xludf.DUMMYFUNCTION("""COMPUTED_VALUE"""),"MTLSZ000975A14")</f>
        <v>MTLSZ000975A14</v>
      </c>
      <c r="I2665" s="2">
        <f ca="1">IFERROR(__xludf.DUMMYFUNCTION("""COMPUTED_VALUE"""),41991)</f>
        <v>41991</v>
      </c>
      <c r="J2665" s="2">
        <f ca="1">IFERROR(__xludf.DUMMYFUNCTION("""COMPUTED_VALUE"""),42355)</f>
        <v>42355</v>
      </c>
    </row>
    <row r="2666" spans="1:10" x14ac:dyDescent="0.25">
      <c r="A2666" s="1" t="str">
        <f ca="1">IFERROR(__xludf.DUMMYFUNCTION("""COMPUTED_VALUE"""),"HZSE")</f>
        <v>HZSE</v>
      </c>
      <c r="B2666" s="1" t="str">
        <f ca="1">IFERROR(__xludf.DUMMYFUNCTION("""COMPUTED_VALUE"""),"Alias Sebastien")</f>
        <v>Alias Sebastien</v>
      </c>
      <c r="C2666" s="1"/>
      <c r="D2666" s="1" t="str">
        <f ca="1">IFERROR(__xludf.DUMMYFUNCTION("""COMPUTED_VALUE"""),"Férfi")</f>
        <v>Férfi</v>
      </c>
      <c r="E2666" s="1"/>
      <c r="F2666" s="1">
        <f ca="1">IFERROR(__xludf.DUMMYFUNCTION("""COMPUTED_VALUE"""),1994)</f>
        <v>1994</v>
      </c>
      <c r="G2666" s="1">
        <f ca="1">IFERROR(__xludf.DUMMYFUNCTION("""COMPUTED_VALUE"""),2680)</f>
        <v>2680</v>
      </c>
      <c r="H2666" s="1" t="str">
        <f ca="1">IFERROR(__xludf.DUMMYFUNCTION("""COMPUTED_VALUE"""),"MTLSZ002680A14")</f>
        <v>MTLSZ002680A14</v>
      </c>
      <c r="I2666" s="2">
        <f ca="1">IFERROR(__xludf.DUMMYFUNCTION("""COMPUTED_VALUE"""),41978)</f>
        <v>41978</v>
      </c>
      <c r="J2666" s="2">
        <f ca="1">IFERROR(__xludf.DUMMYFUNCTION("""COMPUTED_VALUE"""),42342)</f>
        <v>42342</v>
      </c>
    </row>
    <row r="2667" spans="1:10" x14ac:dyDescent="0.25">
      <c r="A2667" s="1" t="str">
        <f ca="1">IFERROR(__xludf.DUMMYFUNCTION("""COMPUTED_VALUE"""),"BTBK")</f>
        <v>BTBK</v>
      </c>
      <c r="B2667" s="1" t="str">
        <f ca="1">IFERROR(__xludf.DUMMYFUNCTION("""COMPUTED_VALUE"""),"Záhonyi Barbara")</f>
        <v>Záhonyi Barbara</v>
      </c>
      <c r="C2667" s="1"/>
      <c r="D2667" s="1" t="str">
        <f ca="1">IFERROR(__xludf.DUMMYFUNCTION("""COMPUTED_VALUE"""),"Nő")</f>
        <v>Nő</v>
      </c>
      <c r="E2667" s="1"/>
      <c r="F2667" s="1">
        <f ca="1">IFERROR(__xludf.DUMMYFUNCTION("""COMPUTED_VALUE"""),1975)</f>
        <v>1975</v>
      </c>
      <c r="G2667" s="1">
        <f ca="1">IFERROR(__xludf.DUMMYFUNCTION("""COMPUTED_VALUE"""),2458)</f>
        <v>2458</v>
      </c>
      <c r="H2667" s="1" t="str">
        <f ca="1">IFERROR(__xludf.DUMMYFUNCTION("""COMPUTED_VALUE"""),"MTLSZ002458A14")</f>
        <v>MTLSZ002458A14</v>
      </c>
      <c r="I2667" s="2">
        <f ca="1">IFERROR(__xludf.DUMMYFUNCTION("""COMPUTED_VALUE"""),41962)</f>
        <v>41962</v>
      </c>
      <c r="J2667" s="2">
        <f ca="1">IFERROR(__xludf.DUMMYFUNCTION("""COMPUTED_VALUE"""),42326)</f>
        <v>42326</v>
      </c>
    </row>
    <row r="2668" spans="1:10" x14ac:dyDescent="0.25">
      <c r="A2668" s="1" t="str">
        <f ca="1">IFERROR(__xludf.DUMMYFUNCTION("""COMPUTED_VALUE"""),"OSC")</f>
        <v>OSC</v>
      </c>
      <c r="B2668" s="1" t="str">
        <f ca="1">IFERROR(__xludf.DUMMYFUNCTION("""COMPUTED_VALUE"""),"Pozsik Éva")</f>
        <v>Pozsik Éva</v>
      </c>
      <c r="C2668" s="1"/>
      <c r="D2668" s="1" t="str">
        <f ca="1">IFERROR(__xludf.DUMMYFUNCTION("""COMPUTED_VALUE"""),"Nő")</f>
        <v>Nő</v>
      </c>
      <c r="E2668" s="1"/>
      <c r="F2668" s="1">
        <f ca="1">IFERROR(__xludf.DUMMYFUNCTION("""COMPUTED_VALUE"""),1956)</f>
        <v>1956</v>
      </c>
      <c r="G2668" s="1">
        <f ca="1">IFERROR(__xludf.DUMMYFUNCTION("""COMPUTED_VALUE"""),1694)</f>
        <v>1694</v>
      </c>
      <c r="H2668" s="1" t="str">
        <f ca="1">IFERROR(__xludf.DUMMYFUNCTION("""COMPUTED_VALUE"""),"MTLSZ001694A14")</f>
        <v>MTLSZ001694A14</v>
      </c>
      <c r="I2668" s="2">
        <f ca="1">IFERROR(__xludf.DUMMYFUNCTION("""COMPUTED_VALUE"""),41962)</f>
        <v>41962</v>
      </c>
      <c r="J2668" s="2">
        <f ca="1">IFERROR(__xludf.DUMMYFUNCTION("""COMPUTED_VALUE"""),42326)</f>
        <v>42326</v>
      </c>
    </row>
    <row r="2669" spans="1:10" x14ac:dyDescent="0.25">
      <c r="A2669" s="1" t="str">
        <f ca="1">IFERROR(__xludf.DUMMYFUNCTION("""COMPUTED_VALUE"""),"Zalaegerszegi TE")</f>
        <v>Zalaegerszegi TE</v>
      </c>
      <c r="B2669" s="1" t="str">
        <f ca="1">IFERROR(__xludf.DUMMYFUNCTION("""COMPUTED_VALUE"""),"Adorján Csaba dr.")</f>
        <v>Adorján Csaba dr.</v>
      </c>
      <c r="C2669" s="1"/>
      <c r="D2669" s="1" t="str">
        <f ca="1">IFERROR(__xludf.DUMMYFUNCTION("""COMPUTED_VALUE"""),"Férfi")</f>
        <v>Férfi</v>
      </c>
      <c r="E2669" s="1"/>
      <c r="F2669" s="1">
        <f ca="1">IFERROR(__xludf.DUMMYFUNCTION("""COMPUTED_VALUE"""),1972)</f>
        <v>1972</v>
      </c>
      <c r="G2669" s="1">
        <f ca="1">IFERROR(__xludf.DUMMYFUNCTION("""COMPUTED_VALUE"""),2009)</f>
        <v>2009</v>
      </c>
      <c r="H2669" s="1" t="str">
        <f ca="1">IFERROR(__xludf.DUMMYFUNCTION("""COMPUTED_VALUE"""),"MTLSZ002009A14")</f>
        <v>MTLSZ002009A14</v>
      </c>
      <c r="I2669" s="2">
        <f ca="1">IFERROR(__xludf.DUMMYFUNCTION("""COMPUTED_VALUE"""),41962)</f>
        <v>41962</v>
      </c>
      <c r="J2669" s="2">
        <f ca="1">IFERROR(__xludf.DUMMYFUNCTION("""COMPUTED_VALUE"""),42326)</f>
        <v>42326</v>
      </c>
    </row>
    <row r="2670" spans="1:10" x14ac:dyDescent="0.25">
      <c r="A2670" s="1" t="str">
        <f ca="1">IFERROR(__xludf.DUMMYFUNCTION("""COMPUTED_VALUE"""),"Zalaegerszegi TE")</f>
        <v>Zalaegerszegi TE</v>
      </c>
      <c r="B2670" s="1" t="str">
        <f ca="1">IFERROR(__xludf.DUMMYFUNCTION("""COMPUTED_VALUE"""),"Papp Éva dr.")</f>
        <v>Papp Éva dr.</v>
      </c>
      <c r="C2670" s="1"/>
      <c r="D2670" s="1" t="str">
        <f ca="1">IFERROR(__xludf.DUMMYFUNCTION("""COMPUTED_VALUE"""),"Nő")</f>
        <v>Nő</v>
      </c>
      <c r="E2670" s="1"/>
      <c r="F2670" s="1">
        <f ca="1">IFERROR(__xludf.DUMMYFUNCTION("""COMPUTED_VALUE"""),1966)</f>
        <v>1966</v>
      </c>
      <c r="G2670" s="1">
        <f ca="1">IFERROR(__xludf.DUMMYFUNCTION("""COMPUTED_VALUE"""),2190)</f>
        <v>2190</v>
      </c>
      <c r="H2670" s="1" t="str">
        <f ca="1">IFERROR(__xludf.DUMMYFUNCTION("""COMPUTED_VALUE"""),"MTLSZ002190A14")</f>
        <v>MTLSZ002190A14</v>
      </c>
      <c r="I2670" s="2">
        <f ca="1">IFERROR(__xludf.DUMMYFUNCTION("""COMPUTED_VALUE"""),41962)</f>
        <v>41962</v>
      </c>
      <c r="J2670" s="2">
        <f ca="1">IFERROR(__xludf.DUMMYFUNCTION("""COMPUTED_VALUE"""),42326)</f>
        <v>42326</v>
      </c>
    </row>
    <row r="2671" spans="1:10" x14ac:dyDescent="0.25">
      <c r="A2671" s="1" t="str">
        <f ca="1">IFERROR(__xludf.DUMMYFUNCTION("""COMPUTED_VALUE"""),"BTBK")</f>
        <v>BTBK</v>
      </c>
      <c r="B2671" s="1" t="str">
        <f ca="1">IFERROR(__xludf.DUMMYFUNCTION("""COMPUTED_VALUE"""),"Likó Zsuzsanna")</f>
        <v>Likó Zsuzsanna</v>
      </c>
      <c r="C2671" s="1"/>
      <c r="D2671" s="1" t="str">
        <f ca="1">IFERROR(__xludf.DUMMYFUNCTION("""COMPUTED_VALUE"""),"Nő")</f>
        <v>Nő</v>
      </c>
      <c r="E2671" s="1"/>
      <c r="F2671" s="1">
        <f ca="1">IFERROR(__xludf.DUMMYFUNCTION("""COMPUTED_VALUE"""),1968)</f>
        <v>1968</v>
      </c>
      <c r="G2671" s="1">
        <f ca="1">IFERROR(__xludf.DUMMYFUNCTION("""COMPUTED_VALUE"""),591)</f>
        <v>591</v>
      </c>
      <c r="H2671" s="1" t="str">
        <f ca="1">IFERROR(__xludf.DUMMYFUNCTION("""COMPUTED_VALUE"""),"MTLSZ000591A14")</f>
        <v>MTLSZ000591A14</v>
      </c>
      <c r="I2671" s="2">
        <f ca="1">IFERROR(__xludf.DUMMYFUNCTION("""COMPUTED_VALUE"""),41960)</f>
        <v>41960</v>
      </c>
      <c r="J2671" s="2">
        <f ca="1">IFERROR(__xludf.DUMMYFUNCTION("""COMPUTED_VALUE"""),42324)</f>
        <v>42324</v>
      </c>
    </row>
    <row r="2672" spans="1:10" x14ac:dyDescent="0.25">
      <c r="A2672" s="1" t="str">
        <f ca="1">IFERROR(__xludf.DUMMYFUNCTION("""COMPUTED_VALUE"""),"Főtaxi SC")</f>
        <v>Főtaxi SC</v>
      </c>
      <c r="B2672" s="1" t="str">
        <f ca="1">IFERROR(__xludf.DUMMYFUNCTION("""COMPUTED_VALUE"""),"István Zoltán")</f>
        <v>István Zoltán</v>
      </c>
      <c r="C2672" s="1"/>
      <c r="D2672" s="1" t="str">
        <f ca="1">IFERROR(__xludf.DUMMYFUNCTION("""COMPUTED_VALUE"""),"Férfi")</f>
        <v>Férfi</v>
      </c>
      <c r="E2672" s="1"/>
      <c r="F2672" s="1">
        <f ca="1">IFERROR(__xludf.DUMMYFUNCTION("""COMPUTED_VALUE"""),1968)</f>
        <v>1968</v>
      </c>
      <c r="G2672" s="1">
        <f ca="1">IFERROR(__xludf.DUMMYFUNCTION("""COMPUTED_VALUE"""),400)</f>
        <v>400</v>
      </c>
      <c r="H2672" s="1" t="str">
        <f ca="1">IFERROR(__xludf.DUMMYFUNCTION("""COMPUTED_VALUE"""),"MTLSZ000400A14")</f>
        <v>MTLSZ000400A14</v>
      </c>
      <c r="I2672" s="2">
        <f ca="1">IFERROR(__xludf.DUMMYFUNCTION("""COMPUTED_VALUE"""),41960)</f>
        <v>41960</v>
      </c>
      <c r="J2672" s="2">
        <f ca="1">IFERROR(__xludf.DUMMYFUNCTION("""COMPUTED_VALUE"""),42324)</f>
        <v>42324</v>
      </c>
    </row>
    <row r="2673" spans="1:10" x14ac:dyDescent="0.25">
      <c r="A2673" s="1" t="str">
        <f ca="1">IFERROR(__xludf.DUMMYFUNCTION("""COMPUTED_VALUE"""),"Keszthelyi TE")</f>
        <v>Keszthelyi TE</v>
      </c>
      <c r="B2673" s="1" t="str">
        <f ca="1">IFERROR(__xludf.DUMMYFUNCTION("""COMPUTED_VALUE"""),"Márvány János")</f>
        <v>Márvány János</v>
      </c>
      <c r="C2673" s="1"/>
      <c r="D2673" s="1" t="str">
        <f ca="1">IFERROR(__xludf.DUMMYFUNCTION("""COMPUTED_VALUE"""),"Férfi")</f>
        <v>Férfi</v>
      </c>
      <c r="E2673" s="1"/>
      <c r="F2673" s="1">
        <f ca="1">IFERROR(__xludf.DUMMYFUNCTION("""COMPUTED_VALUE"""),1970)</f>
        <v>1970</v>
      </c>
      <c r="G2673" s="1">
        <f ca="1">IFERROR(__xludf.DUMMYFUNCTION("""COMPUTED_VALUE"""),2535)</f>
        <v>2535</v>
      </c>
      <c r="H2673" s="1" t="str">
        <f ca="1">IFERROR(__xludf.DUMMYFUNCTION("""COMPUTED_VALUE"""),"MTLSZ002535A14")</f>
        <v>MTLSZ002535A14</v>
      </c>
      <c r="I2673" s="2">
        <f ca="1">IFERROR(__xludf.DUMMYFUNCTION("""COMPUTED_VALUE"""),41960)</f>
        <v>41960</v>
      </c>
      <c r="J2673" s="2">
        <f ca="1">IFERROR(__xludf.DUMMYFUNCTION("""COMPUTED_VALUE"""),42324)</f>
        <v>42324</v>
      </c>
    </row>
    <row r="2674" spans="1:10" x14ac:dyDescent="0.25">
      <c r="A2674" s="1" t="str">
        <f ca="1">IFERROR(__xludf.DUMMYFUNCTION("""COMPUTED_VALUE"""),"Szegedi TSE")</f>
        <v>Szegedi TSE</v>
      </c>
      <c r="B2674" s="1" t="str">
        <f ca="1">IFERROR(__xludf.DUMMYFUNCTION("""COMPUTED_VALUE"""),"Jónás Bence")</f>
        <v>Jónás Bence</v>
      </c>
      <c r="C2674" s="1"/>
      <c r="D2674" s="1" t="str">
        <f ca="1">IFERROR(__xludf.DUMMYFUNCTION("""COMPUTED_VALUE"""),"Férfi")</f>
        <v>Férfi</v>
      </c>
      <c r="E2674" s="1"/>
      <c r="F2674" s="1">
        <f ca="1">IFERROR(__xludf.DUMMYFUNCTION("""COMPUTED_VALUE"""),2001)</f>
        <v>2001</v>
      </c>
      <c r="G2674" s="1">
        <f ca="1">IFERROR(__xludf.DUMMYFUNCTION("""COMPUTED_VALUE"""),2300)</f>
        <v>2300</v>
      </c>
      <c r="H2674" s="1" t="str">
        <f ca="1">IFERROR(__xludf.DUMMYFUNCTION("""COMPUTED_VALUE"""),"MTLSZ002300A14")</f>
        <v>MTLSZ002300A14</v>
      </c>
      <c r="I2674" s="2">
        <f ca="1">IFERROR(__xludf.DUMMYFUNCTION("""COMPUTED_VALUE"""),41956)</f>
        <v>41956</v>
      </c>
      <c r="J2674" s="2">
        <f ca="1">IFERROR(__xludf.DUMMYFUNCTION("""COMPUTED_VALUE"""),42320)</f>
        <v>42320</v>
      </c>
    </row>
    <row r="2675" spans="1:10" x14ac:dyDescent="0.25">
      <c r="A2675" s="1" t="str">
        <f ca="1">IFERROR(__xludf.DUMMYFUNCTION("""COMPUTED_VALUE"""),"Multi Alarm SE")</f>
        <v>Multi Alarm SE</v>
      </c>
      <c r="B2675" s="1" t="str">
        <f ca="1">IFERROR(__xludf.DUMMYFUNCTION("""COMPUTED_VALUE"""),"Herendi Csaba")</f>
        <v>Herendi Csaba</v>
      </c>
      <c r="C2675" s="1"/>
      <c r="D2675" s="1" t="str">
        <f ca="1">IFERROR(__xludf.DUMMYFUNCTION("""COMPUTED_VALUE"""),"Férfi")</f>
        <v>Férfi</v>
      </c>
      <c r="E2675" s="1"/>
      <c r="F2675" s="1">
        <f ca="1">IFERROR(__xludf.DUMMYFUNCTION("""COMPUTED_VALUE"""),1997)</f>
        <v>1997</v>
      </c>
      <c r="G2675" s="1">
        <f ca="1">IFERROR(__xludf.DUMMYFUNCTION("""COMPUTED_VALUE"""),2536)</f>
        <v>2536</v>
      </c>
      <c r="H2675" s="1" t="str">
        <f ca="1">IFERROR(__xludf.DUMMYFUNCTION("""COMPUTED_VALUE"""),"MTLSZ002536A14")</f>
        <v>MTLSZ002536A14</v>
      </c>
      <c r="I2675" s="2">
        <f ca="1">IFERROR(__xludf.DUMMYFUNCTION("""COMPUTED_VALUE"""),41955)</f>
        <v>41955</v>
      </c>
      <c r="J2675" s="2">
        <f ca="1">IFERROR(__xludf.DUMMYFUNCTION("""COMPUTED_VALUE"""),42319)</f>
        <v>42319</v>
      </c>
    </row>
    <row r="2676" spans="1:10" x14ac:dyDescent="0.25">
      <c r="A2676" s="1" t="str">
        <f ca="1">IFERROR(__xludf.DUMMYFUNCTION("""COMPUTED_VALUE"""),"Multi Alarm SE")</f>
        <v>Multi Alarm SE</v>
      </c>
      <c r="B2676" s="1" t="str">
        <f ca="1">IFERROR(__xludf.DUMMYFUNCTION("""COMPUTED_VALUE"""),"Farkas Kata")</f>
        <v>Farkas Kata</v>
      </c>
      <c r="C2676" s="1"/>
      <c r="D2676" s="1" t="str">
        <f ca="1">IFERROR(__xludf.DUMMYFUNCTION("""COMPUTED_VALUE"""),"Nő")</f>
        <v>Nő</v>
      </c>
      <c r="E2676" s="1"/>
      <c r="F2676" s="1">
        <f ca="1">IFERROR(__xludf.DUMMYFUNCTION("""COMPUTED_VALUE"""),2003)</f>
        <v>2003</v>
      </c>
      <c r="G2676" s="1">
        <f ca="1">IFERROR(__xludf.DUMMYFUNCTION("""COMPUTED_VALUE"""),2660)</f>
        <v>2660</v>
      </c>
      <c r="H2676" s="1" t="str">
        <f ca="1">IFERROR(__xludf.DUMMYFUNCTION("""COMPUTED_VALUE"""),"MTLSZ002660A14")</f>
        <v>MTLSZ002660A14</v>
      </c>
      <c r="I2676" s="2">
        <f ca="1">IFERROR(__xludf.DUMMYFUNCTION("""COMPUTED_VALUE"""),41953)</f>
        <v>41953</v>
      </c>
      <c r="J2676" s="2">
        <f ca="1">IFERROR(__xludf.DUMMYFUNCTION("""COMPUTED_VALUE"""),42317)</f>
        <v>42317</v>
      </c>
    </row>
    <row r="2677" spans="1:10" x14ac:dyDescent="0.25">
      <c r="A2677" s="1" t="str">
        <f ca="1">IFERROR(__xludf.DUMMYFUNCTION("""COMPUTED_VALUE"""),"Multi Alarm SE")</f>
        <v>Multi Alarm SE</v>
      </c>
      <c r="B2677" s="1" t="str">
        <f ca="1">IFERROR(__xludf.DUMMYFUNCTION("""COMPUTED_VALUE"""),"Heindl Jakab")</f>
        <v>Heindl Jakab</v>
      </c>
      <c r="C2677" s="1"/>
      <c r="D2677" s="1" t="str">
        <f ca="1">IFERROR(__xludf.DUMMYFUNCTION("""COMPUTED_VALUE"""),"Férfi")</f>
        <v>Férfi</v>
      </c>
      <c r="E2677" s="1"/>
      <c r="F2677" s="1">
        <f ca="1">IFERROR(__xludf.DUMMYFUNCTION("""COMPUTED_VALUE"""),2001)</f>
        <v>2001</v>
      </c>
      <c r="G2677" s="1">
        <f ca="1">IFERROR(__xludf.DUMMYFUNCTION("""COMPUTED_VALUE"""),2654)</f>
        <v>2654</v>
      </c>
      <c r="H2677" s="1" t="str">
        <f ca="1">IFERROR(__xludf.DUMMYFUNCTION("""COMPUTED_VALUE"""),"MTLSZ002654A14")</f>
        <v>MTLSZ002654A14</v>
      </c>
      <c r="I2677" s="2">
        <f ca="1">IFERROR(__xludf.DUMMYFUNCTION("""COMPUTED_VALUE"""),41934)</f>
        <v>41934</v>
      </c>
      <c r="J2677" s="2">
        <f ca="1">IFERROR(__xludf.DUMMYFUNCTION("""COMPUTED_VALUE"""),42298)</f>
        <v>42298</v>
      </c>
    </row>
    <row r="2678" spans="1:10" x14ac:dyDescent="0.25">
      <c r="A2678" s="1" t="str">
        <f ca="1">IFERROR(__xludf.DUMMYFUNCTION("""COMPUTED_VALUE"""),"Multi Alarm SE")</f>
        <v>Multi Alarm SE</v>
      </c>
      <c r="B2678" s="1" t="str">
        <f ca="1">IFERROR(__xludf.DUMMYFUNCTION("""COMPUTED_VALUE"""),"Molnár Nikolett")</f>
        <v>Molnár Nikolett</v>
      </c>
      <c r="C2678" s="1"/>
      <c r="D2678" s="1" t="str">
        <f ca="1">IFERROR(__xludf.DUMMYFUNCTION("""COMPUTED_VALUE"""),"Nő")</f>
        <v>Nő</v>
      </c>
      <c r="E2678" s="1"/>
      <c r="F2678" s="1">
        <f ca="1">IFERROR(__xludf.DUMMYFUNCTION("""COMPUTED_VALUE"""),2001)</f>
        <v>2001</v>
      </c>
      <c r="G2678" s="1">
        <f ca="1">IFERROR(__xludf.DUMMYFUNCTION("""COMPUTED_VALUE"""),2652)</f>
        <v>2652</v>
      </c>
      <c r="H2678" s="1" t="str">
        <f ca="1">IFERROR(__xludf.DUMMYFUNCTION("""COMPUTED_VALUE"""),"MTLSZ002652A14")</f>
        <v>MTLSZ002652A14</v>
      </c>
      <c r="I2678" s="2">
        <f ca="1">IFERROR(__xludf.DUMMYFUNCTION("""COMPUTED_VALUE"""),41934)</f>
        <v>41934</v>
      </c>
      <c r="J2678" s="2">
        <f ca="1">IFERROR(__xludf.DUMMYFUNCTION("""COMPUTED_VALUE"""),42298)</f>
        <v>42298</v>
      </c>
    </row>
    <row r="2679" spans="1:10" x14ac:dyDescent="0.25">
      <c r="A2679" s="1" t="str">
        <f ca="1">IFERROR(__xludf.DUMMYFUNCTION("""COMPUTED_VALUE"""),"Seregélyesi PDSE")</f>
        <v>Seregélyesi PDSE</v>
      </c>
      <c r="B2679" s="1" t="str">
        <f ca="1">IFERROR(__xludf.DUMMYFUNCTION("""COMPUTED_VALUE"""),"Károlyi Napsugár")</f>
        <v>Károlyi Napsugár</v>
      </c>
      <c r="C2679" s="1"/>
      <c r="D2679" s="1" t="str">
        <f ca="1">IFERROR(__xludf.DUMMYFUNCTION("""COMPUTED_VALUE"""),"Nő")</f>
        <v>Nő</v>
      </c>
      <c r="E2679" s="1"/>
      <c r="F2679" s="1">
        <f ca="1">IFERROR(__xludf.DUMMYFUNCTION("""COMPUTED_VALUE"""),2005)</f>
        <v>2005</v>
      </c>
      <c r="G2679" s="1">
        <f ca="1">IFERROR(__xludf.DUMMYFUNCTION("""COMPUTED_VALUE"""),2655)</f>
        <v>2655</v>
      </c>
      <c r="H2679" s="1" t="str">
        <f ca="1">IFERROR(__xludf.DUMMYFUNCTION("""COMPUTED_VALUE"""),"MTLSZ002655A14")</f>
        <v>MTLSZ002655A14</v>
      </c>
      <c r="I2679" s="2">
        <f ca="1">IFERROR(__xludf.DUMMYFUNCTION("""COMPUTED_VALUE"""),41934)</f>
        <v>41934</v>
      </c>
      <c r="J2679" s="2">
        <f ca="1">IFERROR(__xludf.DUMMYFUNCTION("""COMPUTED_VALUE"""),42298)</f>
        <v>42298</v>
      </c>
    </row>
    <row r="2680" spans="1:10" x14ac:dyDescent="0.25">
      <c r="A2680" s="1" t="str">
        <f ca="1">IFERROR(__xludf.DUMMYFUNCTION("""COMPUTED_VALUE"""),"Tisza TSE")</f>
        <v>Tisza TSE</v>
      </c>
      <c r="B2680" s="1" t="str">
        <f ca="1">IFERROR(__xludf.DUMMYFUNCTION("""COMPUTED_VALUE"""),"Réthi Daniella")</f>
        <v>Réthi Daniella</v>
      </c>
      <c r="C2680" s="1"/>
      <c r="D2680" s="1" t="str">
        <f ca="1">IFERROR(__xludf.DUMMYFUNCTION("""COMPUTED_VALUE"""),"Nő")</f>
        <v>Nő</v>
      </c>
      <c r="E2680" s="1"/>
      <c r="F2680" s="1">
        <f ca="1">IFERROR(__xludf.DUMMYFUNCTION("""COMPUTED_VALUE"""),2000)</f>
        <v>2000</v>
      </c>
      <c r="G2680" s="1">
        <f ca="1">IFERROR(__xludf.DUMMYFUNCTION("""COMPUTED_VALUE"""),2573)</f>
        <v>2573</v>
      </c>
      <c r="H2680" s="1" t="str">
        <f ca="1">IFERROR(__xludf.DUMMYFUNCTION("""COMPUTED_VALUE"""),"MTLSZ002573A14")</f>
        <v>MTLSZ002573A14</v>
      </c>
      <c r="I2680" s="2">
        <f ca="1">IFERROR(__xludf.DUMMYFUNCTION("""COMPUTED_VALUE"""),41934)</f>
        <v>41934</v>
      </c>
      <c r="J2680" s="2">
        <f ca="1">IFERROR(__xludf.DUMMYFUNCTION("""COMPUTED_VALUE"""),42298)</f>
        <v>42298</v>
      </c>
    </row>
    <row r="2681" spans="1:10" x14ac:dyDescent="0.25">
      <c r="A2681" s="1" t="str">
        <f ca="1">IFERROR(__xludf.DUMMYFUNCTION("""COMPUTED_VALUE"""),"Hajdú TSE")</f>
        <v>Hajdú TSE</v>
      </c>
      <c r="B2681" s="1" t="str">
        <f ca="1">IFERROR(__xludf.DUMMYFUNCTION("""COMPUTED_VALUE"""),"Kovács Máté")</f>
        <v>Kovács Máté</v>
      </c>
      <c r="C2681" s="1"/>
      <c r="D2681" s="1" t="str">
        <f ca="1">IFERROR(__xludf.DUMMYFUNCTION("""COMPUTED_VALUE"""),"Férfi")</f>
        <v>Férfi</v>
      </c>
      <c r="E2681" s="1"/>
      <c r="F2681" s="1">
        <f ca="1">IFERROR(__xludf.DUMMYFUNCTION("""COMPUTED_VALUE"""),1998)</f>
        <v>1998</v>
      </c>
      <c r="G2681" s="1">
        <f ca="1">IFERROR(__xludf.DUMMYFUNCTION("""COMPUTED_VALUE"""),2317)</f>
        <v>2317</v>
      </c>
      <c r="H2681" s="1" t="str">
        <f ca="1">IFERROR(__xludf.DUMMYFUNCTION("""COMPUTED_VALUE"""),"MTLSZ002317A14")</f>
        <v>MTLSZ002317A14</v>
      </c>
      <c r="I2681" s="2">
        <f ca="1">IFERROR(__xludf.DUMMYFUNCTION("""COMPUTED_VALUE"""),41925)</f>
        <v>41925</v>
      </c>
      <c r="J2681" s="2">
        <f ca="1">IFERROR(__xludf.DUMMYFUNCTION("""COMPUTED_VALUE"""),42289)</f>
        <v>42289</v>
      </c>
    </row>
    <row r="2682" spans="1:10" x14ac:dyDescent="0.25">
      <c r="A2682" s="1" t="str">
        <f ca="1">IFERROR(__xludf.DUMMYFUNCTION("""COMPUTED_VALUE"""),"Pedagógus Fáklya SE")</f>
        <v>Pedagógus Fáklya SE</v>
      </c>
      <c r="B2682" s="1" t="str">
        <f ca="1">IFERROR(__xludf.DUMMYFUNCTION("""COMPUTED_VALUE"""),"Somogyi Ágnes")</f>
        <v>Somogyi Ágnes</v>
      </c>
      <c r="C2682" s="1"/>
      <c r="D2682" s="1" t="str">
        <f ca="1">IFERROR(__xludf.DUMMYFUNCTION("""COMPUTED_VALUE"""),"Nő")</f>
        <v>Nő</v>
      </c>
      <c r="E2682" s="1"/>
      <c r="F2682" s="1">
        <f ca="1">IFERROR(__xludf.DUMMYFUNCTION("""COMPUTED_VALUE"""),1997)</f>
        <v>1997</v>
      </c>
      <c r="G2682" s="1">
        <f ca="1">IFERROR(__xludf.DUMMYFUNCTION("""COMPUTED_VALUE"""),2408)</f>
        <v>2408</v>
      </c>
      <c r="H2682" s="1" t="str">
        <f ca="1">IFERROR(__xludf.DUMMYFUNCTION("""COMPUTED_VALUE"""),"MTLSZ002408A14")</f>
        <v>MTLSZ002408A14</v>
      </c>
      <c r="I2682" s="2">
        <f ca="1">IFERROR(__xludf.DUMMYFUNCTION("""COMPUTED_VALUE"""),41925)</f>
        <v>41925</v>
      </c>
      <c r="J2682" s="2">
        <f ca="1">IFERROR(__xludf.DUMMYFUNCTION("""COMPUTED_VALUE"""),42289)</f>
        <v>42289</v>
      </c>
    </row>
    <row r="2683" spans="1:10" x14ac:dyDescent="0.25">
      <c r="A2683" s="1" t="str">
        <f ca="1">IFERROR(__xludf.DUMMYFUNCTION("""COMPUTED_VALUE"""),"Hajdú TSE")</f>
        <v>Hajdú TSE</v>
      </c>
      <c r="B2683" s="1" t="str">
        <f ca="1">IFERROR(__xludf.DUMMYFUNCTION("""COMPUTED_VALUE"""),"Csirmaz Bence")</f>
        <v>Csirmaz Bence</v>
      </c>
      <c r="C2683" s="1"/>
      <c r="D2683" s="1" t="str">
        <f ca="1">IFERROR(__xludf.DUMMYFUNCTION("""COMPUTED_VALUE"""),"Férfi")</f>
        <v>Férfi</v>
      </c>
      <c r="E2683" s="1"/>
      <c r="F2683" s="1">
        <f ca="1">IFERROR(__xludf.DUMMYFUNCTION("""COMPUTED_VALUE"""),2000)</f>
        <v>2000</v>
      </c>
      <c r="G2683" s="1">
        <f ca="1">IFERROR(__xludf.DUMMYFUNCTION("""COMPUTED_VALUE"""),2406)</f>
        <v>2406</v>
      </c>
      <c r="H2683" s="1" t="str">
        <f ca="1">IFERROR(__xludf.DUMMYFUNCTION("""COMPUTED_VALUE"""),"MTLSZ002406A14")</f>
        <v>MTLSZ002406A14</v>
      </c>
      <c r="I2683" s="2">
        <f ca="1">IFERROR(__xludf.DUMMYFUNCTION("""COMPUTED_VALUE"""),41922)</f>
        <v>41922</v>
      </c>
      <c r="J2683" s="2">
        <f ca="1">IFERROR(__xludf.DUMMYFUNCTION("""COMPUTED_VALUE"""),42286)</f>
        <v>42286</v>
      </c>
    </row>
    <row r="2684" spans="1:10" x14ac:dyDescent="0.25">
      <c r="A2684" s="1" t="str">
        <f ca="1">IFERROR(__xludf.DUMMYFUNCTION("""COMPUTED_VALUE"""),"Hajdú TSE")</f>
        <v>Hajdú TSE</v>
      </c>
      <c r="B2684" s="1" t="str">
        <f ca="1">IFERROR(__xludf.DUMMYFUNCTION("""COMPUTED_VALUE"""),"Kígyós Karina")</f>
        <v>Kígyós Karina</v>
      </c>
      <c r="C2684" s="1"/>
      <c r="D2684" s="1" t="str">
        <f ca="1">IFERROR(__xludf.DUMMYFUNCTION("""COMPUTED_VALUE"""),"Nő")</f>
        <v>Nő</v>
      </c>
      <c r="E2684" s="1"/>
      <c r="F2684" s="1">
        <f ca="1">IFERROR(__xludf.DUMMYFUNCTION("""COMPUTED_VALUE"""),2001)</f>
        <v>2001</v>
      </c>
      <c r="G2684" s="1">
        <f ca="1">IFERROR(__xludf.DUMMYFUNCTION("""COMPUTED_VALUE"""),2410)</f>
        <v>2410</v>
      </c>
      <c r="H2684" s="1" t="str">
        <f ca="1">IFERROR(__xludf.DUMMYFUNCTION("""COMPUTED_VALUE"""),"MTLSZ002410A14")</f>
        <v>MTLSZ002410A14</v>
      </c>
      <c r="I2684" s="2">
        <f ca="1">IFERROR(__xludf.DUMMYFUNCTION("""COMPUTED_VALUE"""),41922)</f>
        <v>41922</v>
      </c>
      <c r="J2684" s="2">
        <f ca="1">IFERROR(__xludf.DUMMYFUNCTION("""COMPUTED_VALUE"""),42286)</f>
        <v>42286</v>
      </c>
    </row>
    <row r="2685" spans="1:10" x14ac:dyDescent="0.25">
      <c r="A2685" s="1" t="str">
        <f ca="1">IFERROR(__xludf.DUMMYFUNCTION("""COMPUTED_VALUE"""),"Hajdú TSE")</f>
        <v>Hajdú TSE</v>
      </c>
      <c r="B2685" s="1" t="str">
        <f ca="1">IFERROR(__xludf.DUMMYFUNCTION("""COMPUTED_VALUE"""),"Kígyós Kíra")</f>
        <v>Kígyós Kíra</v>
      </c>
      <c r="C2685" s="1"/>
      <c r="D2685" s="1" t="str">
        <f ca="1">IFERROR(__xludf.DUMMYFUNCTION("""COMPUTED_VALUE"""),"Nő")</f>
        <v>Nő</v>
      </c>
      <c r="E2685" s="1"/>
      <c r="F2685" s="1">
        <f ca="1">IFERROR(__xludf.DUMMYFUNCTION("""COMPUTED_VALUE"""),2001)</f>
        <v>2001</v>
      </c>
      <c r="G2685" s="1">
        <f ca="1">IFERROR(__xludf.DUMMYFUNCTION("""COMPUTED_VALUE"""),2411)</f>
        <v>2411</v>
      </c>
      <c r="H2685" s="1" t="str">
        <f ca="1">IFERROR(__xludf.DUMMYFUNCTION("""COMPUTED_VALUE"""),"MTLSZ002411A14")</f>
        <v>MTLSZ002411A14</v>
      </c>
      <c r="I2685" s="2">
        <f ca="1">IFERROR(__xludf.DUMMYFUNCTION("""COMPUTED_VALUE"""),41922)</f>
        <v>41922</v>
      </c>
      <c r="J2685" s="2">
        <f ca="1">IFERROR(__xludf.DUMMYFUNCTION("""COMPUTED_VALUE"""),42286)</f>
        <v>42286</v>
      </c>
    </row>
    <row r="2686" spans="1:10" x14ac:dyDescent="0.25">
      <c r="A2686" s="1" t="str">
        <f ca="1">IFERROR(__xludf.DUMMYFUNCTION("""COMPUTED_VALUE"""),"Győri TSE")</f>
        <v>Győri TSE</v>
      </c>
      <c r="B2686" s="1" t="str">
        <f ca="1">IFERROR(__xludf.DUMMYFUNCTION("""COMPUTED_VALUE"""),"Nagy Mónika")</f>
        <v>Nagy Mónika</v>
      </c>
      <c r="C2686" s="1"/>
      <c r="D2686" s="1" t="str">
        <f ca="1">IFERROR(__xludf.DUMMYFUNCTION("""COMPUTED_VALUE"""),"Nő")</f>
        <v>Nő</v>
      </c>
      <c r="E2686" s="1"/>
      <c r="F2686" s="1">
        <f ca="1">IFERROR(__xludf.DUMMYFUNCTION("""COMPUTED_VALUE"""),1985)</f>
        <v>1985</v>
      </c>
      <c r="G2686" s="1">
        <f ca="1">IFERROR(__xludf.DUMMYFUNCTION("""COMPUTED_VALUE"""),2310)</f>
        <v>2310</v>
      </c>
      <c r="H2686" s="1" t="str">
        <f ca="1">IFERROR(__xludf.DUMMYFUNCTION("""COMPUTED_VALUE"""),"MTLSZ002310A14")</f>
        <v>MTLSZ002310A14</v>
      </c>
      <c r="I2686" s="2">
        <f ca="1">IFERROR(__xludf.DUMMYFUNCTION("""COMPUTED_VALUE"""),41921)</f>
        <v>41921</v>
      </c>
      <c r="J2686" s="2">
        <f ca="1">IFERROR(__xludf.DUMMYFUNCTION("""COMPUTED_VALUE"""),42285)</f>
        <v>42285</v>
      </c>
    </row>
    <row r="2687" spans="1:10" x14ac:dyDescent="0.25">
      <c r="A2687" s="1" t="str">
        <f ca="1">IFERROR(__xludf.DUMMYFUNCTION("""COMPUTED_VALUE"""),"Multi Alarm SE")</f>
        <v>Multi Alarm SE</v>
      </c>
      <c r="B2687" s="1" t="str">
        <f ca="1">IFERROR(__xludf.DUMMYFUNCTION("""COMPUTED_VALUE"""),"Atthaviroj Karnphop")</f>
        <v>Atthaviroj Karnphop</v>
      </c>
      <c r="C2687" s="1"/>
      <c r="D2687" s="1" t="str">
        <f ca="1">IFERROR(__xludf.DUMMYFUNCTION("""COMPUTED_VALUE"""),"Férfi")</f>
        <v>Férfi</v>
      </c>
      <c r="E2687" s="1"/>
      <c r="F2687" s="1">
        <f ca="1">IFERROR(__xludf.DUMMYFUNCTION("""COMPUTED_VALUE"""),1993)</f>
        <v>1993</v>
      </c>
      <c r="G2687" s="1">
        <f ca="1">IFERROR(__xludf.DUMMYFUNCTION("""COMPUTED_VALUE"""),2524)</f>
        <v>2524</v>
      </c>
      <c r="H2687" s="1" t="str">
        <f ca="1">IFERROR(__xludf.DUMMYFUNCTION("""COMPUTED_VALUE"""),"MTLSZ002524A14")</f>
        <v>MTLSZ002524A14</v>
      </c>
      <c r="I2687" s="2">
        <f ca="1">IFERROR(__xludf.DUMMYFUNCTION("""COMPUTED_VALUE"""),41921)</f>
        <v>41921</v>
      </c>
      <c r="J2687" s="2">
        <f ca="1">IFERROR(__xludf.DUMMYFUNCTION("""COMPUTED_VALUE"""),42285)</f>
        <v>42285</v>
      </c>
    </row>
    <row r="2688" spans="1:10" x14ac:dyDescent="0.25">
      <c r="A2688" s="1" t="str">
        <f ca="1">IFERROR(__xludf.DUMMYFUNCTION("""COMPUTED_VALUE"""),"Bodajki TSE")</f>
        <v>Bodajki TSE</v>
      </c>
      <c r="B2688" s="1" t="str">
        <f ca="1">IFERROR(__xludf.DUMMYFUNCTION("""COMPUTED_VALUE"""),"Szehofner Gergely")</f>
        <v>Szehofner Gergely</v>
      </c>
      <c r="C2688" s="1"/>
      <c r="D2688" s="1" t="str">
        <f ca="1">IFERROR(__xludf.DUMMYFUNCTION("""COMPUTED_VALUE"""),"Férfi")</f>
        <v>Férfi</v>
      </c>
      <c r="E2688" s="1"/>
      <c r="F2688" s="1">
        <f ca="1">IFERROR(__xludf.DUMMYFUNCTION("""COMPUTED_VALUE"""),2001)</f>
        <v>2001</v>
      </c>
      <c r="G2688" s="1">
        <f ca="1">IFERROR(__xludf.DUMMYFUNCTION("""COMPUTED_VALUE"""),2475)</f>
        <v>2475</v>
      </c>
      <c r="H2688" s="1" t="str">
        <f ca="1">IFERROR(__xludf.DUMMYFUNCTION("""COMPUTED_VALUE"""),"MTLSZ002475A14")</f>
        <v>MTLSZ002475A14</v>
      </c>
      <c r="I2688" s="2">
        <f ca="1">IFERROR(__xludf.DUMMYFUNCTION("""COMPUTED_VALUE"""),41919)</f>
        <v>41919</v>
      </c>
      <c r="J2688" s="2">
        <f ca="1">IFERROR(__xludf.DUMMYFUNCTION("""COMPUTED_VALUE"""),42283)</f>
        <v>42283</v>
      </c>
    </row>
    <row r="2689" spans="1:10" x14ac:dyDescent="0.25">
      <c r="A2689" s="1" t="str">
        <f ca="1">IFERROR(__xludf.DUMMYFUNCTION("""COMPUTED_VALUE"""),"Multi Alarm SE")</f>
        <v>Multi Alarm SE</v>
      </c>
      <c r="B2689" s="1" t="str">
        <f ca="1">IFERROR(__xludf.DUMMYFUNCTION("""COMPUTED_VALUE"""),"Buzás Levente")</f>
        <v>Buzás Levente</v>
      </c>
      <c r="C2689" s="1"/>
      <c r="D2689" s="1" t="str">
        <f ca="1">IFERROR(__xludf.DUMMYFUNCTION("""COMPUTED_VALUE"""),"Férfi")</f>
        <v>Férfi</v>
      </c>
      <c r="E2689" s="1"/>
      <c r="F2689" s="1">
        <f ca="1">IFERROR(__xludf.DUMMYFUNCTION("""COMPUTED_VALUE"""),2002)</f>
        <v>2002</v>
      </c>
      <c r="G2689" s="1">
        <f ca="1">IFERROR(__xludf.DUMMYFUNCTION("""COMPUTED_VALUE"""),2647)</f>
        <v>2647</v>
      </c>
      <c r="H2689" s="1" t="str">
        <f ca="1">IFERROR(__xludf.DUMMYFUNCTION("""COMPUTED_VALUE"""),"MTLSZ002647A14")</f>
        <v>MTLSZ002647A14</v>
      </c>
      <c r="I2689" s="2">
        <f ca="1">IFERROR(__xludf.DUMMYFUNCTION("""COMPUTED_VALUE"""),41915)</f>
        <v>41915</v>
      </c>
      <c r="J2689" s="2">
        <f ca="1">IFERROR(__xludf.DUMMYFUNCTION("""COMPUTED_VALUE"""),42279)</f>
        <v>42279</v>
      </c>
    </row>
    <row r="2690" spans="1:10" x14ac:dyDescent="0.25">
      <c r="A2690" s="1" t="str">
        <f ca="1">IFERROR(__xludf.DUMMYFUNCTION("""COMPUTED_VALUE"""),"Vízművek SK")</f>
        <v>Vízművek SK</v>
      </c>
      <c r="B2690" s="1" t="str">
        <f ca="1">IFERROR(__xludf.DUMMYFUNCTION("""COMPUTED_VALUE"""),"Bangó Vivien")</f>
        <v>Bangó Vivien</v>
      </c>
      <c r="C2690" s="1"/>
      <c r="D2690" s="1" t="str">
        <f ca="1">IFERROR(__xludf.DUMMYFUNCTION("""COMPUTED_VALUE"""),"Nő")</f>
        <v>Nő</v>
      </c>
      <c r="E2690" s="1"/>
      <c r="F2690" s="1">
        <f ca="1">IFERROR(__xludf.DUMMYFUNCTION("""COMPUTED_VALUE"""),1995)</f>
        <v>1995</v>
      </c>
      <c r="G2690" s="1">
        <f ca="1">IFERROR(__xludf.DUMMYFUNCTION("""COMPUTED_VALUE"""),1953)</f>
        <v>1953</v>
      </c>
      <c r="H2690" s="1" t="str">
        <f ca="1">IFERROR(__xludf.DUMMYFUNCTION("""COMPUTED_VALUE"""),"MTLSZ001953A14")</f>
        <v>MTLSZ001953A14</v>
      </c>
      <c r="I2690" s="2">
        <f ca="1">IFERROR(__xludf.DUMMYFUNCTION("""COMPUTED_VALUE"""),41913)</f>
        <v>41913</v>
      </c>
      <c r="J2690" s="2">
        <f ca="1">IFERROR(__xludf.DUMMYFUNCTION("""COMPUTED_VALUE"""),42277)</f>
        <v>42277</v>
      </c>
    </row>
    <row r="2691" spans="1:10" x14ac:dyDescent="0.25">
      <c r="A2691" s="1" t="str">
        <f ca="1">IFERROR(__xludf.DUMMYFUNCTION("""COMPUTED_VALUE"""),"Érdi VSE")</f>
        <v>Érdi VSE</v>
      </c>
      <c r="B2691" s="1" t="str">
        <f ca="1">IFERROR(__xludf.DUMMYFUNCTION("""COMPUTED_VALUE"""),"Tóth Tamara")</f>
        <v>Tóth Tamara</v>
      </c>
      <c r="C2691" s="1"/>
      <c r="D2691" s="1" t="str">
        <f ca="1">IFERROR(__xludf.DUMMYFUNCTION("""COMPUTED_VALUE"""),"Nő")</f>
        <v>Nő</v>
      </c>
      <c r="E2691" s="1"/>
      <c r="F2691" s="1">
        <f ca="1">IFERROR(__xludf.DUMMYFUNCTION("""COMPUTED_VALUE"""),2002)</f>
        <v>2002</v>
      </c>
      <c r="G2691" s="1">
        <f ca="1">IFERROR(__xludf.DUMMYFUNCTION("""COMPUTED_VALUE"""),2516)</f>
        <v>2516</v>
      </c>
      <c r="H2691" s="1" t="str">
        <f ca="1">IFERROR(__xludf.DUMMYFUNCTION("""COMPUTED_VALUE"""),"MTLSZ002516A14")</f>
        <v>MTLSZ002516A14</v>
      </c>
      <c r="I2691" s="2">
        <f ca="1">IFERROR(__xludf.DUMMYFUNCTION("""COMPUTED_VALUE"""),41912)</f>
        <v>41912</v>
      </c>
      <c r="J2691" s="2">
        <f ca="1">IFERROR(__xludf.DUMMYFUNCTION("""COMPUTED_VALUE"""),42276)</f>
        <v>42276</v>
      </c>
    </row>
    <row r="2692" spans="1:10" x14ac:dyDescent="0.25">
      <c r="A2692" s="1" t="str">
        <f ca="1">IFERROR(__xludf.DUMMYFUNCTION("""COMPUTED_VALUE"""),"Multi Alarm SE")</f>
        <v>Multi Alarm SE</v>
      </c>
      <c r="B2692" s="1" t="str">
        <f ca="1">IFERROR(__xludf.DUMMYFUNCTION("""COMPUTED_VALUE"""),"Sárközi Lilla Kata")</f>
        <v>Sárközi Lilla Kata</v>
      </c>
      <c r="C2692" s="1"/>
      <c r="D2692" s="1" t="str">
        <f ca="1">IFERROR(__xludf.DUMMYFUNCTION("""COMPUTED_VALUE"""),"Nő")</f>
        <v>Nő</v>
      </c>
      <c r="E2692" s="1"/>
      <c r="F2692" s="1">
        <f ca="1">IFERROR(__xludf.DUMMYFUNCTION("""COMPUTED_VALUE"""),2002)</f>
        <v>2002</v>
      </c>
      <c r="G2692" s="1">
        <f ca="1">IFERROR(__xludf.DUMMYFUNCTION("""COMPUTED_VALUE"""),2643)</f>
        <v>2643</v>
      </c>
      <c r="H2692" s="1" t="str">
        <f ca="1">IFERROR(__xludf.DUMMYFUNCTION("""COMPUTED_VALUE"""),"MTLSZ002643A14")</f>
        <v>MTLSZ002643A14</v>
      </c>
      <c r="I2692" s="2">
        <f ca="1">IFERROR(__xludf.DUMMYFUNCTION("""COMPUTED_VALUE"""),41911)</f>
        <v>41911</v>
      </c>
      <c r="J2692" s="2">
        <f ca="1">IFERROR(__xludf.DUMMYFUNCTION("""COMPUTED_VALUE"""),42275)</f>
        <v>42275</v>
      </c>
    </row>
    <row r="2693" spans="1:10" x14ac:dyDescent="0.25">
      <c r="A2693" s="1" t="str">
        <f ca="1">IFERROR(__xludf.DUMMYFUNCTION("""COMPUTED_VALUE"""),"Multi Alarm SE")</f>
        <v>Multi Alarm SE</v>
      </c>
      <c r="B2693" s="1" t="str">
        <f ca="1">IFERROR(__xludf.DUMMYFUNCTION("""COMPUTED_VALUE"""),"Pátri Olívia")</f>
        <v>Pátri Olívia</v>
      </c>
      <c r="C2693" s="1"/>
      <c r="D2693" s="1" t="str">
        <f ca="1">IFERROR(__xludf.DUMMYFUNCTION("""COMPUTED_VALUE"""),"Nő")</f>
        <v>Nő</v>
      </c>
      <c r="E2693" s="1"/>
      <c r="F2693" s="1">
        <f ca="1">IFERROR(__xludf.DUMMYFUNCTION("""COMPUTED_VALUE"""),2002)</f>
        <v>2002</v>
      </c>
      <c r="G2693" s="1">
        <f ca="1">IFERROR(__xludf.DUMMYFUNCTION("""COMPUTED_VALUE"""),2641)</f>
        <v>2641</v>
      </c>
      <c r="H2693" s="1" t="str">
        <f ca="1">IFERROR(__xludf.DUMMYFUNCTION("""COMPUTED_VALUE"""),"MTLSZ002641A14")</f>
        <v>MTLSZ002641A14</v>
      </c>
      <c r="I2693" s="2">
        <f ca="1">IFERROR(__xludf.DUMMYFUNCTION("""COMPUTED_VALUE"""),41908)</f>
        <v>41908</v>
      </c>
      <c r="J2693" s="2">
        <f ca="1">IFERROR(__xludf.DUMMYFUNCTION("""COMPUTED_VALUE"""),42272)</f>
        <v>42272</v>
      </c>
    </row>
    <row r="2694" spans="1:10" x14ac:dyDescent="0.25">
      <c r="A2694" s="1" t="str">
        <f ca="1">IFERROR(__xludf.DUMMYFUNCTION("""COMPUTED_VALUE"""),"Danubius KSE")</f>
        <v>Danubius KSE</v>
      </c>
      <c r="B2694" s="1" t="str">
        <f ca="1">IFERROR(__xludf.DUMMYFUNCTION("""COMPUTED_VALUE"""),"Kaposvári István")</f>
        <v>Kaposvári István</v>
      </c>
      <c r="C2694" s="1"/>
      <c r="D2694" s="1" t="str">
        <f ca="1">IFERROR(__xludf.DUMMYFUNCTION("""COMPUTED_VALUE"""),"Férfi")</f>
        <v>Férfi</v>
      </c>
      <c r="E2694" s="1"/>
      <c r="F2694" s="1">
        <f ca="1">IFERROR(__xludf.DUMMYFUNCTION("""COMPUTED_VALUE"""),1995)</f>
        <v>1995</v>
      </c>
      <c r="G2694" s="1">
        <f ca="1">IFERROR(__xludf.DUMMYFUNCTION("""COMPUTED_VALUE"""),2193)</f>
        <v>2193</v>
      </c>
      <c r="H2694" s="1" t="str">
        <f ca="1">IFERROR(__xludf.DUMMYFUNCTION("""COMPUTED_VALUE"""),"MTLSZ002193A14")</f>
        <v>MTLSZ002193A14</v>
      </c>
      <c r="I2694" s="2">
        <f ca="1">IFERROR(__xludf.DUMMYFUNCTION("""COMPUTED_VALUE"""),41905)</f>
        <v>41905</v>
      </c>
      <c r="J2694" s="2">
        <f ca="1">IFERROR(__xludf.DUMMYFUNCTION("""COMPUTED_VALUE"""),42269)</f>
        <v>42269</v>
      </c>
    </row>
    <row r="2695" spans="1:10" x14ac:dyDescent="0.25">
      <c r="A2695" s="1" t="str">
        <f ca="1">IFERROR(__xludf.DUMMYFUNCTION("""COMPUTED_VALUE"""),"Multi Alarm SE")</f>
        <v>Multi Alarm SE</v>
      </c>
      <c r="B2695" s="1" t="str">
        <f ca="1">IFERROR(__xludf.DUMMYFUNCTION("""COMPUTED_VALUE"""),"Gőzsy Bálint")</f>
        <v>Gőzsy Bálint</v>
      </c>
      <c r="C2695" s="1"/>
      <c r="D2695" s="1" t="str">
        <f ca="1">IFERROR(__xludf.DUMMYFUNCTION("""COMPUTED_VALUE"""),"Férfi")</f>
        <v>Férfi</v>
      </c>
      <c r="E2695" s="1"/>
      <c r="F2695" s="1">
        <f ca="1">IFERROR(__xludf.DUMMYFUNCTION("""COMPUTED_VALUE"""),2004)</f>
        <v>2004</v>
      </c>
      <c r="G2695" s="1">
        <f ca="1">IFERROR(__xludf.DUMMYFUNCTION("""COMPUTED_VALUE"""),2627)</f>
        <v>2627</v>
      </c>
      <c r="H2695" s="1" t="str">
        <f ca="1">IFERROR(__xludf.DUMMYFUNCTION("""COMPUTED_VALUE"""),"MTLSZ002627A14")</f>
        <v>MTLSZ002627A14</v>
      </c>
      <c r="I2695" s="2">
        <f ca="1">IFERROR(__xludf.DUMMYFUNCTION("""COMPUTED_VALUE"""),41905)</f>
        <v>41905</v>
      </c>
      <c r="J2695" s="2">
        <f ca="1">IFERROR(__xludf.DUMMYFUNCTION("""COMPUTED_VALUE"""),42269)</f>
        <v>42269</v>
      </c>
    </row>
    <row r="2696" spans="1:10" x14ac:dyDescent="0.25">
      <c r="A2696" s="1" t="str">
        <f ca="1">IFERROR(__xludf.DUMMYFUNCTION("""COMPUTED_VALUE"""),"Multi Alarm SE")</f>
        <v>Multi Alarm SE</v>
      </c>
      <c r="B2696" s="1" t="str">
        <f ca="1">IFERROR(__xludf.DUMMYFUNCTION("""COMPUTED_VALUE"""),"Katona Kinga")</f>
        <v>Katona Kinga</v>
      </c>
      <c r="C2696" s="1"/>
      <c r="D2696" s="1" t="str">
        <f ca="1">IFERROR(__xludf.DUMMYFUNCTION("""COMPUTED_VALUE"""),"Nő")</f>
        <v>Nő</v>
      </c>
      <c r="E2696" s="1"/>
      <c r="F2696" s="1">
        <f ca="1">IFERROR(__xludf.DUMMYFUNCTION("""COMPUTED_VALUE"""),2004)</f>
        <v>2004</v>
      </c>
      <c r="G2696" s="1">
        <f ca="1">IFERROR(__xludf.DUMMYFUNCTION("""COMPUTED_VALUE"""),2631)</f>
        <v>2631</v>
      </c>
      <c r="H2696" s="1" t="str">
        <f ca="1">IFERROR(__xludf.DUMMYFUNCTION("""COMPUTED_VALUE"""),"MTLSZ002631A14")</f>
        <v>MTLSZ002631A14</v>
      </c>
      <c r="I2696" s="2">
        <f ca="1">IFERROR(__xludf.DUMMYFUNCTION("""COMPUTED_VALUE"""),41905)</f>
        <v>41905</v>
      </c>
      <c r="J2696" s="2">
        <f ca="1">IFERROR(__xludf.DUMMYFUNCTION("""COMPUTED_VALUE"""),42269)</f>
        <v>42269</v>
      </c>
    </row>
    <row r="2697" spans="1:10" x14ac:dyDescent="0.25">
      <c r="A2697" s="1" t="str">
        <f ca="1">IFERROR(__xludf.DUMMYFUNCTION("""COMPUTED_VALUE"""),"Multi Alarm SE")</f>
        <v>Multi Alarm SE</v>
      </c>
      <c r="B2697" s="1" t="str">
        <f ca="1">IFERROR(__xludf.DUMMYFUNCTION("""COMPUTED_VALUE"""),"Schenk Dániel")</f>
        <v>Schenk Dániel</v>
      </c>
      <c r="C2697" s="1"/>
      <c r="D2697" s="1" t="str">
        <f ca="1">IFERROR(__xludf.DUMMYFUNCTION("""COMPUTED_VALUE"""),"Férfi")</f>
        <v>Férfi</v>
      </c>
      <c r="E2697" s="1"/>
      <c r="F2697" s="1">
        <f ca="1">IFERROR(__xludf.DUMMYFUNCTION("""COMPUTED_VALUE"""),1999)</f>
        <v>1999</v>
      </c>
      <c r="G2697" s="1">
        <f ca="1">IFERROR(__xludf.DUMMYFUNCTION("""COMPUTED_VALUE"""),2376)</f>
        <v>2376</v>
      </c>
      <c r="H2697" s="1" t="str">
        <f ca="1">IFERROR(__xludf.DUMMYFUNCTION("""COMPUTED_VALUE"""),"MTLSZ002376A14")</f>
        <v>MTLSZ002376A14</v>
      </c>
      <c r="I2697" s="2">
        <f ca="1">IFERROR(__xludf.DUMMYFUNCTION("""COMPUTED_VALUE"""),41905)</f>
        <v>41905</v>
      </c>
      <c r="J2697" s="2">
        <f ca="1">IFERROR(__xludf.DUMMYFUNCTION("""COMPUTED_VALUE"""),42269)</f>
        <v>42269</v>
      </c>
    </row>
    <row r="2698" spans="1:10" x14ac:dyDescent="0.25">
      <c r="A2698" s="1" t="str">
        <f ca="1">IFERROR(__xludf.DUMMYFUNCTION("""COMPUTED_VALUE"""),"Seregélyesi PDSE")</f>
        <v>Seregélyesi PDSE</v>
      </c>
      <c r="B2698" s="1" t="str">
        <f ca="1">IFERROR(__xludf.DUMMYFUNCTION("""COMPUTED_VALUE"""),"Vachler Barnabás")</f>
        <v>Vachler Barnabás</v>
      </c>
      <c r="C2698" s="1"/>
      <c r="D2698" s="1" t="str">
        <f ca="1">IFERROR(__xludf.DUMMYFUNCTION("""COMPUTED_VALUE"""),"Férfi")</f>
        <v>Férfi</v>
      </c>
      <c r="E2698" s="1"/>
      <c r="F2698" s="1">
        <f ca="1">IFERROR(__xludf.DUMMYFUNCTION("""COMPUTED_VALUE"""),2004)</f>
        <v>2004</v>
      </c>
      <c r="G2698" s="1">
        <f ca="1">IFERROR(__xludf.DUMMYFUNCTION("""COMPUTED_VALUE"""),2539)</f>
        <v>2539</v>
      </c>
      <c r="H2698" s="1" t="str">
        <f ca="1">IFERROR(__xludf.DUMMYFUNCTION("""COMPUTED_VALUE"""),"MTLSZ002539A14")</f>
        <v>MTLSZ002539A14</v>
      </c>
      <c r="I2698" s="2">
        <f ca="1">IFERROR(__xludf.DUMMYFUNCTION("""COMPUTED_VALUE"""),41904)</f>
        <v>41904</v>
      </c>
      <c r="J2698" s="2">
        <f ca="1">IFERROR(__xludf.DUMMYFUNCTION("""COMPUTED_VALUE"""),42268)</f>
        <v>42268</v>
      </c>
    </row>
    <row r="2699" spans="1:10" x14ac:dyDescent="0.25">
      <c r="A2699" s="1" t="str">
        <f ca="1">IFERROR(__xludf.DUMMYFUNCTION("""COMPUTED_VALUE"""),"Szegedi TSE")</f>
        <v>Szegedi TSE</v>
      </c>
      <c r="B2699" s="1" t="str">
        <f ca="1">IFERROR(__xludf.DUMMYFUNCTION("""COMPUTED_VALUE"""),"Bereczki Bence")</f>
        <v>Bereczki Bence</v>
      </c>
      <c r="C2699" s="1"/>
      <c r="D2699" s="1" t="str">
        <f ca="1">IFERROR(__xludf.DUMMYFUNCTION("""COMPUTED_VALUE"""),"Férfi")</f>
        <v>Férfi</v>
      </c>
      <c r="E2699" s="1"/>
      <c r="F2699" s="1">
        <f ca="1">IFERROR(__xludf.DUMMYFUNCTION("""COMPUTED_VALUE"""),1995)</f>
        <v>1995</v>
      </c>
      <c r="G2699" s="1">
        <f ca="1">IFERROR(__xludf.DUMMYFUNCTION("""COMPUTED_VALUE"""),2161)</f>
        <v>2161</v>
      </c>
      <c r="H2699" s="1" t="str">
        <f ca="1">IFERROR(__xludf.DUMMYFUNCTION("""COMPUTED_VALUE"""),"MTLSZ002161A14")</f>
        <v>MTLSZ002161A14</v>
      </c>
      <c r="I2699" s="2">
        <f ca="1">IFERROR(__xludf.DUMMYFUNCTION("""COMPUTED_VALUE"""),41904)</f>
        <v>41904</v>
      </c>
      <c r="J2699" s="2">
        <f ca="1">IFERROR(__xludf.DUMMYFUNCTION("""COMPUTED_VALUE"""),42268)</f>
        <v>42268</v>
      </c>
    </row>
    <row r="2700" spans="1:10" x14ac:dyDescent="0.25">
      <c r="A2700" s="1" t="str">
        <f ca="1">IFERROR(__xludf.DUMMYFUNCTION("""COMPUTED_VALUE"""),"Tisza TSE")</f>
        <v>Tisza TSE</v>
      </c>
      <c r="B2700" s="1" t="str">
        <f ca="1">IFERROR(__xludf.DUMMYFUNCTION("""COMPUTED_VALUE"""),"Boronkai Fruzsina")</f>
        <v>Boronkai Fruzsina</v>
      </c>
      <c r="C2700" s="1"/>
      <c r="D2700" s="1" t="str">
        <f ca="1">IFERROR(__xludf.DUMMYFUNCTION("""COMPUTED_VALUE"""),"Nő")</f>
        <v>Nő</v>
      </c>
      <c r="E2700" s="1"/>
      <c r="F2700" s="1">
        <f ca="1">IFERROR(__xludf.DUMMYFUNCTION("""COMPUTED_VALUE"""),2002)</f>
        <v>2002</v>
      </c>
      <c r="G2700" s="1">
        <f ca="1">IFERROR(__xludf.DUMMYFUNCTION("""COMPUTED_VALUE"""),2572)</f>
        <v>2572</v>
      </c>
      <c r="H2700" s="1" t="str">
        <f ca="1">IFERROR(__xludf.DUMMYFUNCTION("""COMPUTED_VALUE"""),"MTLSZ002572A14")</f>
        <v>MTLSZ002572A14</v>
      </c>
      <c r="I2700" s="2">
        <f ca="1">IFERROR(__xludf.DUMMYFUNCTION("""COMPUTED_VALUE"""),41904)</f>
        <v>41904</v>
      </c>
      <c r="J2700" s="2">
        <f ca="1">IFERROR(__xludf.DUMMYFUNCTION("""COMPUTED_VALUE"""),42268)</f>
        <v>42268</v>
      </c>
    </row>
    <row r="2701" spans="1:10" x14ac:dyDescent="0.25">
      <c r="A2701" s="1" t="str">
        <f ca="1">IFERROR(__xludf.DUMMYFUNCTION("""COMPUTED_VALUE"""),"Danubius KSE")</f>
        <v>Danubius KSE</v>
      </c>
      <c r="B2701" s="1" t="str">
        <f ca="1">IFERROR(__xludf.DUMMYFUNCTION("""COMPUTED_VALUE"""),"Friedl Natalie")</f>
        <v>Friedl Natalie</v>
      </c>
      <c r="C2701" s="1"/>
      <c r="D2701" s="1" t="str">
        <f ca="1">IFERROR(__xludf.DUMMYFUNCTION("""COMPUTED_VALUE"""),"Nő")</f>
        <v>Nő</v>
      </c>
      <c r="E2701" s="1"/>
      <c r="F2701" s="1">
        <f ca="1">IFERROR(__xludf.DUMMYFUNCTION("""COMPUTED_VALUE"""),2004)</f>
        <v>2004</v>
      </c>
      <c r="G2701" s="1">
        <f ca="1">IFERROR(__xludf.DUMMYFUNCTION("""COMPUTED_VALUE"""),2618)</f>
        <v>2618</v>
      </c>
      <c r="H2701" s="1" t="str">
        <f ca="1">IFERROR(__xludf.DUMMYFUNCTION("""COMPUTED_VALUE"""),"MTLSZ002618A14")</f>
        <v>MTLSZ002618A14</v>
      </c>
      <c r="I2701" s="2">
        <f ca="1">IFERROR(__xludf.DUMMYFUNCTION("""COMPUTED_VALUE"""),41899)</f>
        <v>41899</v>
      </c>
      <c r="J2701" s="2">
        <f ca="1">IFERROR(__xludf.DUMMYFUNCTION("""COMPUTED_VALUE"""),42263)</f>
        <v>42263</v>
      </c>
    </row>
    <row r="2702" spans="1:10" x14ac:dyDescent="0.25">
      <c r="A2702" s="1" t="str">
        <f ca="1">IFERROR(__xludf.DUMMYFUNCTION("""COMPUTED_VALUE"""),"Danubius KSE")</f>
        <v>Danubius KSE</v>
      </c>
      <c r="B2702" s="1" t="str">
        <f ca="1">IFERROR(__xludf.DUMMYFUNCTION("""COMPUTED_VALUE"""),"Győri Virág")</f>
        <v>Győri Virág</v>
      </c>
      <c r="C2702" s="1"/>
      <c r="D2702" s="1" t="str">
        <f ca="1">IFERROR(__xludf.DUMMYFUNCTION("""COMPUTED_VALUE"""),"Nő")</f>
        <v>Nő</v>
      </c>
      <c r="E2702" s="1"/>
      <c r="F2702" s="1">
        <f ca="1">IFERROR(__xludf.DUMMYFUNCTION("""COMPUTED_VALUE"""),2004)</f>
        <v>2004</v>
      </c>
      <c r="G2702" s="1">
        <f ca="1">IFERROR(__xludf.DUMMYFUNCTION("""COMPUTED_VALUE"""),2619)</f>
        <v>2619</v>
      </c>
      <c r="H2702" s="1" t="str">
        <f ca="1">IFERROR(__xludf.DUMMYFUNCTION("""COMPUTED_VALUE"""),"MTLSZ002619A14")</f>
        <v>MTLSZ002619A14</v>
      </c>
      <c r="I2702" s="2">
        <f ca="1">IFERROR(__xludf.DUMMYFUNCTION("""COMPUTED_VALUE"""),41899)</f>
        <v>41899</v>
      </c>
      <c r="J2702" s="2">
        <f ca="1">IFERROR(__xludf.DUMMYFUNCTION("""COMPUTED_VALUE"""),42263)</f>
        <v>42263</v>
      </c>
    </row>
    <row r="2703" spans="1:10" x14ac:dyDescent="0.25">
      <c r="A2703" s="1" t="str">
        <f ca="1">IFERROR(__xludf.DUMMYFUNCTION("""COMPUTED_VALUE"""),"Danubius KSE")</f>
        <v>Danubius KSE</v>
      </c>
      <c r="B2703" s="1" t="str">
        <f ca="1">IFERROR(__xludf.DUMMYFUNCTION("""COMPUTED_VALUE"""),"Lehoczky Attila")</f>
        <v>Lehoczky Attila</v>
      </c>
      <c r="C2703" s="1"/>
      <c r="D2703" s="1" t="str">
        <f ca="1">IFERROR(__xludf.DUMMYFUNCTION("""COMPUTED_VALUE"""),"Férfi")</f>
        <v>Férfi</v>
      </c>
      <c r="E2703" s="1"/>
      <c r="F2703" s="1">
        <f ca="1">IFERROR(__xludf.DUMMYFUNCTION("""COMPUTED_VALUE"""),1968)</f>
        <v>1968</v>
      </c>
      <c r="G2703" s="1">
        <f ca="1">IFERROR(__xludf.DUMMYFUNCTION("""COMPUTED_VALUE"""),2129)</f>
        <v>2129</v>
      </c>
      <c r="H2703" s="1" t="str">
        <f ca="1">IFERROR(__xludf.DUMMYFUNCTION("""COMPUTED_VALUE"""),"MTLSZ002129A14")</f>
        <v>MTLSZ002129A14</v>
      </c>
      <c r="I2703" s="2">
        <f ca="1">IFERROR(__xludf.DUMMYFUNCTION("""COMPUTED_VALUE"""),41899)</f>
        <v>41899</v>
      </c>
      <c r="J2703" s="2">
        <f ca="1">IFERROR(__xludf.DUMMYFUNCTION("""COMPUTED_VALUE"""),42263)</f>
        <v>42263</v>
      </c>
    </row>
    <row r="2704" spans="1:10" x14ac:dyDescent="0.25">
      <c r="A2704" s="1" t="str">
        <f ca="1">IFERROR(__xludf.DUMMYFUNCTION("""COMPUTED_VALUE"""),"Danubius KSE")</f>
        <v>Danubius KSE</v>
      </c>
      <c r="B2704" s="1" t="str">
        <f ca="1">IFERROR(__xludf.DUMMYFUNCTION("""COMPUTED_VALUE"""),"Lehoczky Levente")</f>
        <v>Lehoczky Levente</v>
      </c>
      <c r="C2704" s="1"/>
      <c r="D2704" s="1" t="str">
        <f ca="1">IFERROR(__xludf.DUMMYFUNCTION("""COMPUTED_VALUE"""),"Férfi")</f>
        <v>Férfi</v>
      </c>
      <c r="E2704" s="1"/>
      <c r="F2704" s="1">
        <f ca="1">IFERROR(__xludf.DUMMYFUNCTION("""COMPUTED_VALUE"""),1996)</f>
        <v>1996</v>
      </c>
      <c r="G2704" s="1">
        <f ca="1">IFERROR(__xludf.DUMMYFUNCTION("""COMPUTED_VALUE"""),2125)</f>
        <v>2125</v>
      </c>
      <c r="H2704" s="1" t="str">
        <f ca="1">IFERROR(__xludf.DUMMYFUNCTION("""COMPUTED_VALUE"""),"MTLSZ002125A14")</f>
        <v>MTLSZ002125A14</v>
      </c>
      <c r="I2704" s="2">
        <f ca="1">IFERROR(__xludf.DUMMYFUNCTION("""COMPUTED_VALUE"""),41899)</f>
        <v>41899</v>
      </c>
      <c r="J2704" s="2">
        <f ca="1">IFERROR(__xludf.DUMMYFUNCTION("""COMPUTED_VALUE"""),42263)</f>
        <v>42263</v>
      </c>
    </row>
    <row r="2705" spans="1:10" x14ac:dyDescent="0.25">
      <c r="A2705" s="1" t="str">
        <f ca="1">IFERROR(__xludf.DUMMYFUNCTION("""COMPUTED_VALUE"""),"Danubius KSE")</f>
        <v>Danubius KSE</v>
      </c>
      <c r="B2705" s="1" t="str">
        <f ca="1">IFERROR(__xludf.DUMMYFUNCTION("""COMPUTED_VALUE"""),"Morva Bence")</f>
        <v>Morva Bence</v>
      </c>
      <c r="C2705" s="1"/>
      <c r="D2705" s="1" t="str">
        <f ca="1">IFERROR(__xludf.DUMMYFUNCTION("""COMPUTED_VALUE"""),"Férfi")</f>
        <v>Férfi</v>
      </c>
      <c r="E2705" s="1"/>
      <c r="F2705" s="1">
        <f ca="1">IFERROR(__xludf.DUMMYFUNCTION("""COMPUTED_VALUE"""),2004)</f>
        <v>2004</v>
      </c>
      <c r="G2705" s="1">
        <f ca="1">IFERROR(__xludf.DUMMYFUNCTION("""COMPUTED_VALUE"""),2620)</f>
        <v>2620</v>
      </c>
      <c r="H2705" s="1" t="str">
        <f ca="1">IFERROR(__xludf.DUMMYFUNCTION("""COMPUTED_VALUE"""),"MTLSZ002620A14")</f>
        <v>MTLSZ002620A14</v>
      </c>
      <c r="I2705" s="2">
        <f ca="1">IFERROR(__xludf.DUMMYFUNCTION("""COMPUTED_VALUE"""),41899)</f>
        <v>41899</v>
      </c>
      <c r="J2705" s="2">
        <f ca="1">IFERROR(__xludf.DUMMYFUNCTION("""COMPUTED_VALUE"""),42263)</f>
        <v>42263</v>
      </c>
    </row>
    <row r="2706" spans="1:10" x14ac:dyDescent="0.25">
      <c r="A2706" s="1" t="str">
        <f ca="1">IFERROR(__xludf.DUMMYFUNCTION("""COMPUTED_VALUE"""),"Multi Alarm SE")</f>
        <v>Multi Alarm SE</v>
      </c>
      <c r="B2706" s="1" t="str">
        <f ca="1">IFERROR(__xludf.DUMMYFUNCTION("""COMPUTED_VALUE"""),"Pátri Eliot")</f>
        <v>Pátri Eliot</v>
      </c>
      <c r="C2706" s="1"/>
      <c r="D2706" s="1" t="str">
        <f ca="1">IFERROR(__xludf.DUMMYFUNCTION("""COMPUTED_VALUE"""),"Férfi")</f>
        <v>Férfi</v>
      </c>
      <c r="E2706" s="1"/>
      <c r="F2706" s="1">
        <f ca="1">IFERROR(__xludf.DUMMYFUNCTION("""COMPUTED_VALUE"""),2000)</f>
        <v>2000</v>
      </c>
      <c r="G2706" s="1">
        <f ca="1">IFERROR(__xludf.DUMMYFUNCTION("""COMPUTED_VALUE"""),2481)</f>
        <v>2481</v>
      </c>
      <c r="H2706" s="1" t="str">
        <f ca="1">IFERROR(__xludf.DUMMYFUNCTION("""COMPUTED_VALUE"""),"MTLSZ002481A14")</f>
        <v>MTLSZ002481A14</v>
      </c>
      <c r="I2706" s="2">
        <f ca="1">IFERROR(__xludf.DUMMYFUNCTION("""COMPUTED_VALUE"""),41899)</f>
        <v>41899</v>
      </c>
      <c r="J2706" s="2">
        <f ca="1">IFERROR(__xludf.DUMMYFUNCTION("""COMPUTED_VALUE"""),42263)</f>
        <v>42263</v>
      </c>
    </row>
    <row r="2707" spans="1:10" x14ac:dyDescent="0.25">
      <c r="A2707" s="1" t="str">
        <f ca="1">IFERROR(__xludf.DUMMYFUNCTION("""COMPUTED_VALUE"""),"Multi Alarm SE")</f>
        <v>Multi Alarm SE</v>
      </c>
      <c r="B2707" s="1" t="str">
        <f ca="1">IFERROR(__xludf.DUMMYFUNCTION("""COMPUTED_VALUE"""),"Pátri Sámuel")</f>
        <v>Pátri Sámuel</v>
      </c>
      <c r="C2707" s="1"/>
      <c r="D2707" s="1" t="str">
        <f ca="1">IFERROR(__xludf.DUMMYFUNCTION("""COMPUTED_VALUE"""),"Férfi")</f>
        <v>Férfi</v>
      </c>
      <c r="E2707" s="1"/>
      <c r="F2707" s="1">
        <f ca="1">IFERROR(__xludf.DUMMYFUNCTION("""COMPUTED_VALUE"""),2004)</f>
        <v>2004</v>
      </c>
      <c r="G2707" s="1">
        <f ca="1">IFERROR(__xludf.DUMMYFUNCTION("""COMPUTED_VALUE"""),2612)</f>
        <v>2612</v>
      </c>
      <c r="H2707" s="1" t="str">
        <f ca="1">IFERROR(__xludf.DUMMYFUNCTION("""COMPUTED_VALUE"""),"MTLSZ002612A14")</f>
        <v>MTLSZ002612A14</v>
      </c>
      <c r="I2707" s="2">
        <f ca="1">IFERROR(__xludf.DUMMYFUNCTION("""COMPUTED_VALUE"""),41899)</f>
        <v>41899</v>
      </c>
      <c r="J2707" s="2">
        <f ca="1">IFERROR(__xludf.DUMMYFUNCTION("""COMPUTED_VALUE"""),42263)</f>
        <v>42263</v>
      </c>
    </row>
    <row r="2708" spans="1:10" x14ac:dyDescent="0.25">
      <c r="A2708" s="1" t="str">
        <f ca="1">IFERROR(__xludf.DUMMYFUNCTION("""COMPUTED_VALUE"""),"Multi Alarm SE")</f>
        <v>Multi Alarm SE</v>
      </c>
      <c r="B2708" s="1" t="str">
        <f ca="1">IFERROR(__xludf.DUMMYFUNCTION("""COMPUTED_VALUE"""),"Stefán Kinga")</f>
        <v>Stefán Kinga</v>
      </c>
      <c r="C2708" s="1"/>
      <c r="D2708" s="1" t="str">
        <f ca="1">IFERROR(__xludf.DUMMYFUNCTION("""COMPUTED_VALUE"""),"Nő")</f>
        <v>Nő</v>
      </c>
      <c r="E2708" s="1"/>
      <c r="F2708" s="1">
        <f ca="1">IFERROR(__xludf.DUMMYFUNCTION("""COMPUTED_VALUE"""),2004)</f>
        <v>2004</v>
      </c>
      <c r="G2708" s="1">
        <f ca="1">IFERROR(__xludf.DUMMYFUNCTION("""COMPUTED_VALUE"""),2608)</f>
        <v>2608</v>
      </c>
      <c r="H2708" s="1" t="str">
        <f ca="1">IFERROR(__xludf.DUMMYFUNCTION("""COMPUTED_VALUE"""),"MTLSZ002608A14")</f>
        <v>MTLSZ002608A14</v>
      </c>
      <c r="I2708" s="2">
        <f ca="1">IFERROR(__xludf.DUMMYFUNCTION("""COMPUTED_VALUE"""),41899)</f>
        <v>41899</v>
      </c>
      <c r="J2708" s="2">
        <f ca="1">IFERROR(__xludf.DUMMYFUNCTION("""COMPUTED_VALUE"""),42263)</f>
        <v>42263</v>
      </c>
    </row>
    <row r="2709" spans="1:10" x14ac:dyDescent="0.25">
      <c r="A2709" s="1" t="str">
        <f ca="1">IFERROR(__xludf.DUMMYFUNCTION("""COMPUTED_VALUE"""),"Ságvári DSE")</f>
        <v>Ságvári DSE</v>
      </c>
      <c r="B2709" s="1" t="str">
        <f ca="1">IFERROR(__xludf.DUMMYFUNCTION("""COMPUTED_VALUE"""),"Botár Flóra")</f>
        <v>Botár Flóra</v>
      </c>
      <c r="C2709" s="1"/>
      <c r="D2709" s="1" t="str">
        <f ca="1">IFERROR(__xludf.DUMMYFUNCTION("""COMPUTED_VALUE"""),"Nő")</f>
        <v>Nő</v>
      </c>
      <c r="E2709" s="1"/>
      <c r="F2709" s="1">
        <f ca="1">IFERROR(__xludf.DUMMYFUNCTION("""COMPUTED_VALUE"""),2003)</f>
        <v>2003</v>
      </c>
      <c r="G2709" s="1">
        <f ca="1">IFERROR(__xludf.DUMMYFUNCTION("""COMPUTED_VALUE"""),2604)</f>
        <v>2604</v>
      </c>
      <c r="H2709" s="1" t="str">
        <f ca="1">IFERROR(__xludf.DUMMYFUNCTION("""COMPUTED_VALUE"""),"MTLSZ002604A14")</f>
        <v>MTLSZ002604A14</v>
      </c>
      <c r="I2709" s="2">
        <f ca="1">IFERROR(__xludf.DUMMYFUNCTION("""COMPUTED_VALUE"""),41894)</f>
        <v>41894</v>
      </c>
      <c r="J2709" s="2">
        <f ca="1">IFERROR(__xludf.DUMMYFUNCTION("""COMPUTED_VALUE"""),42258)</f>
        <v>42258</v>
      </c>
    </row>
    <row r="2710" spans="1:10" x14ac:dyDescent="0.25">
      <c r="A2710" s="1" t="str">
        <f ca="1">IFERROR(__xludf.DUMMYFUNCTION("""COMPUTED_VALUE"""),"Ságvári DSE")</f>
        <v>Ságvári DSE</v>
      </c>
      <c r="B2710" s="1" t="str">
        <f ca="1">IFERROR(__xludf.DUMMYFUNCTION("""COMPUTED_VALUE"""),"Hegyi Anna")</f>
        <v>Hegyi Anna</v>
      </c>
      <c r="C2710" s="1"/>
      <c r="D2710" s="1" t="str">
        <f ca="1">IFERROR(__xludf.DUMMYFUNCTION("""COMPUTED_VALUE"""),"Nő")</f>
        <v>Nő</v>
      </c>
      <c r="E2710" s="1"/>
      <c r="F2710" s="1">
        <f ca="1">IFERROR(__xludf.DUMMYFUNCTION("""COMPUTED_VALUE"""),2001)</f>
        <v>2001</v>
      </c>
      <c r="G2710" s="1">
        <f ca="1">IFERROR(__xludf.DUMMYFUNCTION("""COMPUTED_VALUE"""),2607)</f>
        <v>2607</v>
      </c>
      <c r="H2710" s="1" t="str">
        <f ca="1">IFERROR(__xludf.DUMMYFUNCTION("""COMPUTED_VALUE"""),"MTLSZ002607A14")</f>
        <v>MTLSZ002607A14</v>
      </c>
      <c r="I2710" s="2">
        <f ca="1">IFERROR(__xludf.DUMMYFUNCTION("""COMPUTED_VALUE"""),41894)</f>
        <v>41894</v>
      </c>
      <c r="J2710" s="2">
        <f ca="1">IFERROR(__xludf.DUMMYFUNCTION("""COMPUTED_VALUE"""),42258)</f>
        <v>42258</v>
      </c>
    </row>
    <row r="2711" spans="1:10" x14ac:dyDescent="0.25">
      <c r="A2711" s="1" t="str">
        <f ca="1">IFERROR(__xludf.DUMMYFUNCTION("""COMPUTED_VALUE"""),"Ságvári DSE")</f>
        <v>Ságvári DSE</v>
      </c>
      <c r="B2711" s="1" t="str">
        <f ca="1">IFERROR(__xludf.DUMMYFUNCTION("""COMPUTED_VALUE"""),"Kőműves Patrícia")</f>
        <v>Kőműves Patrícia</v>
      </c>
      <c r="C2711" s="1"/>
      <c r="D2711" s="1" t="str">
        <f ca="1">IFERROR(__xludf.DUMMYFUNCTION("""COMPUTED_VALUE"""),"Nő")</f>
        <v>Nő</v>
      </c>
      <c r="E2711" s="1"/>
      <c r="F2711" s="1">
        <f ca="1">IFERROR(__xludf.DUMMYFUNCTION("""COMPUTED_VALUE"""),1995)</f>
        <v>1995</v>
      </c>
      <c r="G2711" s="1">
        <f ca="1">IFERROR(__xludf.DUMMYFUNCTION("""COMPUTED_VALUE"""),2163)</f>
        <v>2163</v>
      </c>
      <c r="H2711" s="1" t="str">
        <f ca="1">IFERROR(__xludf.DUMMYFUNCTION("""COMPUTED_VALUE"""),"MTLSZ002163A14")</f>
        <v>MTLSZ002163A14</v>
      </c>
      <c r="I2711" s="2">
        <f ca="1">IFERROR(__xludf.DUMMYFUNCTION("""COMPUTED_VALUE"""),41894)</f>
        <v>41894</v>
      </c>
      <c r="J2711" s="2">
        <f ca="1">IFERROR(__xludf.DUMMYFUNCTION("""COMPUTED_VALUE"""),42258)</f>
        <v>42258</v>
      </c>
    </row>
    <row r="2712" spans="1:10" x14ac:dyDescent="0.25">
      <c r="A2712" s="1" t="str">
        <f ca="1">IFERROR(__xludf.DUMMYFUNCTION("""COMPUTED_VALUE"""),"Ságvári DSE")</f>
        <v>Ságvári DSE</v>
      </c>
      <c r="B2712" s="1" t="str">
        <f ca="1">IFERROR(__xludf.DUMMYFUNCTION("""COMPUTED_VALUE"""),"Kucsora Anna")</f>
        <v>Kucsora Anna</v>
      </c>
      <c r="C2712" s="1"/>
      <c r="D2712" s="1" t="str">
        <f ca="1">IFERROR(__xludf.DUMMYFUNCTION("""COMPUTED_VALUE"""),"Nő")</f>
        <v>Nő</v>
      </c>
      <c r="E2712" s="1"/>
      <c r="F2712" s="1">
        <f ca="1">IFERROR(__xludf.DUMMYFUNCTION("""COMPUTED_VALUE"""),2004)</f>
        <v>2004</v>
      </c>
      <c r="G2712" s="1">
        <f ca="1">IFERROR(__xludf.DUMMYFUNCTION("""COMPUTED_VALUE"""),2606)</f>
        <v>2606</v>
      </c>
      <c r="H2712" s="1" t="str">
        <f ca="1">IFERROR(__xludf.DUMMYFUNCTION("""COMPUTED_VALUE"""),"MTLSZ002606A14")</f>
        <v>MTLSZ002606A14</v>
      </c>
      <c r="I2712" s="2">
        <f ca="1">IFERROR(__xludf.DUMMYFUNCTION("""COMPUTED_VALUE"""),41894)</f>
        <v>41894</v>
      </c>
      <c r="J2712" s="2">
        <f ca="1">IFERROR(__xludf.DUMMYFUNCTION("""COMPUTED_VALUE"""),42258)</f>
        <v>42258</v>
      </c>
    </row>
    <row r="2713" spans="1:10" x14ac:dyDescent="0.25">
      <c r="A2713" s="1" t="str">
        <f ca="1">IFERROR(__xludf.DUMMYFUNCTION("""COMPUTED_VALUE"""),"Ságvári DSE")</f>
        <v>Ságvári DSE</v>
      </c>
      <c r="B2713" s="1" t="str">
        <f ca="1">IFERROR(__xludf.DUMMYFUNCTION("""COMPUTED_VALUE"""),"Pintér Dorottya")</f>
        <v>Pintér Dorottya</v>
      </c>
      <c r="C2713" s="1"/>
      <c r="D2713" s="1" t="str">
        <f ca="1">IFERROR(__xludf.DUMMYFUNCTION("""COMPUTED_VALUE"""),"Nő")</f>
        <v>Nő</v>
      </c>
      <c r="E2713" s="1"/>
      <c r="F2713" s="1">
        <f ca="1">IFERROR(__xludf.DUMMYFUNCTION("""COMPUTED_VALUE"""),2000)</f>
        <v>2000</v>
      </c>
      <c r="G2713" s="1">
        <f ca="1">IFERROR(__xludf.DUMMYFUNCTION("""COMPUTED_VALUE"""),2605)</f>
        <v>2605</v>
      </c>
      <c r="H2713" s="1" t="str">
        <f ca="1">IFERROR(__xludf.DUMMYFUNCTION("""COMPUTED_VALUE"""),"MTLSZ002605A14")</f>
        <v>MTLSZ002605A14</v>
      </c>
      <c r="I2713" s="2">
        <f ca="1">IFERROR(__xludf.DUMMYFUNCTION("""COMPUTED_VALUE"""),41894)</f>
        <v>41894</v>
      </c>
      <c r="J2713" s="2">
        <f ca="1">IFERROR(__xludf.DUMMYFUNCTION("""COMPUTED_VALUE"""),42258)</f>
        <v>42258</v>
      </c>
    </row>
    <row r="2714" spans="1:10" x14ac:dyDescent="0.25">
      <c r="A2714" s="1" t="str">
        <f ca="1">IFERROR(__xludf.DUMMYFUNCTION("""COMPUTED_VALUE"""),"Multi Alarm SE")</f>
        <v>Multi Alarm SE</v>
      </c>
      <c r="B2714" s="1" t="str">
        <f ca="1">IFERROR(__xludf.DUMMYFUNCTION("""COMPUTED_VALUE"""),"Bereczkei Csanád")</f>
        <v>Bereczkei Csanád</v>
      </c>
      <c r="C2714" s="1"/>
      <c r="D2714" s="1" t="str">
        <f ca="1">IFERROR(__xludf.DUMMYFUNCTION("""COMPUTED_VALUE"""),"Férfi")</f>
        <v>Férfi</v>
      </c>
      <c r="E2714" s="1"/>
      <c r="F2714" s="1">
        <f ca="1">IFERROR(__xludf.DUMMYFUNCTION("""COMPUTED_VALUE"""),2001)</f>
        <v>2001</v>
      </c>
      <c r="G2714" s="1">
        <f ca="1">IFERROR(__xludf.DUMMYFUNCTION("""COMPUTED_VALUE"""),2388)</f>
        <v>2388</v>
      </c>
      <c r="H2714" s="1" t="str">
        <f ca="1">IFERROR(__xludf.DUMMYFUNCTION("""COMPUTED_VALUE"""),"MTLSZ002388A14")</f>
        <v>MTLSZ002388A14</v>
      </c>
      <c r="I2714" s="2">
        <f ca="1">IFERROR(__xludf.DUMMYFUNCTION("""COMPUTED_VALUE"""),41893)</f>
        <v>41893</v>
      </c>
      <c r="J2714" s="2">
        <f ca="1">IFERROR(__xludf.DUMMYFUNCTION("""COMPUTED_VALUE"""),42257)</f>
        <v>42257</v>
      </c>
    </row>
    <row r="2715" spans="1:10" x14ac:dyDescent="0.25">
      <c r="A2715" s="1" t="str">
        <f ca="1">IFERROR(__xludf.DUMMYFUNCTION("""COMPUTED_VALUE"""),"FBSE")</f>
        <v>FBSE</v>
      </c>
      <c r="B2715" s="1" t="str">
        <f ca="1">IFERROR(__xludf.DUMMYFUNCTION("""COMPUTED_VALUE"""),"Hircze Levente")</f>
        <v>Hircze Levente</v>
      </c>
      <c r="C2715" s="1"/>
      <c r="D2715" s="1" t="str">
        <f ca="1">IFERROR(__xludf.DUMMYFUNCTION("""COMPUTED_VALUE"""),"Férfi")</f>
        <v>Férfi</v>
      </c>
      <c r="E2715" s="1"/>
      <c r="F2715" s="1">
        <f ca="1">IFERROR(__xludf.DUMMYFUNCTION("""COMPUTED_VALUE"""),1997)</f>
        <v>1997</v>
      </c>
      <c r="G2715" s="1">
        <f ca="1">IFERROR(__xludf.DUMMYFUNCTION("""COMPUTED_VALUE"""),1989)</f>
        <v>1989</v>
      </c>
      <c r="H2715" s="1" t="str">
        <f ca="1">IFERROR(__xludf.DUMMYFUNCTION("""COMPUTED_VALUE"""),"MTLSZ001989A14")</f>
        <v>MTLSZ001989A14</v>
      </c>
      <c r="I2715" s="2">
        <f ca="1">IFERROR(__xludf.DUMMYFUNCTION("""COMPUTED_VALUE"""),41886)</f>
        <v>41886</v>
      </c>
      <c r="J2715" s="2">
        <f ca="1">IFERROR(__xludf.DUMMYFUNCTION("""COMPUTED_VALUE"""),42250)</f>
        <v>42250</v>
      </c>
    </row>
    <row r="2716" spans="1:10" x14ac:dyDescent="0.25">
      <c r="A2716" s="1" t="str">
        <f ca="1">IFERROR(__xludf.DUMMYFUNCTION("""COMPUTED_VALUE"""),"HZSE")</f>
        <v>HZSE</v>
      </c>
      <c r="B2716" s="1" t="str">
        <f ca="1">IFERROR(__xludf.DUMMYFUNCTION("""COMPUTED_VALUE"""),"Molnár Patrick")</f>
        <v>Molnár Patrick</v>
      </c>
      <c r="C2716" s="1"/>
      <c r="D2716" s="1" t="str">
        <f ca="1">IFERROR(__xludf.DUMMYFUNCTION("""COMPUTED_VALUE"""),"Férfi")</f>
        <v>Férfi</v>
      </c>
      <c r="E2716" s="1"/>
      <c r="F2716" s="1">
        <f ca="1">IFERROR(__xludf.DUMMYFUNCTION("""COMPUTED_VALUE"""),1988)</f>
        <v>1988</v>
      </c>
      <c r="G2716" s="1">
        <f ca="1">IFERROR(__xludf.DUMMYFUNCTION("""COMPUTED_VALUE"""),2600)</f>
        <v>2600</v>
      </c>
      <c r="H2716" s="1" t="str">
        <f ca="1">IFERROR(__xludf.DUMMYFUNCTION("""COMPUTED_VALUE"""),"MTLSZ002600A14")</f>
        <v>MTLSZ002600A14</v>
      </c>
      <c r="I2716" s="2">
        <f ca="1">IFERROR(__xludf.DUMMYFUNCTION("""COMPUTED_VALUE"""),41886)</f>
        <v>41886</v>
      </c>
      <c r="J2716" s="2">
        <f ca="1">IFERROR(__xludf.DUMMYFUNCTION("""COMPUTED_VALUE"""),42250)</f>
        <v>42250</v>
      </c>
    </row>
    <row r="2717" spans="1:10" x14ac:dyDescent="0.25">
      <c r="A2717" s="1" t="str">
        <f ca="1">IFERROR(__xludf.DUMMYFUNCTION("""COMPUTED_VALUE"""),"OSC")</f>
        <v>OSC</v>
      </c>
      <c r="B2717" s="1" t="str">
        <f ca="1">IFERROR(__xludf.DUMMYFUNCTION("""COMPUTED_VALUE"""),"Székely Tamás Barnabás")</f>
        <v>Székely Tamás Barnabás</v>
      </c>
      <c r="C2717" s="1"/>
      <c r="D2717" s="1" t="str">
        <f ca="1">IFERROR(__xludf.DUMMYFUNCTION("""COMPUTED_VALUE"""),"Férfi")</f>
        <v>Férfi</v>
      </c>
      <c r="E2717" s="1"/>
      <c r="F2717" s="1">
        <f ca="1">IFERROR(__xludf.DUMMYFUNCTION("""COMPUTED_VALUE"""),2001)</f>
        <v>2001</v>
      </c>
      <c r="G2717" s="1">
        <f ca="1">IFERROR(__xludf.DUMMYFUNCTION("""COMPUTED_VALUE"""),2488)</f>
        <v>2488</v>
      </c>
      <c r="H2717" s="1" t="str">
        <f ca="1">IFERROR(__xludf.DUMMYFUNCTION("""COMPUTED_VALUE"""),"MTLSZ002488A14")</f>
        <v>MTLSZ002488A14</v>
      </c>
      <c r="I2717" s="2">
        <f ca="1">IFERROR(__xludf.DUMMYFUNCTION("""COMPUTED_VALUE"""),41886)</f>
        <v>41886</v>
      </c>
      <c r="J2717" s="2">
        <f ca="1">IFERROR(__xludf.DUMMYFUNCTION("""COMPUTED_VALUE"""),42250)</f>
        <v>42250</v>
      </c>
    </row>
    <row r="2718" spans="1:10" x14ac:dyDescent="0.25">
      <c r="A2718" s="1" t="str">
        <f ca="1">IFERROR(__xludf.DUMMYFUNCTION("""COMPUTED_VALUE"""),"DSC-SI")</f>
        <v>DSC-SI</v>
      </c>
      <c r="B2718" s="1" t="str">
        <f ca="1">IFERROR(__xludf.DUMMYFUNCTION("""COMPUTED_VALUE"""),"Bagdi Géza")</f>
        <v>Bagdi Géza</v>
      </c>
      <c r="C2718" s="1"/>
      <c r="D2718" s="1" t="str">
        <f ca="1">IFERROR(__xludf.DUMMYFUNCTION("""COMPUTED_VALUE"""),"Férfi")</f>
        <v>Férfi</v>
      </c>
      <c r="E2718" s="1"/>
      <c r="F2718" s="1">
        <f ca="1">IFERROR(__xludf.DUMMYFUNCTION("""COMPUTED_VALUE"""),2000)</f>
        <v>2000</v>
      </c>
      <c r="G2718" s="1">
        <f ca="1">IFERROR(__xludf.DUMMYFUNCTION("""COMPUTED_VALUE"""),2357)</f>
        <v>2357</v>
      </c>
      <c r="H2718" s="1" t="str">
        <f ca="1">IFERROR(__xludf.DUMMYFUNCTION("""COMPUTED_VALUE"""),"MTLSZ002357A14")</f>
        <v>MTLSZ002357A14</v>
      </c>
      <c r="I2718" s="2">
        <f ca="1">IFERROR(__xludf.DUMMYFUNCTION("""COMPUTED_VALUE"""),41885)</f>
        <v>41885</v>
      </c>
      <c r="J2718" s="2">
        <f ca="1">IFERROR(__xludf.DUMMYFUNCTION("""COMPUTED_VALUE"""),42249)</f>
        <v>42249</v>
      </c>
    </row>
    <row r="2719" spans="1:10" x14ac:dyDescent="0.25">
      <c r="A2719" s="1" t="str">
        <f ca="1">IFERROR(__xludf.DUMMYFUNCTION("""COMPUTED_VALUE"""),"DSC-SI")</f>
        <v>DSC-SI</v>
      </c>
      <c r="B2719" s="1" t="str">
        <f ca="1">IFERROR(__xludf.DUMMYFUNCTION("""COMPUTED_VALUE"""),"Berkes Dániel")</f>
        <v>Berkes Dániel</v>
      </c>
      <c r="C2719" s="1"/>
      <c r="D2719" s="1" t="str">
        <f ca="1">IFERROR(__xludf.DUMMYFUNCTION("""COMPUTED_VALUE"""),"Férfi")</f>
        <v>Férfi</v>
      </c>
      <c r="E2719" s="1"/>
      <c r="F2719" s="1">
        <f ca="1">IFERROR(__xludf.DUMMYFUNCTION("""COMPUTED_VALUE"""),1990)</f>
        <v>1990</v>
      </c>
      <c r="G2719" s="1">
        <f ca="1">IFERROR(__xludf.DUMMYFUNCTION("""COMPUTED_VALUE"""),79)</f>
        <v>79</v>
      </c>
      <c r="H2719" s="1" t="str">
        <f ca="1">IFERROR(__xludf.DUMMYFUNCTION("""COMPUTED_VALUE"""),"MTLSZ000079A14")</f>
        <v>MTLSZ000079A14</v>
      </c>
      <c r="I2719" s="2">
        <f ca="1">IFERROR(__xludf.DUMMYFUNCTION("""COMPUTED_VALUE"""),41885)</f>
        <v>41885</v>
      </c>
      <c r="J2719" s="2">
        <f ca="1">IFERROR(__xludf.DUMMYFUNCTION("""COMPUTED_VALUE"""),42249)</f>
        <v>42249</v>
      </c>
    </row>
    <row r="2720" spans="1:10" x14ac:dyDescent="0.25">
      <c r="A2720" s="1" t="str">
        <f ca="1">IFERROR(__xludf.DUMMYFUNCTION("""COMPUTED_VALUE"""),"DSC-SI")</f>
        <v>DSC-SI</v>
      </c>
      <c r="B2720" s="1" t="str">
        <f ca="1">IFERROR(__xludf.DUMMYFUNCTION("""COMPUTED_VALUE"""),"Kenyeres Péter")</f>
        <v>Kenyeres Péter</v>
      </c>
      <c r="C2720" s="1"/>
      <c r="D2720" s="1" t="str">
        <f ca="1">IFERROR(__xludf.DUMMYFUNCTION("""COMPUTED_VALUE"""),"Férfi")</f>
        <v>Férfi</v>
      </c>
      <c r="E2720" s="1"/>
      <c r="F2720" s="1">
        <f ca="1">IFERROR(__xludf.DUMMYFUNCTION("""COMPUTED_VALUE"""),2001)</f>
        <v>2001</v>
      </c>
      <c r="G2720" s="1">
        <f ca="1">IFERROR(__xludf.DUMMYFUNCTION("""COMPUTED_VALUE"""),2490)</f>
        <v>2490</v>
      </c>
      <c r="H2720" s="1" t="str">
        <f ca="1">IFERROR(__xludf.DUMMYFUNCTION("""COMPUTED_VALUE"""),"MTLSZ002490A14")</f>
        <v>MTLSZ002490A14</v>
      </c>
      <c r="I2720" s="2">
        <f ca="1">IFERROR(__xludf.DUMMYFUNCTION("""COMPUTED_VALUE"""),41885)</f>
        <v>41885</v>
      </c>
      <c r="J2720" s="2">
        <f ca="1">IFERROR(__xludf.DUMMYFUNCTION("""COMPUTED_VALUE"""),42249)</f>
        <v>42249</v>
      </c>
    </row>
    <row r="2721" spans="1:10" x14ac:dyDescent="0.25">
      <c r="A2721" s="1" t="str">
        <f ca="1">IFERROR(__xludf.DUMMYFUNCTION("""COMPUTED_VALUE"""),"DSC-SI")</f>
        <v>DSC-SI</v>
      </c>
      <c r="B2721" s="1" t="str">
        <f ca="1">IFERROR(__xludf.DUMMYFUNCTION("""COMPUTED_VALUE"""),"Kozák Rudolf")</f>
        <v>Kozák Rudolf</v>
      </c>
      <c r="C2721" s="1"/>
      <c r="D2721" s="1" t="str">
        <f ca="1">IFERROR(__xludf.DUMMYFUNCTION("""COMPUTED_VALUE"""),"Férfi")</f>
        <v>Férfi</v>
      </c>
      <c r="E2721" s="1"/>
      <c r="F2721" s="1">
        <f ca="1">IFERROR(__xludf.DUMMYFUNCTION("""COMPUTED_VALUE"""),2000)</f>
        <v>2000</v>
      </c>
      <c r="G2721" s="1">
        <f ca="1">IFERROR(__xludf.DUMMYFUNCTION("""COMPUTED_VALUE"""),2454)</f>
        <v>2454</v>
      </c>
      <c r="H2721" s="1" t="str">
        <f ca="1">IFERROR(__xludf.DUMMYFUNCTION("""COMPUTED_VALUE"""),"MTLSZ002454A14")</f>
        <v>MTLSZ002454A14</v>
      </c>
      <c r="I2721" s="2">
        <f ca="1">IFERROR(__xludf.DUMMYFUNCTION("""COMPUTED_VALUE"""),41885)</f>
        <v>41885</v>
      </c>
      <c r="J2721" s="2">
        <f ca="1">IFERROR(__xludf.DUMMYFUNCTION("""COMPUTED_VALUE"""),42249)</f>
        <v>42249</v>
      </c>
    </row>
    <row r="2722" spans="1:10" x14ac:dyDescent="0.25">
      <c r="A2722" s="1" t="str">
        <f ca="1">IFERROR(__xludf.DUMMYFUNCTION("""COMPUTED_VALUE"""),"DSC-SI")</f>
        <v>DSC-SI</v>
      </c>
      <c r="B2722" s="1" t="str">
        <f ca="1">IFERROR(__xludf.DUMMYFUNCTION("""COMPUTED_VALUE"""),"Lőrinczi Balázs")</f>
        <v>Lőrinczi Balázs</v>
      </c>
      <c r="C2722" s="1"/>
      <c r="D2722" s="1" t="str">
        <f ca="1">IFERROR(__xludf.DUMMYFUNCTION("""COMPUTED_VALUE"""),"Férfi")</f>
        <v>Férfi</v>
      </c>
      <c r="E2722" s="1"/>
      <c r="F2722" s="1">
        <f ca="1">IFERROR(__xludf.DUMMYFUNCTION("""COMPUTED_VALUE"""),2001)</f>
        <v>2001</v>
      </c>
      <c r="G2722" s="1">
        <f ca="1">IFERROR(__xludf.DUMMYFUNCTION("""COMPUTED_VALUE"""),2359)</f>
        <v>2359</v>
      </c>
      <c r="H2722" s="1" t="str">
        <f ca="1">IFERROR(__xludf.DUMMYFUNCTION("""COMPUTED_VALUE"""),"MTLSZ002359A14")</f>
        <v>MTLSZ002359A14</v>
      </c>
      <c r="I2722" s="2">
        <f ca="1">IFERROR(__xludf.DUMMYFUNCTION("""COMPUTED_VALUE"""),41885)</f>
        <v>41885</v>
      </c>
      <c r="J2722" s="2">
        <f ca="1">IFERROR(__xludf.DUMMYFUNCTION("""COMPUTED_VALUE"""),42249)</f>
        <v>42249</v>
      </c>
    </row>
    <row r="2723" spans="1:10" x14ac:dyDescent="0.25">
      <c r="A2723" s="1" t="str">
        <f ca="1">IFERROR(__xludf.DUMMYFUNCTION("""COMPUTED_VALUE"""),"DSC-SI")</f>
        <v>DSC-SI</v>
      </c>
      <c r="B2723" s="1" t="str">
        <f ca="1">IFERROR(__xludf.DUMMYFUNCTION("""COMPUTED_VALUE"""),"Szolanics Andrea")</f>
        <v>Szolanics Andrea</v>
      </c>
      <c r="C2723" s="1"/>
      <c r="D2723" s="1" t="str">
        <f ca="1">IFERROR(__xludf.DUMMYFUNCTION("""COMPUTED_VALUE"""),"Nő")</f>
        <v>Nő</v>
      </c>
      <c r="E2723" s="1"/>
      <c r="F2723" s="1">
        <f ca="1">IFERROR(__xludf.DUMMYFUNCTION("""COMPUTED_VALUE"""),1999)</f>
        <v>1999</v>
      </c>
      <c r="G2723" s="1">
        <f ca="1">IFERROR(__xludf.DUMMYFUNCTION("""COMPUTED_VALUE"""),2362)</f>
        <v>2362</v>
      </c>
      <c r="H2723" s="1" t="str">
        <f ca="1">IFERROR(__xludf.DUMMYFUNCTION("""COMPUTED_VALUE"""),"MTLSZ002362A14")</f>
        <v>MTLSZ002362A14</v>
      </c>
      <c r="I2723" s="2">
        <f ca="1">IFERROR(__xludf.DUMMYFUNCTION("""COMPUTED_VALUE"""),41885)</f>
        <v>41885</v>
      </c>
      <c r="J2723" s="2">
        <f ca="1">IFERROR(__xludf.DUMMYFUNCTION("""COMPUTED_VALUE"""),42249)</f>
        <v>42249</v>
      </c>
    </row>
    <row r="2724" spans="1:10" x14ac:dyDescent="0.25">
      <c r="A2724" s="1" t="str">
        <f ca="1">IFERROR(__xludf.DUMMYFUNCTION("""COMPUTED_VALUE"""),"DSC-SI")</f>
        <v>DSC-SI</v>
      </c>
      <c r="B2724" s="1" t="str">
        <f ca="1">IFERROR(__xludf.DUMMYFUNCTION("""COMPUTED_VALUE"""),"Ványi Gabriella")</f>
        <v>Ványi Gabriella</v>
      </c>
      <c r="C2724" s="1"/>
      <c r="D2724" s="1" t="str">
        <f ca="1">IFERROR(__xludf.DUMMYFUNCTION("""COMPUTED_VALUE"""),"Nő")</f>
        <v>Nő</v>
      </c>
      <c r="E2724" s="1"/>
      <c r="F2724" s="1">
        <f ca="1">IFERROR(__xludf.DUMMYFUNCTION("""COMPUTED_VALUE"""),2001)</f>
        <v>2001</v>
      </c>
      <c r="G2724" s="1">
        <f ca="1">IFERROR(__xludf.DUMMYFUNCTION("""COMPUTED_VALUE"""),2352)</f>
        <v>2352</v>
      </c>
      <c r="H2724" s="1" t="str">
        <f ca="1">IFERROR(__xludf.DUMMYFUNCTION("""COMPUTED_VALUE"""),"MTLSZ002352A14")</f>
        <v>MTLSZ002352A14</v>
      </c>
      <c r="I2724" s="2">
        <f ca="1">IFERROR(__xludf.DUMMYFUNCTION("""COMPUTED_VALUE"""),41885)</f>
        <v>41885</v>
      </c>
      <c r="J2724" s="2">
        <f ca="1">IFERROR(__xludf.DUMMYFUNCTION("""COMPUTED_VALUE"""),42249)</f>
        <v>42249</v>
      </c>
    </row>
    <row r="2725" spans="1:10" x14ac:dyDescent="0.25">
      <c r="A2725" s="1" t="str">
        <f ca="1">IFERROR(__xludf.DUMMYFUNCTION("""COMPUTED_VALUE"""),"Multi Alarm SE")</f>
        <v>Multi Alarm SE</v>
      </c>
      <c r="B2725" s="1" t="str">
        <f ca="1">IFERROR(__xludf.DUMMYFUNCTION("""COMPUTED_VALUE"""),"Bogdán Nikolett")</f>
        <v>Bogdán Nikolett</v>
      </c>
      <c r="C2725" s="1"/>
      <c r="D2725" s="1" t="str">
        <f ca="1">IFERROR(__xludf.DUMMYFUNCTION("""COMPUTED_VALUE"""),"Nő")</f>
        <v>Nő</v>
      </c>
      <c r="E2725" s="1"/>
      <c r="F2725" s="1">
        <f ca="1">IFERROR(__xludf.DUMMYFUNCTION("""COMPUTED_VALUE"""),1992)</f>
        <v>1992</v>
      </c>
      <c r="G2725" s="1">
        <f ca="1">IFERROR(__xludf.DUMMYFUNCTION("""COMPUTED_VALUE"""),94)</f>
        <v>94</v>
      </c>
      <c r="H2725" s="1" t="str">
        <f ca="1">IFERROR(__xludf.DUMMYFUNCTION("""COMPUTED_VALUE"""),"MTLSZ000094A14")</f>
        <v>MTLSZ000094A14</v>
      </c>
      <c r="I2725" s="2">
        <f ca="1">IFERROR(__xludf.DUMMYFUNCTION("""COMPUTED_VALUE"""),41880)</f>
        <v>41880</v>
      </c>
      <c r="J2725" s="2">
        <f ca="1">IFERROR(__xludf.DUMMYFUNCTION("""COMPUTED_VALUE"""),42244)</f>
        <v>42244</v>
      </c>
    </row>
    <row r="2726" spans="1:10" x14ac:dyDescent="0.25">
      <c r="A2726" s="1" t="str">
        <f ca="1">IFERROR(__xludf.DUMMYFUNCTION("""COMPUTED_VALUE"""),"Győri TSE")</f>
        <v>Győri TSE</v>
      </c>
      <c r="B2726" s="1" t="str">
        <f ca="1">IFERROR(__xludf.DUMMYFUNCTION("""COMPUTED_VALUE"""),"Zámodics Milán")</f>
        <v>Zámodics Milán</v>
      </c>
      <c r="C2726" s="1"/>
      <c r="D2726" s="1" t="str">
        <f ca="1">IFERROR(__xludf.DUMMYFUNCTION("""COMPUTED_VALUE"""),"Férfi")</f>
        <v>Férfi</v>
      </c>
      <c r="E2726" s="1"/>
      <c r="F2726" s="1">
        <f ca="1">IFERROR(__xludf.DUMMYFUNCTION("""COMPUTED_VALUE"""),1997)</f>
        <v>1997</v>
      </c>
      <c r="G2726" s="1">
        <f ca="1">IFERROR(__xludf.DUMMYFUNCTION("""COMPUTED_VALUE"""),2599)</f>
        <v>2599</v>
      </c>
      <c r="H2726" s="1" t="str">
        <f ca="1">IFERROR(__xludf.DUMMYFUNCTION("""COMPUTED_VALUE"""),"MTLSZ002599A14")</f>
        <v>MTLSZ002599A14</v>
      </c>
      <c r="I2726" s="2">
        <f ca="1">IFERROR(__xludf.DUMMYFUNCTION("""COMPUTED_VALUE"""),41808)</f>
        <v>41808</v>
      </c>
      <c r="J2726" s="2">
        <f ca="1">IFERROR(__xludf.DUMMYFUNCTION("""COMPUTED_VALUE"""),42172)</f>
        <v>42172</v>
      </c>
    </row>
    <row r="2727" spans="1:10" x14ac:dyDescent="0.25">
      <c r="A2727" s="1" t="str">
        <f ca="1">IFERROR(__xludf.DUMMYFUNCTION("""COMPUTED_VALUE"""),"Érdi VSE")</f>
        <v>Érdi VSE</v>
      </c>
      <c r="B2727" s="1" t="str">
        <f ca="1">IFERROR(__xludf.DUMMYFUNCTION("""COMPUTED_VALUE"""),"Pothorszky Márk")</f>
        <v>Pothorszky Márk</v>
      </c>
      <c r="C2727" s="1"/>
      <c r="D2727" s="1" t="str">
        <f ca="1">IFERROR(__xludf.DUMMYFUNCTION("""COMPUTED_VALUE"""),"Férfi")</f>
        <v>Férfi</v>
      </c>
      <c r="E2727" s="1"/>
      <c r="F2727" s="1">
        <f ca="1">IFERROR(__xludf.DUMMYFUNCTION("""COMPUTED_VALUE"""),1999)</f>
        <v>1999</v>
      </c>
      <c r="G2727" s="1">
        <f ca="1">IFERROR(__xludf.DUMMYFUNCTION("""COMPUTED_VALUE"""),2296)</f>
        <v>2296</v>
      </c>
      <c r="H2727" s="1" t="str">
        <f ca="1">IFERROR(__xludf.DUMMYFUNCTION("""COMPUTED_VALUE"""),"MTLSZ002296A14")</f>
        <v>MTLSZ002296A14</v>
      </c>
      <c r="I2727" s="2">
        <f ca="1">IFERROR(__xludf.DUMMYFUNCTION("""COMPUTED_VALUE"""),41752)</f>
        <v>41752</v>
      </c>
      <c r="J2727" s="2">
        <f ca="1">IFERROR(__xludf.DUMMYFUNCTION("""COMPUTED_VALUE"""),42116)</f>
        <v>42116</v>
      </c>
    </row>
    <row r="2728" spans="1:10" x14ac:dyDescent="0.25">
      <c r="A2728" s="1" t="str">
        <f ca="1">IFERROR(__xludf.DUMMYFUNCTION("""COMPUTED_VALUE"""),"Reac SE")</f>
        <v>Reac SE</v>
      </c>
      <c r="B2728" s="1" t="str">
        <f ca="1">IFERROR(__xludf.DUMMYFUNCTION("""COMPUTED_VALUE"""),"Szabó Benjámin")</f>
        <v>Szabó Benjámin</v>
      </c>
      <c r="C2728" s="1"/>
      <c r="D2728" s="1" t="str">
        <f ca="1">IFERROR(__xludf.DUMMYFUNCTION("""COMPUTED_VALUE"""),"Férfi")</f>
        <v>Férfi</v>
      </c>
      <c r="E2728" s="1"/>
      <c r="F2728" s="1">
        <f ca="1">IFERROR(__xludf.DUMMYFUNCTION("""COMPUTED_VALUE"""),2004)</f>
        <v>2004</v>
      </c>
      <c r="G2728" s="1">
        <f ca="1">IFERROR(__xludf.DUMMYFUNCTION("""COMPUTED_VALUE"""),2507)</f>
        <v>2507</v>
      </c>
      <c r="H2728" s="1" t="str">
        <f ca="1">IFERROR(__xludf.DUMMYFUNCTION("""COMPUTED_VALUE"""),"MTLSZ002507A14")</f>
        <v>MTLSZ002507A14</v>
      </c>
      <c r="I2728" s="2">
        <f ca="1">IFERROR(__xludf.DUMMYFUNCTION("""COMPUTED_VALUE"""),41751)</f>
        <v>41751</v>
      </c>
      <c r="J2728" s="2">
        <f ca="1">IFERROR(__xludf.DUMMYFUNCTION("""COMPUTED_VALUE"""),42115)</f>
        <v>42115</v>
      </c>
    </row>
    <row r="2729" spans="1:10" x14ac:dyDescent="0.25">
      <c r="A2729" s="1" t="str">
        <f ca="1">IFERROR(__xludf.DUMMYFUNCTION("""COMPUTED_VALUE"""),"Klébi DSE")</f>
        <v>Klébi DSE</v>
      </c>
      <c r="B2729" s="1" t="str">
        <f ca="1">IFERROR(__xludf.DUMMYFUNCTION("""COMPUTED_VALUE"""),"Schild Áron Balázs")</f>
        <v>Schild Áron Balázs</v>
      </c>
      <c r="C2729" s="1"/>
      <c r="D2729" s="1" t="str">
        <f ca="1">IFERROR(__xludf.DUMMYFUNCTION("""COMPUTED_VALUE"""),"Férfi")</f>
        <v>Férfi</v>
      </c>
      <c r="E2729" s="1"/>
      <c r="F2729" s="1">
        <f ca="1">IFERROR(__xludf.DUMMYFUNCTION("""COMPUTED_VALUE"""),1997)</f>
        <v>1997</v>
      </c>
      <c r="G2729" s="1">
        <f ca="1">IFERROR(__xludf.DUMMYFUNCTION("""COMPUTED_VALUE"""),1918)</f>
        <v>1918</v>
      </c>
      <c r="H2729" s="1" t="str">
        <f ca="1">IFERROR(__xludf.DUMMYFUNCTION("""COMPUTED_VALUE"""),"MTLSZ001918A14")</f>
        <v>MTLSZ001918A14</v>
      </c>
      <c r="I2729" s="2">
        <f ca="1">IFERROR(__xludf.DUMMYFUNCTION("""COMPUTED_VALUE"""),41738)</f>
        <v>41738</v>
      </c>
      <c r="J2729" s="2">
        <f ca="1">IFERROR(__xludf.DUMMYFUNCTION("""COMPUTED_VALUE"""),42102)</f>
        <v>42102</v>
      </c>
    </row>
    <row r="2730" spans="1:10" x14ac:dyDescent="0.25">
      <c r="A2730" s="1" t="str">
        <f ca="1">IFERROR(__xludf.DUMMYFUNCTION("""COMPUTED_VALUE"""),"Vízművek SK")</f>
        <v>Vízművek SK</v>
      </c>
      <c r="B2730" s="1" t="str">
        <f ca="1">IFERROR(__xludf.DUMMYFUNCTION("""COMPUTED_VALUE"""),"Konczér Zita")</f>
        <v>Konczér Zita</v>
      </c>
      <c r="C2730" s="1"/>
      <c r="D2730" s="1" t="str">
        <f ca="1">IFERROR(__xludf.DUMMYFUNCTION("""COMPUTED_VALUE"""),"Nő")</f>
        <v>Nő</v>
      </c>
      <c r="E2730" s="1"/>
      <c r="F2730" s="1">
        <f ca="1">IFERROR(__xludf.DUMMYFUNCTION("""COMPUTED_VALUE"""),1998)</f>
        <v>1998</v>
      </c>
      <c r="G2730" s="1">
        <f ca="1">IFERROR(__xludf.DUMMYFUNCTION("""COMPUTED_VALUE"""),2132)</f>
        <v>2132</v>
      </c>
      <c r="H2730" s="1" t="str">
        <f ca="1">IFERROR(__xludf.DUMMYFUNCTION("""COMPUTED_VALUE"""),"MTLSZ002132A14")</f>
        <v>MTLSZ002132A14</v>
      </c>
      <c r="I2730" s="2">
        <f ca="1">IFERROR(__xludf.DUMMYFUNCTION("""COMPUTED_VALUE"""),41737)</f>
        <v>41737</v>
      </c>
      <c r="J2730" s="2">
        <f ca="1">IFERROR(__xludf.DUMMYFUNCTION("""COMPUTED_VALUE"""),42101)</f>
        <v>42101</v>
      </c>
    </row>
    <row r="2731" spans="1:10" x14ac:dyDescent="0.25">
      <c r="A2731" s="1" t="str">
        <f ca="1">IFERROR(__xludf.DUMMYFUNCTION("""COMPUTED_VALUE"""),"DSC-SI")</f>
        <v>DSC-SI</v>
      </c>
      <c r="B2731" s="1" t="str">
        <f ca="1">IFERROR(__xludf.DUMMYFUNCTION("""COMPUTED_VALUE"""),"Plébán Panna")</f>
        <v>Plébán Panna</v>
      </c>
      <c r="C2731" s="1"/>
      <c r="D2731" s="1" t="str">
        <f ca="1">IFERROR(__xludf.DUMMYFUNCTION("""COMPUTED_VALUE"""),"Nő")</f>
        <v>Nő</v>
      </c>
      <c r="E2731" s="1"/>
      <c r="F2731" s="1">
        <f ca="1">IFERROR(__xludf.DUMMYFUNCTION("""COMPUTED_VALUE"""),2000)</f>
        <v>2000</v>
      </c>
      <c r="G2731" s="1">
        <f ca="1">IFERROR(__xludf.DUMMYFUNCTION("""COMPUTED_VALUE"""),2587)</f>
        <v>2587</v>
      </c>
      <c r="H2731" s="1" t="str">
        <f ca="1">IFERROR(__xludf.DUMMYFUNCTION("""COMPUTED_VALUE"""),"MTLSZ002587A14")</f>
        <v>MTLSZ002587A14</v>
      </c>
      <c r="I2731" s="2">
        <f ca="1">IFERROR(__xludf.DUMMYFUNCTION("""COMPUTED_VALUE"""),41723)</f>
        <v>41723</v>
      </c>
      <c r="J2731" s="2">
        <f ca="1">IFERROR(__xludf.DUMMYFUNCTION("""COMPUTED_VALUE"""),42087)</f>
        <v>42087</v>
      </c>
    </row>
    <row r="2732" spans="1:10" x14ac:dyDescent="0.25">
      <c r="A2732" s="1" t="str">
        <f ca="1">IFERROR(__xludf.DUMMYFUNCTION("""COMPUTED_VALUE"""),"Klébi DSE")</f>
        <v>Klébi DSE</v>
      </c>
      <c r="B2732" s="1" t="str">
        <f ca="1">IFERROR(__xludf.DUMMYFUNCTION("""COMPUTED_VALUE"""),"Magony Péter")</f>
        <v>Magony Péter</v>
      </c>
      <c r="C2732" s="1"/>
      <c r="D2732" s="1" t="str">
        <f ca="1">IFERROR(__xludf.DUMMYFUNCTION("""COMPUTED_VALUE"""),"Férfi")</f>
        <v>Férfi</v>
      </c>
      <c r="E2732" s="1"/>
      <c r="F2732" s="1">
        <f ca="1">IFERROR(__xludf.DUMMYFUNCTION("""COMPUTED_VALUE"""),1983)</f>
        <v>1983</v>
      </c>
      <c r="G2732" s="1">
        <f ca="1">IFERROR(__xludf.DUMMYFUNCTION("""COMPUTED_VALUE"""),605)</f>
        <v>605</v>
      </c>
      <c r="H2732" s="1" t="str">
        <f ca="1">IFERROR(__xludf.DUMMYFUNCTION("""COMPUTED_VALUE"""),"MTLSZ000605A14")</f>
        <v>MTLSZ000605A14</v>
      </c>
      <c r="I2732" s="2">
        <f ca="1">IFERROR(__xludf.DUMMYFUNCTION("""COMPUTED_VALUE"""),41717)</f>
        <v>41717</v>
      </c>
      <c r="J2732" s="2">
        <f ca="1">IFERROR(__xludf.DUMMYFUNCTION("""COMPUTED_VALUE"""),42081)</f>
        <v>42081</v>
      </c>
    </row>
    <row r="2733" spans="1:10" x14ac:dyDescent="0.25">
      <c r="A2733" s="1" t="str">
        <f ca="1">IFERROR(__xludf.DUMMYFUNCTION("""COMPUTED_VALUE"""),"Reac SE")</f>
        <v>Reac SE</v>
      </c>
      <c r="B2733" s="1" t="str">
        <f ca="1">IFERROR(__xludf.DUMMYFUNCTION("""COMPUTED_VALUE"""),"Révész Gergely Zoltán")</f>
        <v>Révész Gergely Zoltán</v>
      </c>
      <c r="C2733" s="1"/>
      <c r="D2733" s="1" t="str">
        <f ca="1">IFERROR(__xludf.DUMMYFUNCTION("""COMPUTED_VALUE"""),"Férfi")</f>
        <v>Férfi</v>
      </c>
      <c r="E2733" s="1"/>
      <c r="F2733" s="1">
        <f ca="1">IFERROR(__xludf.DUMMYFUNCTION("""COMPUTED_VALUE"""),1983)</f>
        <v>1983</v>
      </c>
      <c r="G2733" s="1">
        <f ca="1">IFERROR(__xludf.DUMMYFUNCTION("""COMPUTED_VALUE"""),810)</f>
        <v>810</v>
      </c>
      <c r="H2733" s="1" t="str">
        <f ca="1">IFERROR(__xludf.DUMMYFUNCTION("""COMPUTED_VALUE"""),"MTLSZ000810A14")</f>
        <v>MTLSZ000810A14</v>
      </c>
      <c r="I2733" s="2">
        <f ca="1">IFERROR(__xludf.DUMMYFUNCTION("""COMPUTED_VALUE"""),41696)</f>
        <v>41696</v>
      </c>
      <c r="J2733" s="2">
        <f ca="1">IFERROR(__xludf.DUMMYFUNCTION("""COMPUTED_VALUE"""),42060)</f>
        <v>42060</v>
      </c>
    </row>
    <row r="2734" spans="1:10" x14ac:dyDescent="0.25">
      <c r="A2734" s="1" t="str">
        <f ca="1">IFERROR(__xludf.DUMMYFUNCTION("""COMPUTED_VALUE"""),"Tisza TSE")</f>
        <v>Tisza TSE</v>
      </c>
      <c r="B2734" s="1" t="str">
        <f ca="1">IFERROR(__xludf.DUMMYFUNCTION("""COMPUTED_VALUE"""),"Paillas Arnaud")</f>
        <v>Paillas Arnaud</v>
      </c>
      <c r="C2734" s="1"/>
      <c r="D2734" s="1" t="str">
        <f ca="1">IFERROR(__xludf.DUMMYFUNCTION("""COMPUTED_VALUE"""),"Férfi")</f>
        <v>Férfi</v>
      </c>
      <c r="E2734" s="1"/>
      <c r="F2734" s="1">
        <f ca="1">IFERROR(__xludf.DUMMYFUNCTION("""COMPUTED_VALUE"""),1992)</f>
        <v>1992</v>
      </c>
      <c r="G2734" s="1">
        <f ca="1">IFERROR(__xludf.DUMMYFUNCTION("""COMPUTED_VALUE"""),2586)</f>
        <v>2586</v>
      </c>
      <c r="H2734" s="1" t="str">
        <f ca="1">IFERROR(__xludf.DUMMYFUNCTION("""COMPUTED_VALUE"""),"MTLSZ002586A14")</f>
        <v>MTLSZ002586A14</v>
      </c>
      <c r="I2734" s="2">
        <f ca="1">IFERROR(__xludf.DUMMYFUNCTION("""COMPUTED_VALUE"""),41696)</f>
        <v>41696</v>
      </c>
      <c r="J2734" s="2">
        <f ca="1">IFERROR(__xludf.DUMMYFUNCTION("""COMPUTED_VALUE"""),42060)</f>
        <v>42060</v>
      </c>
    </row>
    <row r="2735" spans="1:10" x14ac:dyDescent="0.25">
      <c r="A2735" s="1" t="str">
        <f ca="1">IFERROR(__xludf.DUMMYFUNCTION("""COMPUTED_VALUE"""),"Multi Alarm SE")</f>
        <v>Multi Alarm SE</v>
      </c>
      <c r="B2735" s="1" t="str">
        <f ca="1">IFERROR(__xludf.DUMMYFUNCTION("""COMPUTED_VALUE"""),"Fazekas Botond")</f>
        <v>Fazekas Botond</v>
      </c>
      <c r="C2735" s="1"/>
      <c r="D2735" s="1" t="str">
        <f ca="1">IFERROR(__xludf.DUMMYFUNCTION("""COMPUTED_VALUE"""),"Férfi")</f>
        <v>Férfi</v>
      </c>
      <c r="E2735" s="1"/>
      <c r="F2735" s="1">
        <f ca="1">IFERROR(__xludf.DUMMYFUNCTION("""COMPUTED_VALUE"""),2003)</f>
        <v>2003</v>
      </c>
      <c r="G2735" s="1">
        <f ca="1">IFERROR(__xludf.DUMMYFUNCTION("""COMPUTED_VALUE"""),2585)</f>
        <v>2585</v>
      </c>
      <c r="H2735" s="1" t="str">
        <f ca="1">IFERROR(__xludf.DUMMYFUNCTION("""COMPUTED_VALUE"""),"MTLSZ002585A14")</f>
        <v>MTLSZ002585A14</v>
      </c>
      <c r="I2735" s="2">
        <f ca="1">IFERROR(__xludf.DUMMYFUNCTION("""COMPUTED_VALUE"""),41689)</f>
        <v>41689</v>
      </c>
      <c r="J2735" s="2">
        <f ca="1">IFERROR(__xludf.DUMMYFUNCTION("""COMPUTED_VALUE"""),42053)</f>
        <v>42053</v>
      </c>
    </row>
    <row r="2736" spans="1:10" x14ac:dyDescent="0.25">
      <c r="A2736" s="1" t="str">
        <f ca="1">IFERROR(__xludf.DUMMYFUNCTION("""COMPUTED_VALUE"""),"FBSE")</f>
        <v>FBSE</v>
      </c>
      <c r="B2736" s="1" t="str">
        <f ca="1">IFERROR(__xludf.DUMMYFUNCTION("""COMPUTED_VALUE"""),"Kálmán Péter")</f>
        <v>Kálmán Péter</v>
      </c>
      <c r="C2736" s="1"/>
      <c r="D2736" s="1" t="str">
        <f ca="1">IFERROR(__xludf.DUMMYFUNCTION("""COMPUTED_VALUE"""),"Férfi")</f>
        <v>Férfi</v>
      </c>
      <c r="E2736" s="1"/>
      <c r="F2736" s="1">
        <f ca="1">IFERROR(__xludf.DUMMYFUNCTION("""COMPUTED_VALUE"""),1998)</f>
        <v>1998</v>
      </c>
      <c r="G2736" s="1">
        <f ca="1">IFERROR(__xludf.DUMMYFUNCTION("""COMPUTED_VALUE"""),1862)</f>
        <v>1862</v>
      </c>
      <c r="H2736" s="1" t="str">
        <f ca="1">IFERROR(__xludf.DUMMYFUNCTION("""COMPUTED_VALUE"""),"MTLSZ001862A14")</f>
        <v>MTLSZ001862A14</v>
      </c>
      <c r="I2736" s="2">
        <f ca="1">IFERROR(__xludf.DUMMYFUNCTION("""COMPUTED_VALUE"""),41673)</f>
        <v>41673</v>
      </c>
      <c r="J2736" s="2">
        <f ca="1">IFERROR(__xludf.DUMMYFUNCTION("""COMPUTED_VALUE"""),42037)</f>
        <v>42037</v>
      </c>
    </row>
    <row r="2737" spans="1:10" x14ac:dyDescent="0.25">
      <c r="A2737" s="1" t="str">
        <f ca="1">IFERROR(__xludf.DUMMYFUNCTION("""COMPUTED_VALUE"""),"Érdi VSE")</f>
        <v>Érdi VSE</v>
      </c>
      <c r="B2737" s="1" t="str">
        <f ca="1">IFERROR(__xludf.DUMMYFUNCTION("""COMPUTED_VALUE"""),"Füredi Anita")</f>
        <v>Füredi Anita</v>
      </c>
      <c r="C2737" s="1"/>
      <c r="D2737" s="1" t="str">
        <f ca="1">IFERROR(__xludf.DUMMYFUNCTION("""COMPUTED_VALUE"""),"Nő")</f>
        <v>Nő</v>
      </c>
      <c r="E2737" s="1"/>
      <c r="F2737" s="1">
        <f ca="1">IFERROR(__xludf.DUMMYFUNCTION("""COMPUTED_VALUE"""),2000)</f>
        <v>2000</v>
      </c>
      <c r="G2737" s="1">
        <f ca="1">IFERROR(__xludf.DUMMYFUNCTION("""COMPUTED_VALUE"""),2581)</f>
        <v>2581</v>
      </c>
      <c r="H2737" s="1" t="str">
        <f ca="1">IFERROR(__xludf.DUMMYFUNCTION("""COMPUTED_VALUE"""),"MTLSZ002581A14")</f>
        <v>MTLSZ002581A14</v>
      </c>
      <c r="I2737" s="2">
        <f ca="1">IFERROR(__xludf.DUMMYFUNCTION("""COMPUTED_VALUE"""),41670)</f>
        <v>41670</v>
      </c>
      <c r="J2737" s="2">
        <f ca="1">IFERROR(__xludf.DUMMYFUNCTION("""COMPUTED_VALUE"""),42034)</f>
        <v>42034</v>
      </c>
    </row>
    <row r="2738" spans="1:10" x14ac:dyDescent="0.25">
      <c r="A2738" s="1" t="str">
        <f ca="1">IFERROR(__xludf.DUMMYFUNCTION("""COMPUTED_VALUE"""),"OSC")</f>
        <v>OSC</v>
      </c>
      <c r="B2738" s="1" t="str">
        <f ca="1">IFERROR(__xludf.DUMMYFUNCTION("""COMPUTED_VALUE"""),"Novák Balázs")</f>
        <v>Novák Balázs</v>
      </c>
      <c r="C2738" s="1"/>
      <c r="D2738" s="1" t="str">
        <f ca="1">IFERROR(__xludf.DUMMYFUNCTION("""COMPUTED_VALUE"""),"Férfi")</f>
        <v>Férfi</v>
      </c>
      <c r="E2738" s="1"/>
      <c r="F2738" s="1">
        <f ca="1">IFERROR(__xludf.DUMMYFUNCTION("""COMPUTED_VALUE"""),1998)</f>
        <v>1998</v>
      </c>
      <c r="G2738" s="1">
        <f ca="1">IFERROR(__xludf.DUMMYFUNCTION("""COMPUTED_VALUE"""),2433)</f>
        <v>2433</v>
      </c>
      <c r="H2738" s="1" t="str">
        <f ca="1">IFERROR(__xludf.DUMMYFUNCTION("""COMPUTED_VALUE"""),"MTLSZ002433A14")</f>
        <v>MTLSZ002433A14</v>
      </c>
      <c r="I2738" s="2">
        <f ca="1">IFERROR(__xludf.DUMMYFUNCTION("""COMPUTED_VALUE"""),41669)</f>
        <v>41669</v>
      </c>
      <c r="J2738" s="2">
        <f ca="1">IFERROR(__xludf.DUMMYFUNCTION("""COMPUTED_VALUE"""),42033)</f>
        <v>42033</v>
      </c>
    </row>
    <row r="2739" spans="1:10" x14ac:dyDescent="0.25">
      <c r="A2739" s="1" t="str">
        <f ca="1">IFERROR(__xludf.DUMMYFUNCTION("""COMPUTED_VALUE"""),"Danubius KSE")</f>
        <v>Danubius KSE</v>
      </c>
      <c r="B2739" s="1" t="str">
        <f ca="1">IFERROR(__xludf.DUMMYFUNCTION("""COMPUTED_VALUE"""),"Müller István")</f>
        <v>Müller István</v>
      </c>
      <c r="C2739" s="1"/>
      <c r="D2739" s="1" t="str">
        <f ca="1">IFERROR(__xludf.DUMMYFUNCTION("""COMPUTED_VALUE"""),"Férfi")</f>
        <v>Férfi</v>
      </c>
      <c r="E2739" s="1"/>
      <c r="F2739" s="1">
        <f ca="1">IFERROR(__xludf.DUMMYFUNCTION("""COMPUTED_VALUE"""),1993)</f>
        <v>1993</v>
      </c>
      <c r="G2739" s="1">
        <f ca="1">IFERROR(__xludf.DUMMYFUNCTION("""COMPUTED_VALUE"""),1670)</f>
        <v>1670</v>
      </c>
      <c r="H2739" s="1" t="str">
        <f ca="1">IFERROR(__xludf.DUMMYFUNCTION("""COMPUTED_VALUE"""),"MTLSZ001670A14")</f>
        <v>MTLSZ001670A14</v>
      </c>
      <c r="I2739" s="2">
        <f ca="1">IFERROR(__xludf.DUMMYFUNCTION("""COMPUTED_VALUE"""),41673)</f>
        <v>41673</v>
      </c>
      <c r="J2739" s="2">
        <f ca="1">IFERROR(__xludf.DUMMYFUNCTION("""COMPUTED_VALUE"""),42026)</f>
        <v>42026</v>
      </c>
    </row>
    <row r="2740" spans="1:10" x14ac:dyDescent="0.25">
      <c r="A2740" s="1" t="str">
        <f ca="1">IFERROR(__xludf.DUMMYFUNCTION("""COMPUTED_VALUE"""),"Klébi DSE")</f>
        <v>Klébi DSE</v>
      </c>
      <c r="B2740" s="1" t="str">
        <f ca="1">IFERROR(__xludf.DUMMYFUNCTION("""COMPUTED_VALUE"""),"Molnár Petra")</f>
        <v>Molnár Petra</v>
      </c>
      <c r="C2740" s="1"/>
      <c r="D2740" s="1" t="str">
        <f ca="1">IFERROR(__xludf.DUMMYFUNCTION("""COMPUTED_VALUE"""),"Nő")</f>
        <v>Nő</v>
      </c>
      <c r="E2740" s="1"/>
      <c r="F2740" s="1">
        <f ca="1">IFERROR(__xludf.DUMMYFUNCTION("""COMPUTED_VALUE"""),1996)</f>
        <v>1996</v>
      </c>
      <c r="G2740" s="1">
        <f ca="1">IFERROR(__xludf.DUMMYFUNCTION("""COMPUTED_VALUE"""),1986)</f>
        <v>1986</v>
      </c>
      <c r="H2740" s="1" t="str">
        <f ca="1">IFERROR(__xludf.DUMMYFUNCTION("""COMPUTED_VALUE"""),"MTLSZ001986A14")</f>
        <v>MTLSZ001986A14</v>
      </c>
      <c r="I2740" s="2">
        <f ca="1">IFERROR(__xludf.DUMMYFUNCTION("""COMPUTED_VALUE"""),41673)</f>
        <v>41673</v>
      </c>
      <c r="J2740" s="2">
        <f ca="1">IFERROR(__xludf.DUMMYFUNCTION("""COMPUTED_VALUE"""),42020)</f>
        <v>42020</v>
      </c>
    </row>
    <row r="2741" spans="1:10" x14ac:dyDescent="0.25">
      <c r="A2741" s="1" t="str">
        <f ca="1">IFERROR(__xludf.DUMMYFUNCTION("""COMPUTED_VALUE"""),"Klébi DSE")</f>
        <v>Klébi DSE</v>
      </c>
      <c r="B2741" s="1" t="str">
        <f ca="1">IFERROR(__xludf.DUMMYFUNCTION("""COMPUTED_VALUE"""),"Kronborg Alexander")</f>
        <v>Kronborg Alexander</v>
      </c>
      <c r="C2741" s="1"/>
      <c r="D2741" s="1" t="str">
        <f ca="1">IFERROR(__xludf.DUMMYFUNCTION("""COMPUTED_VALUE"""),"Férfi")</f>
        <v>Férfi</v>
      </c>
      <c r="E2741" s="1"/>
      <c r="F2741" s="1">
        <f ca="1">IFERROR(__xludf.DUMMYFUNCTION("""COMPUTED_VALUE"""),2000)</f>
        <v>2000</v>
      </c>
      <c r="G2741" s="1">
        <f ca="1">IFERROR(__xludf.DUMMYFUNCTION("""COMPUTED_VALUE"""),2576)</f>
        <v>2576</v>
      </c>
      <c r="H2741" s="1" t="str">
        <f ca="1">IFERROR(__xludf.DUMMYFUNCTION("""COMPUTED_VALUE"""),"MTLSZ002576A14")</f>
        <v>MTLSZ002576A14</v>
      </c>
      <c r="I2741" s="2">
        <f ca="1">IFERROR(__xludf.DUMMYFUNCTION("""COMPUTED_VALUE"""),41655)</f>
        <v>41655</v>
      </c>
      <c r="J2741" s="2">
        <f ca="1">IFERROR(__xludf.DUMMYFUNCTION("""COMPUTED_VALUE"""),42019)</f>
        <v>42019</v>
      </c>
    </row>
    <row r="2742" spans="1:10" x14ac:dyDescent="0.25">
      <c r="A2742" s="1" t="str">
        <f ca="1">IFERROR(__xludf.DUMMYFUNCTION("""COMPUTED_VALUE"""),"OSC")</f>
        <v>OSC</v>
      </c>
      <c r="B2742" s="1" t="str">
        <f ca="1">IFERROR(__xludf.DUMMYFUNCTION("""COMPUTED_VALUE"""),"Balogh Márk")</f>
        <v>Balogh Márk</v>
      </c>
      <c r="C2742" s="1"/>
      <c r="D2742" s="1" t="str">
        <f ca="1">IFERROR(__xludf.DUMMYFUNCTION("""COMPUTED_VALUE"""),"Férfi")</f>
        <v>Férfi</v>
      </c>
      <c r="E2742" s="1"/>
      <c r="F2742" s="1">
        <f ca="1">IFERROR(__xludf.DUMMYFUNCTION("""COMPUTED_VALUE"""),2000)</f>
        <v>2000</v>
      </c>
      <c r="G2742" s="1">
        <f ca="1">IFERROR(__xludf.DUMMYFUNCTION("""COMPUTED_VALUE"""),2432)</f>
        <v>2432</v>
      </c>
      <c r="H2742" s="1" t="str">
        <f ca="1">IFERROR(__xludf.DUMMYFUNCTION("""COMPUTED_VALUE"""),"MTLSZ002432A14")</f>
        <v>MTLSZ002432A14</v>
      </c>
      <c r="I2742" s="2">
        <f ca="1">IFERROR(__xludf.DUMMYFUNCTION("""COMPUTED_VALUE"""),41648)</f>
        <v>41648</v>
      </c>
      <c r="J2742" s="2">
        <f ca="1">IFERROR(__xludf.DUMMYFUNCTION("""COMPUTED_VALUE"""),42012)</f>
        <v>42012</v>
      </c>
    </row>
    <row r="2743" spans="1:10" x14ac:dyDescent="0.25">
      <c r="A2743" s="1" t="str">
        <f ca="1">IFERROR(__xludf.DUMMYFUNCTION("""COMPUTED_VALUE"""),"OSC")</f>
        <v>OSC</v>
      </c>
      <c r="B2743" s="1" t="str">
        <f ca="1">IFERROR(__xludf.DUMMYFUNCTION("""COMPUTED_VALUE"""),"Karsai Noémi")</f>
        <v>Karsai Noémi</v>
      </c>
      <c r="C2743" s="1"/>
      <c r="D2743" s="1" t="str">
        <f ca="1">IFERROR(__xludf.DUMMYFUNCTION("""COMPUTED_VALUE"""),"Nő")</f>
        <v>Nő</v>
      </c>
      <c r="E2743" s="1"/>
      <c r="F2743" s="1">
        <f ca="1">IFERROR(__xludf.DUMMYFUNCTION("""COMPUTED_VALUE"""),1995)</f>
        <v>1995</v>
      </c>
      <c r="G2743" s="1">
        <f ca="1">IFERROR(__xludf.DUMMYFUNCTION("""COMPUTED_VALUE"""),1820)</f>
        <v>1820</v>
      </c>
      <c r="H2743" s="1" t="str">
        <f ca="1">IFERROR(__xludf.DUMMYFUNCTION("""COMPUTED_VALUE"""),"MTLSZ001820A14")</f>
        <v>MTLSZ001820A14</v>
      </c>
      <c r="I2743" s="2">
        <f ca="1">IFERROR(__xludf.DUMMYFUNCTION("""COMPUTED_VALUE"""),41648)</f>
        <v>41648</v>
      </c>
      <c r="J2743" s="2">
        <f ca="1">IFERROR(__xludf.DUMMYFUNCTION("""COMPUTED_VALUE"""),42012)</f>
        <v>42012</v>
      </c>
    </row>
    <row r="2744" spans="1:10" x14ac:dyDescent="0.25">
      <c r="A2744" s="1" t="str">
        <f ca="1">IFERROR(__xludf.DUMMYFUNCTION("""COMPUTED_VALUE"""),"OSC")</f>
        <v>OSC</v>
      </c>
      <c r="B2744" s="1" t="str">
        <f ca="1">IFERROR(__xludf.DUMMYFUNCTION("""COMPUTED_VALUE"""),"Ritz Levente")</f>
        <v>Ritz Levente</v>
      </c>
      <c r="C2744" s="1"/>
      <c r="D2744" s="1" t="str">
        <f ca="1">IFERROR(__xludf.DUMMYFUNCTION("""COMPUTED_VALUE"""),"Férfi")</f>
        <v>Férfi</v>
      </c>
      <c r="E2744" s="1"/>
      <c r="F2744" s="1">
        <f ca="1">IFERROR(__xludf.DUMMYFUNCTION("""COMPUTED_VALUE"""),2000)</f>
        <v>2000</v>
      </c>
      <c r="G2744" s="1">
        <f ca="1">IFERROR(__xludf.DUMMYFUNCTION("""COMPUTED_VALUE"""),2434)</f>
        <v>2434</v>
      </c>
      <c r="H2744" s="1" t="str">
        <f ca="1">IFERROR(__xludf.DUMMYFUNCTION("""COMPUTED_VALUE"""),"MTLSZ002434A14")</f>
        <v>MTLSZ002434A14</v>
      </c>
      <c r="I2744" s="2">
        <f ca="1">IFERROR(__xludf.DUMMYFUNCTION("""COMPUTED_VALUE"""),41648)</f>
        <v>41648</v>
      </c>
      <c r="J2744" s="2">
        <f ca="1">IFERROR(__xludf.DUMMYFUNCTION("""COMPUTED_VALUE"""),42012)</f>
        <v>42012</v>
      </c>
    </row>
    <row r="2745" spans="1:10" x14ac:dyDescent="0.25">
      <c r="A2745" s="1" t="str">
        <f ca="1">IFERROR(__xludf.DUMMYFUNCTION("""COMPUTED_VALUE"""),"OSC")</f>
        <v>OSC</v>
      </c>
      <c r="B2745" s="1" t="str">
        <f ca="1">IFERROR(__xludf.DUMMYFUNCTION("""COMPUTED_VALUE"""),"Sugár Joel")</f>
        <v>Sugár Joel</v>
      </c>
      <c r="C2745" s="1"/>
      <c r="D2745" s="1" t="str">
        <f ca="1">IFERROR(__xludf.DUMMYFUNCTION("""COMPUTED_VALUE"""),"Férfi")</f>
        <v>Férfi</v>
      </c>
      <c r="E2745" s="1"/>
      <c r="F2745" s="1">
        <f ca="1">IFERROR(__xludf.DUMMYFUNCTION("""COMPUTED_VALUE"""),1998)</f>
        <v>1998</v>
      </c>
      <c r="G2745" s="1">
        <f ca="1">IFERROR(__xludf.DUMMYFUNCTION("""COMPUTED_VALUE"""),2575)</f>
        <v>2575</v>
      </c>
      <c r="H2745" s="1" t="str">
        <f ca="1">IFERROR(__xludf.DUMMYFUNCTION("""COMPUTED_VALUE"""),"MTLSZ002575A14")</f>
        <v>MTLSZ002575A14</v>
      </c>
      <c r="I2745" s="2">
        <f ca="1">IFERROR(__xludf.DUMMYFUNCTION("""COMPUTED_VALUE"""),41648)</f>
        <v>41648</v>
      </c>
      <c r="J2745" s="2">
        <f ca="1">IFERROR(__xludf.DUMMYFUNCTION("""COMPUTED_VALUE"""),42012)</f>
        <v>42012</v>
      </c>
    </row>
    <row r="2746" spans="1:10" x14ac:dyDescent="0.25">
      <c r="A2746" s="1" t="str">
        <f ca="1">IFERROR(__xludf.DUMMYFUNCTION("""COMPUTED_VALUE"""),"OSC")</f>
        <v>OSC</v>
      </c>
      <c r="B2746" s="1" t="str">
        <f ca="1">IFERROR(__xludf.DUMMYFUNCTION("""COMPUTED_VALUE"""),"Vajda Sebestyén")</f>
        <v>Vajda Sebestyén</v>
      </c>
      <c r="C2746" s="1"/>
      <c r="D2746" s="1" t="str">
        <f ca="1">IFERROR(__xludf.DUMMYFUNCTION("""COMPUTED_VALUE"""),"Férfi")</f>
        <v>Férfi</v>
      </c>
      <c r="E2746" s="1"/>
      <c r="F2746" s="1">
        <f ca="1">IFERROR(__xludf.DUMMYFUNCTION("""COMPUTED_VALUE"""),1999)</f>
        <v>1999</v>
      </c>
      <c r="G2746" s="1">
        <f ca="1">IFERROR(__xludf.DUMMYFUNCTION("""COMPUTED_VALUE"""),2428)</f>
        <v>2428</v>
      </c>
      <c r="H2746" s="1" t="str">
        <f ca="1">IFERROR(__xludf.DUMMYFUNCTION("""COMPUTED_VALUE"""),"MTLSZ002428A14")</f>
        <v>MTLSZ002428A14</v>
      </c>
      <c r="I2746" s="2">
        <f ca="1">IFERROR(__xludf.DUMMYFUNCTION("""COMPUTED_VALUE"""),41648)</f>
        <v>41648</v>
      </c>
      <c r="J2746" s="2">
        <f ca="1">IFERROR(__xludf.DUMMYFUNCTION("""COMPUTED_VALUE"""),42012)</f>
        <v>42012</v>
      </c>
    </row>
    <row r="2747" spans="1:10" x14ac:dyDescent="0.25">
      <c r="A2747" s="1" t="str">
        <f ca="1">IFERROR(__xludf.DUMMYFUNCTION("""COMPUTED_VALUE"""),"Bodajki TSE")</f>
        <v>Bodajki TSE</v>
      </c>
      <c r="B2747" s="1" t="str">
        <f ca="1">IFERROR(__xludf.DUMMYFUNCTION("""COMPUTED_VALUE"""),"Dellenbach Rudolf")</f>
        <v>Dellenbach Rudolf</v>
      </c>
      <c r="C2747" s="1"/>
      <c r="D2747" s="1" t="str">
        <f ca="1">IFERROR(__xludf.DUMMYFUNCTION("""COMPUTED_VALUE"""),"Férfi")</f>
        <v>Férfi</v>
      </c>
      <c r="E2747" s="1"/>
      <c r="F2747" s="1">
        <f ca="1">IFERROR(__xludf.DUMMYFUNCTION("""COMPUTED_VALUE"""),1995)</f>
        <v>1995</v>
      </c>
      <c r="G2747" s="1">
        <f ca="1">IFERROR(__xludf.DUMMYFUNCTION("""COMPUTED_VALUE"""),1411)</f>
        <v>1411</v>
      </c>
      <c r="H2747" s="1" t="str">
        <f ca="1">IFERROR(__xludf.DUMMYFUNCTION("""COMPUTED_VALUE"""),"MTLSZ001411A14")</f>
        <v>MTLSZ001411A14</v>
      </c>
      <c r="I2747" s="2">
        <f ca="1">IFERROR(__xludf.DUMMYFUNCTION("""COMPUTED_VALUE"""),41645)</f>
        <v>41645</v>
      </c>
      <c r="J2747" s="2">
        <f ca="1">IFERROR(__xludf.DUMMYFUNCTION("""COMPUTED_VALUE"""),42009)</f>
        <v>42009</v>
      </c>
    </row>
    <row r="2748" spans="1:10" x14ac:dyDescent="0.25">
      <c r="A2748" s="1" t="str">
        <f ca="1">IFERROR(__xludf.DUMMYFUNCTION("""COMPUTED_VALUE"""),"BEAC")</f>
        <v>BEAC</v>
      </c>
      <c r="B2748" s="1" t="str">
        <f ca="1">IFERROR(__xludf.DUMMYFUNCTION("""COMPUTED_VALUE"""),"Sas Csilla")</f>
        <v>Sas Csilla</v>
      </c>
      <c r="C2748" s="1"/>
      <c r="D2748" s="1" t="str">
        <f ca="1">IFERROR(__xludf.DUMMYFUNCTION("""COMPUTED_VALUE"""),"Nő")</f>
        <v>Nő</v>
      </c>
      <c r="E2748" s="1"/>
      <c r="F2748" s="1">
        <f ca="1">IFERROR(__xludf.DUMMYFUNCTION("""COMPUTED_VALUE"""),1985)</f>
        <v>1985</v>
      </c>
      <c r="G2748" s="1">
        <f ca="1">IFERROR(__xludf.DUMMYFUNCTION("""COMPUTED_VALUE"""),837)</f>
        <v>837</v>
      </c>
      <c r="H2748" s="1" t="str">
        <f ca="1">IFERROR(__xludf.DUMMYFUNCTION("""COMPUTED_VALUE"""),"MTLSZ000837A13")</f>
        <v>MTLSZ000837A13</v>
      </c>
      <c r="I2748" s="2">
        <f ca="1">IFERROR(__xludf.DUMMYFUNCTION("""COMPUTED_VALUE"""),41631)</f>
        <v>41631</v>
      </c>
      <c r="J2748" s="2">
        <f ca="1">IFERROR(__xludf.DUMMYFUNCTION("""COMPUTED_VALUE"""),41995)</f>
        <v>41995</v>
      </c>
    </row>
    <row r="2749" spans="1:10" x14ac:dyDescent="0.25">
      <c r="A2749" s="1" t="str">
        <f ca="1">IFERROR(__xludf.DUMMYFUNCTION("""COMPUTED_VALUE"""),"DSK")</f>
        <v>DSK</v>
      </c>
      <c r="B2749" s="1" t="str">
        <f ca="1">IFERROR(__xludf.DUMMYFUNCTION("""COMPUTED_VALUE"""),"Németh Csaba")</f>
        <v>Németh Csaba</v>
      </c>
      <c r="C2749" s="1"/>
      <c r="D2749" s="1" t="str">
        <f ca="1">IFERROR(__xludf.DUMMYFUNCTION("""COMPUTED_VALUE"""),"Férfi")</f>
        <v>Férfi</v>
      </c>
      <c r="E2749" s="1"/>
      <c r="F2749" s="1">
        <f ca="1">IFERROR(__xludf.DUMMYFUNCTION("""COMPUTED_VALUE"""),1971)</f>
        <v>1971</v>
      </c>
      <c r="G2749" s="1">
        <f ca="1">IFERROR(__xludf.DUMMYFUNCTION("""COMPUTED_VALUE"""),706)</f>
        <v>706</v>
      </c>
      <c r="H2749" s="1" t="str">
        <f ca="1">IFERROR(__xludf.DUMMYFUNCTION("""COMPUTED_VALUE"""),"MTLSZ000706A13")</f>
        <v>MTLSZ000706A13</v>
      </c>
      <c r="I2749" s="2">
        <f ca="1">IFERROR(__xludf.DUMMYFUNCTION("""COMPUTED_VALUE"""),41620)</f>
        <v>41620</v>
      </c>
      <c r="J2749" s="2">
        <f ca="1">IFERROR(__xludf.DUMMYFUNCTION("""COMPUTED_VALUE"""),41984)</f>
        <v>41984</v>
      </c>
    </row>
    <row r="2750" spans="1:10" x14ac:dyDescent="0.25">
      <c r="A2750" s="1" t="str">
        <f ca="1">IFERROR(__xludf.DUMMYFUNCTION("""COMPUTED_VALUE"""),"Tisza TSE")</f>
        <v>Tisza TSE</v>
      </c>
      <c r="B2750" s="1" t="str">
        <f ca="1">IFERROR(__xludf.DUMMYFUNCTION("""COMPUTED_VALUE"""),"Fagralid Philip")</f>
        <v>Fagralid Philip</v>
      </c>
      <c r="C2750" s="1"/>
      <c r="D2750" s="1" t="str">
        <f ca="1">IFERROR(__xludf.DUMMYFUNCTION("""COMPUTED_VALUE"""),"Férfi")</f>
        <v>Férfi</v>
      </c>
      <c r="E2750" s="1"/>
      <c r="F2750" s="1">
        <f ca="1">IFERROR(__xludf.DUMMYFUNCTION("""COMPUTED_VALUE"""),1990)</f>
        <v>1990</v>
      </c>
      <c r="G2750" s="1">
        <f ca="1">IFERROR(__xludf.DUMMYFUNCTION("""COMPUTED_VALUE"""),2678)</f>
        <v>2678</v>
      </c>
      <c r="H2750" s="1" t="str">
        <f ca="1">IFERROR(__xludf.DUMMYFUNCTION("""COMPUTED_VALUE"""),"MTLSZ002678A14")</f>
        <v>MTLSZ002678A14</v>
      </c>
      <c r="I2750" s="2">
        <f ca="1">IFERROR(__xludf.DUMMYFUNCTION("""COMPUTED_VALUE"""),41975)</f>
        <v>41975</v>
      </c>
      <c r="J2750" s="2">
        <f ca="1">IFERROR(__xludf.DUMMYFUNCTION("""COMPUTED_VALUE"""),41980)</f>
        <v>41980</v>
      </c>
    </row>
    <row r="2751" spans="1:10" x14ac:dyDescent="0.25">
      <c r="A2751" s="1" t="str">
        <f ca="1">IFERROR(__xludf.DUMMYFUNCTION("""COMPUTED_VALUE"""),"Tisza TSE")</f>
        <v>Tisza TSE</v>
      </c>
      <c r="B2751" s="1" t="str">
        <f ca="1">IFERROR(__xludf.DUMMYFUNCTION("""COMPUTED_VALUE"""),"Karlsson Annie")</f>
        <v>Karlsson Annie</v>
      </c>
      <c r="C2751" s="1"/>
      <c r="D2751" s="1" t="str">
        <f ca="1">IFERROR(__xludf.DUMMYFUNCTION("""COMPUTED_VALUE"""),"Nő")</f>
        <v>Nő</v>
      </c>
      <c r="E2751" s="1"/>
      <c r="F2751" s="1">
        <f ca="1">IFERROR(__xludf.DUMMYFUNCTION("""COMPUTED_VALUE"""),1991)</f>
        <v>1991</v>
      </c>
      <c r="G2751" s="1">
        <f ca="1">IFERROR(__xludf.DUMMYFUNCTION("""COMPUTED_VALUE"""),2679)</f>
        <v>2679</v>
      </c>
      <c r="H2751" s="1" t="str">
        <f ca="1">IFERROR(__xludf.DUMMYFUNCTION("""COMPUTED_VALUE"""),"MTLSZ002679A14")</f>
        <v>MTLSZ002679A14</v>
      </c>
      <c r="I2751" s="2">
        <f ca="1">IFERROR(__xludf.DUMMYFUNCTION("""COMPUTED_VALUE"""),41975)</f>
        <v>41975</v>
      </c>
      <c r="J2751" s="2">
        <f ca="1">IFERROR(__xludf.DUMMYFUNCTION("""COMPUTED_VALUE"""),41980)</f>
        <v>41980</v>
      </c>
    </row>
    <row r="2752" spans="1:10" x14ac:dyDescent="0.25">
      <c r="A2752" s="1" t="str">
        <f ca="1">IFERROR(__xludf.DUMMYFUNCTION("""COMPUTED_VALUE"""),"Tisza TSE")</f>
        <v>Tisza TSE</v>
      </c>
      <c r="B2752" s="1" t="str">
        <f ca="1">IFERROR(__xludf.DUMMYFUNCTION("""COMPUTED_VALUE"""),"Kiri Alexandra")</f>
        <v>Kiri Alexandra</v>
      </c>
      <c r="C2752" s="1"/>
      <c r="D2752" s="1" t="str">
        <f ca="1">IFERROR(__xludf.DUMMYFUNCTION("""COMPUTED_VALUE"""),"Nő")</f>
        <v>Nő</v>
      </c>
      <c r="E2752" s="1"/>
      <c r="F2752" s="1">
        <f ca="1">IFERROR(__xludf.DUMMYFUNCTION("""COMPUTED_VALUE"""),2000)</f>
        <v>2000</v>
      </c>
      <c r="G2752" s="1">
        <f ca="1">IFERROR(__xludf.DUMMYFUNCTION("""COMPUTED_VALUE"""),2570)</f>
        <v>2570</v>
      </c>
      <c r="H2752" s="1" t="str">
        <f ca="1">IFERROR(__xludf.DUMMYFUNCTION("""COMPUTED_VALUE"""),"MTLSZ002570A13")</f>
        <v>MTLSZ002570A13</v>
      </c>
      <c r="I2752" s="2">
        <f ca="1">IFERROR(__xludf.DUMMYFUNCTION("""COMPUTED_VALUE"""),41603)</f>
        <v>41603</v>
      </c>
      <c r="J2752" s="2">
        <f ca="1">IFERROR(__xludf.DUMMYFUNCTION("""COMPUTED_VALUE"""),41967)</f>
        <v>41967</v>
      </c>
    </row>
    <row r="2753" spans="1:10" x14ac:dyDescent="0.25">
      <c r="A2753" s="1" t="str">
        <f ca="1">IFERROR(__xludf.DUMMYFUNCTION("""COMPUTED_VALUE"""),"Tisza TSE")</f>
        <v>Tisza TSE</v>
      </c>
      <c r="B2753" s="1" t="str">
        <f ca="1">IFERROR(__xludf.DUMMYFUNCTION("""COMPUTED_VALUE"""),"Mari Csongor")</f>
        <v>Mari Csongor</v>
      </c>
      <c r="C2753" s="1"/>
      <c r="D2753" s="1" t="str">
        <f ca="1">IFERROR(__xludf.DUMMYFUNCTION("""COMPUTED_VALUE"""),"Férfi")</f>
        <v>Férfi</v>
      </c>
      <c r="E2753" s="1"/>
      <c r="F2753" s="1">
        <f ca="1">IFERROR(__xludf.DUMMYFUNCTION("""COMPUTED_VALUE"""),2000)</f>
        <v>2000</v>
      </c>
      <c r="G2753" s="1">
        <f ca="1">IFERROR(__xludf.DUMMYFUNCTION("""COMPUTED_VALUE"""),2574)</f>
        <v>2574</v>
      </c>
      <c r="H2753" s="1" t="str">
        <f ca="1">IFERROR(__xludf.DUMMYFUNCTION("""COMPUTED_VALUE"""),"MTLSZ002574A13")</f>
        <v>MTLSZ002574A13</v>
      </c>
      <c r="I2753" s="2">
        <f ca="1">IFERROR(__xludf.DUMMYFUNCTION("""COMPUTED_VALUE"""),41603)</f>
        <v>41603</v>
      </c>
      <c r="J2753" s="2">
        <f ca="1">IFERROR(__xludf.DUMMYFUNCTION("""COMPUTED_VALUE"""),41967)</f>
        <v>41967</v>
      </c>
    </row>
    <row r="2754" spans="1:10" x14ac:dyDescent="0.25">
      <c r="A2754" s="1" t="str">
        <f ca="1">IFERROR(__xludf.DUMMYFUNCTION("""COMPUTED_VALUE"""),"Tisza TSE")</f>
        <v>Tisza TSE</v>
      </c>
      <c r="B2754" s="1" t="str">
        <f ca="1">IFERROR(__xludf.DUMMYFUNCTION("""COMPUTED_VALUE"""),"Pető Zsófia")</f>
        <v>Pető Zsófia</v>
      </c>
      <c r="C2754" s="1"/>
      <c r="D2754" s="1" t="str">
        <f ca="1">IFERROR(__xludf.DUMMYFUNCTION("""COMPUTED_VALUE"""),"Nő")</f>
        <v>Nő</v>
      </c>
      <c r="E2754" s="1"/>
      <c r="F2754" s="1">
        <f ca="1">IFERROR(__xludf.DUMMYFUNCTION("""COMPUTED_VALUE"""),2000)</f>
        <v>2000</v>
      </c>
      <c r="G2754" s="1">
        <f ca="1">IFERROR(__xludf.DUMMYFUNCTION("""COMPUTED_VALUE"""),2567)</f>
        <v>2567</v>
      </c>
      <c r="H2754" s="1" t="str">
        <f ca="1">IFERROR(__xludf.DUMMYFUNCTION("""COMPUTED_VALUE"""),"MTLSZ002567A13")</f>
        <v>MTLSZ002567A13</v>
      </c>
      <c r="I2754" s="2">
        <f ca="1">IFERROR(__xludf.DUMMYFUNCTION("""COMPUTED_VALUE"""),41603)</f>
        <v>41603</v>
      </c>
      <c r="J2754" s="2">
        <f ca="1">IFERROR(__xludf.DUMMYFUNCTION("""COMPUTED_VALUE"""),41967)</f>
        <v>41967</v>
      </c>
    </row>
    <row r="2755" spans="1:10" x14ac:dyDescent="0.25">
      <c r="A2755" s="1" t="str">
        <f ca="1">IFERROR(__xludf.DUMMYFUNCTION("""COMPUTED_VALUE"""),"Tisza TSE")</f>
        <v>Tisza TSE</v>
      </c>
      <c r="B2755" s="1" t="str">
        <f ca="1">IFERROR(__xludf.DUMMYFUNCTION("""COMPUTED_VALUE"""),"Rádai Kitti")</f>
        <v>Rádai Kitti</v>
      </c>
      <c r="C2755" s="1"/>
      <c r="D2755" s="1" t="str">
        <f ca="1">IFERROR(__xludf.DUMMYFUNCTION("""COMPUTED_VALUE"""),"Nő")</f>
        <v>Nő</v>
      </c>
      <c r="E2755" s="1"/>
      <c r="F2755" s="1">
        <f ca="1">IFERROR(__xludf.DUMMYFUNCTION("""COMPUTED_VALUE"""),2000)</f>
        <v>2000</v>
      </c>
      <c r="G2755" s="1">
        <f ca="1">IFERROR(__xludf.DUMMYFUNCTION("""COMPUTED_VALUE"""),2565)</f>
        <v>2565</v>
      </c>
      <c r="H2755" s="1" t="str">
        <f ca="1">IFERROR(__xludf.DUMMYFUNCTION("""COMPUTED_VALUE"""),"MTLSZ002565A13")</f>
        <v>MTLSZ002565A13</v>
      </c>
      <c r="I2755" s="2">
        <f ca="1">IFERROR(__xludf.DUMMYFUNCTION("""COMPUTED_VALUE"""),41603)</f>
        <v>41603</v>
      </c>
      <c r="J2755" s="2">
        <f ca="1">IFERROR(__xludf.DUMMYFUNCTION("""COMPUTED_VALUE"""),41967)</f>
        <v>41967</v>
      </c>
    </row>
    <row r="2756" spans="1:10" x14ac:dyDescent="0.25">
      <c r="A2756" s="1" t="str">
        <f ca="1">IFERROR(__xludf.DUMMYFUNCTION("""COMPUTED_VALUE"""),"OSC")</f>
        <v>OSC</v>
      </c>
      <c r="B2756" s="1" t="str">
        <f ca="1">IFERROR(__xludf.DUMMYFUNCTION("""COMPUTED_VALUE"""),"Stégner Gergely")</f>
        <v>Stégner Gergely</v>
      </c>
      <c r="C2756" s="1"/>
      <c r="D2756" s="1" t="str">
        <f ca="1">IFERROR(__xludf.DUMMYFUNCTION("""COMPUTED_VALUE"""),"Férfi")</f>
        <v>Férfi</v>
      </c>
      <c r="E2756" s="1"/>
      <c r="F2756" s="1">
        <f ca="1">IFERROR(__xludf.DUMMYFUNCTION("""COMPUTED_VALUE"""),2001)</f>
        <v>2001</v>
      </c>
      <c r="G2756" s="1">
        <f ca="1">IFERROR(__xludf.DUMMYFUNCTION("""COMPUTED_VALUE"""),2430)</f>
        <v>2430</v>
      </c>
      <c r="H2756" s="1" t="str">
        <f ca="1">IFERROR(__xludf.DUMMYFUNCTION("""COMPUTED_VALUE"""),"MTLSZ002430A13")</f>
        <v>MTLSZ002430A13</v>
      </c>
      <c r="I2756" s="2">
        <f ca="1">IFERROR(__xludf.DUMMYFUNCTION("""COMPUTED_VALUE"""),41597)</f>
        <v>41597</v>
      </c>
      <c r="J2756" s="2">
        <f ca="1">IFERROR(__xludf.DUMMYFUNCTION("""COMPUTED_VALUE"""),41961)</f>
        <v>41961</v>
      </c>
    </row>
    <row r="2757" spans="1:10" x14ac:dyDescent="0.25">
      <c r="A2757" s="1" t="str">
        <f ca="1">IFERROR(__xludf.DUMMYFUNCTION("""COMPUTED_VALUE"""),"DSK")</f>
        <v>DSK</v>
      </c>
      <c r="B2757" s="1" t="str">
        <f ca="1">IFERROR(__xludf.DUMMYFUNCTION("""COMPUTED_VALUE"""),"Sedró Viktória")</f>
        <v>Sedró Viktória</v>
      </c>
      <c r="C2757" s="1"/>
      <c r="D2757" s="1" t="str">
        <f ca="1">IFERROR(__xludf.DUMMYFUNCTION("""COMPUTED_VALUE"""),"Nő")</f>
        <v>Nő</v>
      </c>
      <c r="E2757" s="1"/>
      <c r="F2757" s="1">
        <f ca="1">IFERROR(__xludf.DUMMYFUNCTION("""COMPUTED_VALUE"""),2000)</f>
        <v>2000</v>
      </c>
      <c r="G2757" s="1">
        <f ca="1">IFERROR(__xludf.DUMMYFUNCTION("""COMPUTED_VALUE"""),2563)</f>
        <v>2563</v>
      </c>
      <c r="H2757" s="1" t="str">
        <f ca="1">IFERROR(__xludf.DUMMYFUNCTION("""COMPUTED_VALUE"""),"MTLSZ002563A13")</f>
        <v>MTLSZ002563A13</v>
      </c>
      <c r="I2757" s="2">
        <f ca="1">IFERROR(__xludf.DUMMYFUNCTION("""COMPUTED_VALUE"""),41596)</f>
        <v>41596</v>
      </c>
      <c r="J2757" s="2">
        <f ca="1">IFERROR(__xludf.DUMMYFUNCTION("""COMPUTED_VALUE"""),41960)</f>
        <v>41960</v>
      </c>
    </row>
    <row r="2758" spans="1:10" x14ac:dyDescent="0.25">
      <c r="A2758" s="1" t="str">
        <f ca="1">IFERROR(__xludf.DUMMYFUNCTION("""COMPUTED_VALUE"""),"DSK")</f>
        <v>DSK</v>
      </c>
      <c r="B2758" s="1" t="str">
        <f ca="1">IFERROR(__xludf.DUMMYFUNCTION("""COMPUTED_VALUE"""),"Takács Anett")</f>
        <v>Takács Anett</v>
      </c>
      <c r="C2758" s="1"/>
      <c r="D2758" s="1" t="str">
        <f ca="1">IFERROR(__xludf.DUMMYFUNCTION("""COMPUTED_VALUE"""),"Nő")</f>
        <v>Nő</v>
      </c>
      <c r="E2758" s="1"/>
      <c r="F2758" s="1">
        <f ca="1">IFERROR(__xludf.DUMMYFUNCTION("""COMPUTED_VALUE"""),1999)</f>
        <v>1999</v>
      </c>
      <c r="G2758" s="1">
        <f ca="1">IFERROR(__xludf.DUMMYFUNCTION("""COMPUTED_VALUE"""),2564)</f>
        <v>2564</v>
      </c>
      <c r="H2758" s="1" t="str">
        <f ca="1">IFERROR(__xludf.DUMMYFUNCTION("""COMPUTED_VALUE"""),"MTLSZ002564A13")</f>
        <v>MTLSZ002564A13</v>
      </c>
      <c r="I2758" s="2">
        <f ca="1">IFERROR(__xludf.DUMMYFUNCTION("""COMPUTED_VALUE"""),41596)</f>
        <v>41596</v>
      </c>
      <c r="J2758" s="2">
        <f ca="1">IFERROR(__xludf.DUMMYFUNCTION("""COMPUTED_VALUE"""),41960)</f>
        <v>41960</v>
      </c>
    </row>
    <row r="2759" spans="1:10" x14ac:dyDescent="0.25">
      <c r="A2759" s="1" t="str">
        <f ca="1">IFERROR(__xludf.DUMMYFUNCTION("""COMPUTED_VALUE"""),"Karai SE")</f>
        <v>Karai SE</v>
      </c>
      <c r="B2759" s="1" t="str">
        <f ca="1">IFERROR(__xludf.DUMMYFUNCTION("""COMPUTED_VALUE"""),"Csáki Sándor")</f>
        <v>Csáki Sándor</v>
      </c>
      <c r="C2759" s="1"/>
      <c r="D2759" s="1" t="str">
        <f ca="1">IFERROR(__xludf.DUMMYFUNCTION("""COMPUTED_VALUE"""),"Férfi")</f>
        <v>Férfi</v>
      </c>
      <c r="E2759" s="1"/>
      <c r="F2759" s="1">
        <f ca="1">IFERROR(__xludf.DUMMYFUNCTION("""COMPUTED_VALUE"""),1962)</f>
        <v>1962</v>
      </c>
      <c r="G2759" s="1">
        <f ca="1">IFERROR(__xludf.DUMMYFUNCTION("""COMPUTED_VALUE"""),2172)</f>
        <v>2172</v>
      </c>
      <c r="H2759" s="1" t="str">
        <f ca="1">IFERROR(__xludf.DUMMYFUNCTION("""COMPUTED_VALUE"""),"MTLSZ002172A13")</f>
        <v>MTLSZ002172A13</v>
      </c>
      <c r="I2759" s="2">
        <f ca="1">IFERROR(__xludf.DUMMYFUNCTION("""COMPUTED_VALUE"""),41592)</f>
        <v>41592</v>
      </c>
      <c r="J2759" s="2">
        <f ca="1">IFERROR(__xludf.DUMMYFUNCTION("""COMPUTED_VALUE"""),41956)</f>
        <v>41956</v>
      </c>
    </row>
    <row r="2760" spans="1:10" x14ac:dyDescent="0.25">
      <c r="A2760" s="1" t="str">
        <f ca="1">IFERROR(__xludf.DUMMYFUNCTION("""COMPUTED_VALUE"""),"Zalaegerszegi TE")</f>
        <v>Zalaegerszegi TE</v>
      </c>
      <c r="B2760" s="1" t="str">
        <f ca="1">IFERROR(__xludf.DUMMYFUNCTION("""COMPUTED_VALUE"""),"Kis-Király Ervin")</f>
        <v>Kis-Király Ervin</v>
      </c>
      <c r="C2760" s="1"/>
      <c r="D2760" s="1" t="str">
        <f ca="1">IFERROR(__xludf.DUMMYFUNCTION("""COMPUTED_VALUE"""),"Férfi")</f>
        <v>Férfi</v>
      </c>
      <c r="E2760" s="1"/>
      <c r="F2760" s="1">
        <f ca="1">IFERROR(__xludf.DUMMYFUNCTION("""COMPUTED_VALUE"""),1962)</f>
        <v>1962</v>
      </c>
      <c r="G2760" s="1">
        <f ca="1">IFERROR(__xludf.DUMMYFUNCTION("""COMPUTED_VALUE"""),2022)</f>
        <v>2022</v>
      </c>
      <c r="H2760" s="1" t="str">
        <f ca="1">IFERROR(__xludf.DUMMYFUNCTION("""COMPUTED_VALUE"""),"MTLSZ002022A13")</f>
        <v>MTLSZ002022A13</v>
      </c>
      <c r="I2760" s="2">
        <f ca="1">IFERROR(__xludf.DUMMYFUNCTION("""COMPUTED_VALUE"""),41592)</f>
        <v>41592</v>
      </c>
      <c r="J2760" s="2">
        <f ca="1">IFERROR(__xludf.DUMMYFUNCTION("""COMPUTED_VALUE"""),41956)</f>
        <v>41956</v>
      </c>
    </row>
    <row r="2761" spans="1:10" x14ac:dyDescent="0.25">
      <c r="A2761" s="1" t="str">
        <f ca="1">IFERROR(__xludf.DUMMYFUNCTION("""COMPUTED_VALUE"""),"BTBK")</f>
        <v>BTBK</v>
      </c>
      <c r="B2761" s="1" t="str">
        <f ca="1">IFERROR(__xludf.DUMMYFUNCTION("""COMPUTED_VALUE"""),"Balla Éva")</f>
        <v>Balla Éva</v>
      </c>
      <c r="C2761" s="1"/>
      <c r="D2761" s="1" t="str">
        <f ca="1">IFERROR(__xludf.DUMMYFUNCTION("""COMPUTED_VALUE"""),"Nő")</f>
        <v>Nő</v>
      </c>
      <c r="E2761" s="1"/>
      <c r="F2761" s="1">
        <f ca="1">IFERROR(__xludf.DUMMYFUNCTION("""COMPUTED_VALUE"""),1971)</f>
        <v>1971</v>
      </c>
      <c r="G2761" s="1">
        <f ca="1">IFERROR(__xludf.DUMMYFUNCTION("""COMPUTED_VALUE"""),1270)</f>
        <v>1270</v>
      </c>
      <c r="H2761" s="1" t="str">
        <f ca="1">IFERROR(__xludf.DUMMYFUNCTION("""COMPUTED_VALUE"""),"MTLSZ001270A13")</f>
        <v>MTLSZ001270A13</v>
      </c>
      <c r="I2761" s="2">
        <f ca="1">IFERROR(__xludf.DUMMYFUNCTION("""COMPUTED_VALUE"""),41591)</f>
        <v>41591</v>
      </c>
      <c r="J2761" s="2">
        <f ca="1">IFERROR(__xludf.DUMMYFUNCTION("""COMPUTED_VALUE"""),41955)</f>
        <v>41955</v>
      </c>
    </row>
    <row r="2762" spans="1:10" x14ac:dyDescent="0.25">
      <c r="A2762" s="1" t="str">
        <f ca="1">IFERROR(__xludf.DUMMYFUNCTION("""COMPUTED_VALUE"""),"Dunakanyar TSE")</f>
        <v>Dunakanyar TSE</v>
      </c>
      <c r="B2762" s="1" t="str">
        <f ca="1">IFERROR(__xludf.DUMMYFUNCTION("""COMPUTED_VALUE"""),"Le Van Trung")</f>
        <v>Le Van Trung</v>
      </c>
      <c r="C2762" s="1"/>
      <c r="D2762" s="1" t="str">
        <f ca="1">IFERROR(__xludf.DUMMYFUNCTION("""COMPUTED_VALUE"""),"Férfi")</f>
        <v>Férfi</v>
      </c>
      <c r="E2762" s="1"/>
      <c r="F2762" s="1">
        <f ca="1">IFERROR(__xludf.DUMMYFUNCTION("""COMPUTED_VALUE"""),1981)</f>
        <v>1981</v>
      </c>
      <c r="G2762" s="1">
        <f ca="1">IFERROR(__xludf.DUMMYFUNCTION("""COMPUTED_VALUE"""),1923)</f>
        <v>1923</v>
      </c>
      <c r="H2762" s="1" t="str">
        <f ca="1">IFERROR(__xludf.DUMMYFUNCTION("""COMPUTED_VALUE"""),"MTLSZ001923A13")</f>
        <v>MTLSZ001923A13</v>
      </c>
      <c r="I2762" s="2">
        <f ca="1">IFERROR(__xludf.DUMMYFUNCTION("""COMPUTED_VALUE"""),41618)</f>
        <v>41618</v>
      </c>
      <c r="J2762" s="2">
        <f ca="1">IFERROR(__xludf.DUMMYFUNCTION("""COMPUTED_VALUE"""),41951)</f>
        <v>41951</v>
      </c>
    </row>
    <row r="2763" spans="1:10" x14ac:dyDescent="0.25">
      <c r="A2763" s="1" t="str">
        <f ca="1">IFERROR(__xludf.DUMMYFUNCTION("""COMPUTED_VALUE"""),"Veszprémi TE")</f>
        <v>Veszprémi TE</v>
      </c>
      <c r="B2763" s="1" t="str">
        <f ca="1">IFERROR(__xludf.DUMMYFUNCTION("""COMPUTED_VALUE"""),"Bíró András")</f>
        <v>Bíró András</v>
      </c>
      <c r="C2763" s="1"/>
      <c r="D2763" s="1" t="str">
        <f ca="1">IFERROR(__xludf.DUMMYFUNCTION("""COMPUTED_VALUE"""),"Férfi")</f>
        <v>Férfi</v>
      </c>
      <c r="E2763" s="1"/>
      <c r="F2763" s="1">
        <f ca="1">IFERROR(__xludf.DUMMYFUNCTION("""COMPUTED_VALUE"""),1975)</f>
        <v>1975</v>
      </c>
      <c r="G2763" s="1">
        <f ca="1">IFERROR(__xludf.DUMMYFUNCTION("""COMPUTED_VALUE"""),2437)</f>
        <v>2437</v>
      </c>
      <c r="H2763" s="1" t="str">
        <f ca="1">IFERROR(__xludf.DUMMYFUNCTION("""COMPUTED_VALUE"""),"MTLSZ002437A13")</f>
        <v>MTLSZ002437A13</v>
      </c>
      <c r="I2763" s="2">
        <f ca="1">IFERROR(__xludf.DUMMYFUNCTION("""COMPUTED_VALUE"""),41585)</f>
        <v>41585</v>
      </c>
      <c r="J2763" s="2">
        <f ca="1">IFERROR(__xludf.DUMMYFUNCTION("""COMPUTED_VALUE"""),41949)</f>
        <v>41949</v>
      </c>
    </row>
    <row r="2764" spans="1:10" x14ac:dyDescent="0.25">
      <c r="A2764" s="1" t="str">
        <f ca="1">IFERROR(__xludf.DUMMYFUNCTION("""COMPUTED_VALUE"""),"MEAFC")</f>
        <v>MEAFC</v>
      </c>
      <c r="B2764" s="1" t="str">
        <f ca="1">IFERROR(__xludf.DUMMYFUNCTION("""COMPUTED_VALUE"""),"Kun Péter")</f>
        <v>Kun Péter</v>
      </c>
      <c r="C2764" s="1"/>
      <c r="D2764" s="1" t="str">
        <f ca="1">IFERROR(__xludf.DUMMYFUNCTION("""COMPUTED_VALUE"""),"Férfi")</f>
        <v>Férfi</v>
      </c>
      <c r="E2764" s="1"/>
      <c r="F2764" s="1">
        <f ca="1">IFERROR(__xludf.DUMMYFUNCTION("""COMPUTED_VALUE"""),1976)</f>
        <v>1976</v>
      </c>
      <c r="G2764" s="1">
        <f ca="1">IFERROR(__xludf.DUMMYFUNCTION("""COMPUTED_VALUE"""),2548)</f>
        <v>2548</v>
      </c>
      <c r="H2764" s="1" t="str">
        <f ca="1">IFERROR(__xludf.DUMMYFUNCTION("""COMPUTED_VALUE"""),"MTLSZ002548A13")</f>
        <v>MTLSZ002548A13</v>
      </c>
      <c r="I2764" s="2">
        <f ca="1">IFERROR(__xludf.DUMMYFUNCTION("""COMPUTED_VALUE"""),41584)</f>
        <v>41584</v>
      </c>
      <c r="J2764" s="2">
        <f ca="1">IFERROR(__xludf.DUMMYFUNCTION("""COMPUTED_VALUE"""),41948)</f>
        <v>41948</v>
      </c>
    </row>
    <row r="2765" spans="1:10" x14ac:dyDescent="0.25">
      <c r="A2765" s="1" t="str">
        <f ca="1">IFERROR(__xludf.DUMMYFUNCTION("""COMPUTED_VALUE"""),"MEAFC")</f>
        <v>MEAFC</v>
      </c>
      <c r="B2765" s="1" t="str">
        <f ca="1">IFERROR(__xludf.DUMMYFUNCTION("""COMPUTED_VALUE"""),"Szabó Viktória")</f>
        <v>Szabó Viktória</v>
      </c>
      <c r="C2765" s="1"/>
      <c r="D2765" s="1" t="str">
        <f ca="1">IFERROR(__xludf.DUMMYFUNCTION("""COMPUTED_VALUE"""),"Nő")</f>
        <v>Nő</v>
      </c>
      <c r="E2765" s="1"/>
      <c r="F2765" s="1">
        <f ca="1">IFERROR(__xludf.DUMMYFUNCTION("""COMPUTED_VALUE"""),1988)</f>
        <v>1988</v>
      </c>
      <c r="G2765" s="1">
        <f ca="1">IFERROR(__xludf.DUMMYFUNCTION("""COMPUTED_VALUE"""),2547)</f>
        <v>2547</v>
      </c>
      <c r="H2765" s="1" t="str">
        <f ca="1">IFERROR(__xludf.DUMMYFUNCTION("""COMPUTED_VALUE"""),"MTLSZ002547A13")</f>
        <v>MTLSZ002547A13</v>
      </c>
      <c r="I2765" s="2">
        <f ca="1">IFERROR(__xludf.DUMMYFUNCTION("""COMPUTED_VALUE"""),41584)</f>
        <v>41584</v>
      </c>
      <c r="J2765" s="2">
        <f ca="1">IFERROR(__xludf.DUMMYFUNCTION("""COMPUTED_VALUE"""),41948)</f>
        <v>41948</v>
      </c>
    </row>
    <row r="2766" spans="1:10" x14ac:dyDescent="0.25">
      <c r="A2766" s="1" t="str">
        <f ca="1">IFERROR(__xludf.DUMMYFUNCTION("""COMPUTED_VALUE"""),"MEAFC")</f>
        <v>MEAFC</v>
      </c>
      <c r="B2766" s="1" t="str">
        <f ca="1">IFERROR(__xludf.DUMMYFUNCTION("""COMPUTED_VALUE"""),"Tóth Joel")</f>
        <v>Tóth Joel</v>
      </c>
      <c r="C2766" s="1"/>
      <c r="D2766" s="1" t="str">
        <f ca="1">IFERROR(__xludf.DUMMYFUNCTION("""COMPUTED_VALUE"""),"Férfi")</f>
        <v>Férfi</v>
      </c>
      <c r="E2766" s="1"/>
      <c r="F2766" s="1">
        <f ca="1">IFERROR(__xludf.DUMMYFUNCTION("""COMPUTED_VALUE"""),1993)</f>
        <v>1993</v>
      </c>
      <c r="G2766" s="1">
        <f ca="1">IFERROR(__xludf.DUMMYFUNCTION("""COMPUTED_VALUE"""),2549)</f>
        <v>2549</v>
      </c>
      <c r="H2766" s="1" t="str">
        <f ca="1">IFERROR(__xludf.DUMMYFUNCTION("""COMPUTED_VALUE"""),"MTLSZ002549A13")</f>
        <v>MTLSZ002549A13</v>
      </c>
      <c r="I2766" s="2">
        <f ca="1">IFERROR(__xludf.DUMMYFUNCTION("""COMPUTED_VALUE"""),41584)</f>
        <v>41584</v>
      </c>
      <c r="J2766" s="2">
        <f ca="1">IFERROR(__xludf.DUMMYFUNCTION("""COMPUTED_VALUE"""),41948)</f>
        <v>41948</v>
      </c>
    </row>
    <row r="2767" spans="1:10" x14ac:dyDescent="0.25">
      <c r="A2767" s="1" t="str">
        <f ca="1">IFERROR(__xludf.DUMMYFUNCTION("""COMPUTED_VALUE"""),"FBSE")</f>
        <v>FBSE</v>
      </c>
      <c r="B2767" s="1" t="str">
        <f ca="1">IFERROR(__xludf.DUMMYFUNCTION("""COMPUTED_VALUE"""),"Horváth Dalma")</f>
        <v>Horváth Dalma</v>
      </c>
      <c r="C2767" s="1"/>
      <c r="D2767" s="1" t="str">
        <f ca="1">IFERROR(__xludf.DUMMYFUNCTION("""COMPUTED_VALUE"""),"Nő")</f>
        <v>Nő</v>
      </c>
      <c r="E2767" s="1"/>
      <c r="F2767" s="1">
        <f ca="1">IFERROR(__xludf.DUMMYFUNCTION("""COMPUTED_VALUE"""),1996)</f>
        <v>1996</v>
      </c>
      <c r="G2767" s="1">
        <f ca="1">IFERROR(__xludf.DUMMYFUNCTION("""COMPUTED_VALUE"""),2435)</f>
        <v>2435</v>
      </c>
      <c r="H2767" s="1" t="str">
        <f ca="1">IFERROR(__xludf.DUMMYFUNCTION("""COMPUTED_VALUE"""),"MTLSZ002435A13")</f>
        <v>MTLSZ002435A13</v>
      </c>
      <c r="I2767" s="2">
        <f ca="1">IFERROR(__xludf.DUMMYFUNCTION("""COMPUTED_VALUE"""),41592)</f>
        <v>41592</v>
      </c>
      <c r="J2767" s="2">
        <f ca="1">IFERROR(__xludf.DUMMYFUNCTION("""COMPUTED_VALUE"""),41936)</f>
        <v>41936</v>
      </c>
    </row>
    <row r="2768" spans="1:10" x14ac:dyDescent="0.25">
      <c r="A2768" s="1" t="str">
        <f ca="1">IFERROR(__xludf.DUMMYFUNCTION("""COMPUTED_VALUE"""),"FBSE")</f>
        <v>FBSE</v>
      </c>
      <c r="B2768" s="1" t="str">
        <f ca="1">IFERROR(__xludf.DUMMYFUNCTION("""COMPUTED_VALUE"""),"Őry Szilveszter")</f>
        <v>Őry Szilveszter</v>
      </c>
      <c r="C2768" s="1"/>
      <c r="D2768" s="1" t="str">
        <f ca="1">IFERROR(__xludf.DUMMYFUNCTION("""COMPUTED_VALUE"""),"Férfi")</f>
        <v>Férfi</v>
      </c>
      <c r="E2768" s="1"/>
      <c r="F2768" s="1">
        <f ca="1">IFERROR(__xludf.DUMMYFUNCTION("""COMPUTED_VALUE"""),1997)</f>
        <v>1997</v>
      </c>
      <c r="G2768" s="1">
        <f ca="1">IFERROR(__xludf.DUMMYFUNCTION("""COMPUTED_VALUE"""),2401)</f>
        <v>2401</v>
      </c>
      <c r="H2768" s="1" t="str">
        <f ca="1">IFERROR(__xludf.DUMMYFUNCTION("""COMPUTED_VALUE"""),"MTLSZ002401A13")</f>
        <v>MTLSZ002401A13</v>
      </c>
      <c r="I2768" s="2">
        <f ca="1">IFERROR(__xludf.DUMMYFUNCTION("""COMPUTED_VALUE"""),41572)</f>
        <v>41572</v>
      </c>
      <c r="J2768" s="2">
        <f ca="1">IFERROR(__xludf.DUMMYFUNCTION("""COMPUTED_VALUE"""),41936)</f>
        <v>41936</v>
      </c>
    </row>
    <row r="2769" spans="1:10" x14ac:dyDescent="0.25">
      <c r="A2769" s="1" t="str">
        <f ca="1">IFERROR(__xludf.DUMMYFUNCTION("""COMPUTED_VALUE"""),"Multi Alarm SE")</f>
        <v>Multi Alarm SE</v>
      </c>
      <c r="B2769" s="1" t="str">
        <f ca="1">IFERROR(__xludf.DUMMYFUNCTION("""COMPUTED_VALUE"""),"Benkő Bernadett")</f>
        <v>Benkő Bernadett</v>
      </c>
      <c r="C2769" s="1"/>
      <c r="D2769" s="1" t="str">
        <f ca="1">IFERROR(__xludf.DUMMYFUNCTION("""COMPUTED_VALUE"""),"Nő")</f>
        <v>Nő</v>
      </c>
      <c r="E2769" s="1"/>
      <c r="F2769" s="1">
        <f ca="1">IFERROR(__xludf.DUMMYFUNCTION("""COMPUTED_VALUE"""),2001)</f>
        <v>2001</v>
      </c>
      <c r="G2769" s="1">
        <f ca="1">IFERROR(__xludf.DUMMYFUNCTION("""COMPUTED_VALUE"""),2546)</f>
        <v>2546</v>
      </c>
      <c r="H2769" s="1" t="str">
        <f ca="1">IFERROR(__xludf.DUMMYFUNCTION("""COMPUTED_VALUE"""),"MTLSZ002546A13")</f>
        <v>MTLSZ002546A13</v>
      </c>
      <c r="I2769" s="2">
        <f ca="1">IFERROR(__xludf.DUMMYFUNCTION("""COMPUTED_VALUE"""),41565)</f>
        <v>41565</v>
      </c>
      <c r="J2769" s="2">
        <f ca="1">IFERROR(__xludf.DUMMYFUNCTION("""COMPUTED_VALUE"""),41929)</f>
        <v>41929</v>
      </c>
    </row>
    <row r="2770" spans="1:10" x14ac:dyDescent="0.25">
      <c r="A2770" s="1" t="str">
        <f ca="1">IFERROR(__xludf.DUMMYFUNCTION("""COMPUTED_VALUE"""),"Multi Alarm SE")</f>
        <v>Multi Alarm SE</v>
      </c>
      <c r="B2770" s="1" t="str">
        <f ca="1">IFERROR(__xludf.DUMMYFUNCTION("""COMPUTED_VALUE"""),"Benkő Csaba")</f>
        <v>Benkő Csaba</v>
      </c>
      <c r="C2770" s="1"/>
      <c r="D2770" s="1" t="str">
        <f ca="1">IFERROR(__xludf.DUMMYFUNCTION("""COMPUTED_VALUE"""),"Férfi")</f>
        <v>Férfi</v>
      </c>
      <c r="E2770" s="1"/>
      <c r="F2770" s="1">
        <f ca="1">IFERROR(__xludf.DUMMYFUNCTION("""COMPUTED_VALUE"""),1997)</f>
        <v>1997</v>
      </c>
      <c r="G2770" s="1">
        <f ca="1">IFERROR(__xludf.DUMMYFUNCTION("""COMPUTED_VALUE"""),2051)</f>
        <v>2051</v>
      </c>
      <c r="H2770" s="1" t="str">
        <f ca="1">IFERROR(__xludf.DUMMYFUNCTION("""COMPUTED_VALUE"""),"MTLSZ002051A13")</f>
        <v>MTLSZ002051A13</v>
      </c>
      <c r="I2770" s="2">
        <f ca="1">IFERROR(__xludf.DUMMYFUNCTION("""COMPUTED_VALUE"""),41565)</f>
        <v>41565</v>
      </c>
      <c r="J2770" s="2">
        <f ca="1">IFERROR(__xludf.DUMMYFUNCTION("""COMPUTED_VALUE"""),41929)</f>
        <v>41929</v>
      </c>
    </row>
    <row r="2771" spans="1:10" x14ac:dyDescent="0.25">
      <c r="A2771" s="1" t="str">
        <f ca="1">IFERROR(__xludf.DUMMYFUNCTION("""COMPUTED_VALUE"""),"MAFC")</f>
        <v>MAFC</v>
      </c>
      <c r="B2771" s="1" t="str">
        <f ca="1">IFERROR(__xludf.DUMMYFUNCTION("""COMPUTED_VALUE"""),"Szőnyi András dr.")</f>
        <v>Szőnyi András dr.</v>
      </c>
      <c r="C2771" s="1"/>
      <c r="D2771" s="1" t="str">
        <f ca="1">IFERROR(__xludf.DUMMYFUNCTION("""COMPUTED_VALUE"""),"Férfi")</f>
        <v>Férfi</v>
      </c>
      <c r="E2771" s="1"/>
      <c r="F2771" s="1">
        <f ca="1">IFERROR(__xludf.DUMMYFUNCTION("""COMPUTED_VALUE"""),1988)</f>
        <v>1988</v>
      </c>
      <c r="G2771" s="1">
        <f ca="1">IFERROR(__xludf.DUMMYFUNCTION("""COMPUTED_VALUE"""),2263)</f>
        <v>2263</v>
      </c>
      <c r="H2771" s="1" t="str">
        <f ca="1">IFERROR(__xludf.DUMMYFUNCTION("""COMPUTED_VALUE"""),"MTLSZ002263A13")</f>
        <v>MTLSZ002263A13</v>
      </c>
      <c r="I2771" s="2">
        <f ca="1">IFERROR(__xludf.DUMMYFUNCTION("""COMPUTED_VALUE"""),41564)</f>
        <v>41564</v>
      </c>
      <c r="J2771" s="2">
        <f ca="1">IFERROR(__xludf.DUMMYFUNCTION("""COMPUTED_VALUE"""),41928)</f>
        <v>41928</v>
      </c>
    </row>
    <row r="2772" spans="1:10" x14ac:dyDescent="0.25">
      <c r="A2772" s="1" t="str">
        <f ca="1">IFERROR(__xludf.DUMMYFUNCTION("""COMPUTED_VALUE"""),"Reac SE")</f>
        <v>Reac SE</v>
      </c>
      <c r="B2772" s="1" t="str">
        <f ca="1">IFERROR(__xludf.DUMMYFUNCTION("""COMPUTED_VALUE"""),"Szigetvári Márton")</f>
        <v>Szigetvári Márton</v>
      </c>
      <c r="C2772" s="1"/>
      <c r="D2772" s="1" t="str">
        <f ca="1">IFERROR(__xludf.DUMMYFUNCTION("""COMPUTED_VALUE"""),"Férfi")</f>
        <v>Férfi</v>
      </c>
      <c r="E2772" s="1"/>
      <c r="F2772" s="1">
        <f ca="1">IFERROR(__xludf.DUMMYFUNCTION("""COMPUTED_VALUE"""),1997)</f>
        <v>1997</v>
      </c>
      <c r="G2772" s="1">
        <f ca="1">IFERROR(__xludf.DUMMYFUNCTION("""COMPUTED_VALUE"""),2268)</f>
        <v>2268</v>
      </c>
      <c r="H2772" s="1" t="str">
        <f ca="1">IFERROR(__xludf.DUMMYFUNCTION("""COMPUTED_VALUE"""),"MTLSZ002268A13")</f>
        <v>MTLSZ002268A13</v>
      </c>
      <c r="I2772" s="2">
        <f ca="1">IFERROR(__xludf.DUMMYFUNCTION("""COMPUTED_VALUE"""),41564)</f>
        <v>41564</v>
      </c>
      <c r="J2772" s="2">
        <f ca="1">IFERROR(__xludf.DUMMYFUNCTION("""COMPUTED_VALUE"""),41928)</f>
        <v>41928</v>
      </c>
    </row>
    <row r="2773" spans="1:10" x14ac:dyDescent="0.25">
      <c r="A2773" s="1" t="str">
        <f ca="1">IFERROR(__xludf.DUMMYFUNCTION("""COMPUTED_VALUE"""),"Győri TSE")</f>
        <v>Győri TSE</v>
      </c>
      <c r="B2773" s="1" t="str">
        <f ca="1">IFERROR(__xludf.DUMMYFUNCTION("""COMPUTED_VALUE"""),"Takács-Radó Dorottya")</f>
        <v>Takács-Radó Dorottya</v>
      </c>
      <c r="C2773" s="1"/>
      <c r="D2773" s="1" t="str">
        <f ca="1">IFERROR(__xludf.DUMMYFUNCTION("""COMPUTED_VALUE"""),"Nő")</f>
        <v>Nő</v>
      </c>
      <c r="E2773" s="1"/>
      <c r="F2773" s="1">
        <f ca="1">IFERROR(__xludf.DUMMYFUNCTION("""COMPUTED_VALUE"""),1990)</f>
        <v>1990</v>
      </c>
      <c r="G2773" s="1">
        <f ca="1">IFERROR(__xludf.DUMMYFUNCTION("""COMPUTED_VALUE"""),797)</f>
        <v>797</v>
      </c>
      <c r="H2773" s="1" t="str">
        <f ca="1">IFERROR(__xludf.DUMMYFUNCTION("""COMPUTED_VALUE"""),"MTLSZ000797A13")</f>
        <v>MTLSZ000797A13</v>
      </c>
      <c r="I2773" s="2">
        <f ca="1">IFERROR(__xludf.DUMMYFUNCTION("""COMPUTED_VALUE"""),41562)</f>
        <v>41562</v>
      </c>
      <c r="J2773" s="2">
        <f ca="1">IFERROR(__xludf.DUMMYFUNCTION("""COMPUTED_VALUE"""),41926)</f>
        <v>41926</v>
      </c>
    </row>
    <row r="2774" spans="1:10" x14ac:dyDescent="0.25">
      <c r="A2774" s="1" t="str">
        <f ca="1">IFERROR(__xludf.DUMMYFUNCTION("""COMPUTED_VALUE"""),"Pedagógus Fáklya SE")</f>
        <v>Pedagógus Fáklya SE</v>
      </c>
      <c r="B2774" s="1" t="str">
        <f ca="1">IFERROR(__xludf.DUMMYFUNCTION("""COMPUTED_VALUE"""),"Némethy Klaudia")</f>
        <v>Némethy Klaudia</v>
      </c>
      <c r="C2774" s="1"/>
      <c r="D2774" s="1" t="str">
        <f ca="1">IFERROR(__xludf.DUMMYFUNCTION("""COMPUTED_VALUE"""),"Nő")</f>
        <v>Nő</v>
      </c>
      <c r="E2774" s="1"/>
      <c r="F2774" s="1">
        <f ca="1">IFERROR(__xludf.DUMMYFUNCTION("""COMPUTED_VALUE"""),1998)</f>
        <v>1998</v>
      </c>
      <c r="G2774" s="1">
        <f ca="1">IFERROR(__xludf.DUMMYFUNCTION("""COMPUTED_VALUE"""),1846)</f>
        <v>1846</v>
      </c>
      <c r="H2774" s="1" t="str">
        <f ca="1">IFERROR(__xludf.DUMMYFUNCTION("""COMPUTED_VALUE"""),"MTLSZ001846A13")</f>
        <v>MTLSZ001846A13</v>
      </c>
      <c r="I2774" s="2">
        <f ca="1">IFERROR(__xludf.DUMMYFUNCTION("""COMPUTED_VALUE"""),41562)</f>
        <v>41562</v>
      </c>
      <c r="J2774" s="2">
        <f ca="1">IFERROR(__xludf.DUMMYFUNCTION("""COMPUTED_VALUE"""),41926)</f>
        <v>41926</v>
      </c>
    </row>
    <row r="2775" spans="1:10" x14ac:dyDescent="0.25">
      <c r="A2775" s="1" t="str">
        <f ca="1">IFERROR(__xludf.DUMMYFUNCTION("""COMPUTED_VALUE"""),"Pedagógus Fáklya SE")</f>
        <v>Pedagógus Fáklya SE</v>
      </c>
      <c r="B2775" s="1" t="str">
        <f ca="1">IFERROR(__xludf.DUMMYFUNCTION("""COMPUTED_VALUE"""),"Till Virág")</f>
        <v>Till Virág</v>
      </c>
      <c r="C2775" s="1"/>
      <c r="D2775" s="1" t="str">
        <f ca="1">IFERROR(__xludf.DUMMYFUNCTION("""COMPUTED_VALUE"""),"Nő")</f>
        <v>Nő</v>
      </c>
      <c r="E2775" s="1"/>
      <c r="F2775" s="1">
        <f ca="1">IFERROR(__xludf.DUMMYFUNCTION("""COMPUTED_VALUE"""),2000)</f>
        <v>2000</v>
      </c>
      <c r="G2775" s="1">
        <f ca="1">IFERROR(__xludf.DUMMYFUNCTION("""COMPUTED_VALUE"""),2409)</f>
        <v>2409</v>
      </c>
      <c r="H2775" s="1" t="str">
        <f ca="1">IFERROR(__xludf.DUMMYFUNCTION("""COMPUTED_VALUE"""),"MTLSZ002409A13")</f>
        <v>MTLSZ002409A13</v>
      </c>
      <c r="I2775" s="2">
        <f ca="1">IFERROR(__xludf.DUMMYFUNCTION("""COMPUTED_VALUE"""),41562)</f>
        <v>41562</v>
      </c>
      <c r="J2775" s="2">
        <f ca="1">IFERROR(__xludf.DUMMYFUNCTION("""COMPUTED_VALUE"""),41926)</f>
        <v>41926</v>
      </c>
    </row>
    <row r="2776" spans="1:10" x14ac:dyDescent="0.25">
      <c r="A2776" s="1" t="str">
        <f ca="1">IFERROR(__xludf.DUMMYFUNCTION("""COMPUTED_VALUE"""),"Szegedi TSE")</f>
        <v>Szegedi TSE</v>
      </c>
      <c r="B2776" s="1" t="str">
        <f ca="1">IFERROR(__xludf.DUMMYFUNCTION("""COMPUTED_VALUE"""),"Kiss Diána")</f>
        <v>Kiss Diána</v>
      </c>
      <c r="C2776" s="1"/>
      <c r="D2776" s="1" t="str">
        <f ca="1">IFERROR(__xludf.DUMMYFUNCTION("""COMPUTED_VALUE"""),"Nő")</f>
        <v>Nő</v>
      </c>
      <c r="E2776" s="1"/>
      <c r="F2776" s="1">
        <f ca="1">IFERROR(__xludf.DUMMYFUNCTION("""COMPUTED_VALUE"""),1994)</f>
        <v>1994</v>
      </c>
      <c r="G2776" s="1">
        <f ca="1">IFERROR(__xludf.DUMMYFUNCTION("""COMPUTED_VALUE"""),2545)</f>
        <v>2545</v>
      </c>
      <c r="H2776" s="1" t="str">
        <f ca="1">IFERROR(__xludf.DUMMYFUNCTION("""COMPUTED_VALUE"""),"MTLSZ002545A13")</f>
        <v>MTLSZ002545A13</v>
      </c>
      <c r="I2776" s="2">
        <f ca="1">IFERROR(__xludf.DUMMYFUNCTION("""COMPUTED_VALUE"""),41562)</f>
        <v>41562</v>
      </c>
      <c r="J2776" s="2">
        <f ca="1">IFERROR(__xludf.DUMMYFUNCTION("""COMPUTED_VALUE"""),41926)</f>
        <v>41926</v>
      </c>
    </row>
    <row r="2777" spans="1:10" x14ac:dyDescent="0.25">
      <c r="A2777" s="1" t="str">
        <f ca="1">IFERROR(__xludf.DUMMYFUNCTION("""COMPUTED_VALUE"""),"BEAC")</f>
        <v>BEAC</v>
      </c>
      <c r="B2777" s="1" t="str">
        <f ca="1">IFERROR(__xludf.DUMMYFUNCTION("""COMPUTED_VALUE"""),"Pennel Fannie")</f>
        <v>Pennel Fannie</v>
      </c>
      <c r="C2777" s="1"/>
      <c r="D2777" s="1" t="str">
        <f ca="1">IFERROR(__xludf.DUMMYFUNCTION("""COMPUTED_VALUE"""),"Nő")</f>
        <v>Nő</v>
      </c>
      <c r="E2777" s="1"/>
      <c r="F2777" s="1">
        <f ca="1">IFERROR(__xludf.DUMMYFUNCTION("""COMPUTED_VALUE"""),1992)</f>
        <v>1992</v>
      </c>
      <c r="G2777" s="1">
        <f ca="1">IFERROR(__xludf.DUMMYFUNCTION("""COMPUTED_VALUE"""),2543)</f>
        <v>2543</v>
      </c>
      <c r="H2777" s="1" t="str">
        <f ca="1">IFERROR(__xludf.DUMMYFUNCTION("""COMPUTED_VALUE"""),"MTLSZ002543A13")</f>
        <v>MTLSZ002543A13</v>
      </c>
      <c r="I2777" s="2">
        <f ca="1">IFERROR(__xludf.DUMMYFUNCTION("""COMPUTED_VALUE"""),41558)</f>
        <v>41558</v>
      </c>
      <c r="J2777" s="2">
        <f ca="1">IFERROR(__xludf.DUMMYFUNCTION("""COMPUTED_VALUE"""),41922)</f>
        <v>41922</v>
      </c>
    </row>
    <row r="2778" spans="1:10" x14ac:dyDescent="0.25">
      <c r="A2778" s="1" t="str">
        <f ca="1">IFERROR(__xludf.DUMMYFUNCTION("""COMPUTED_VALUE"""),"Seregélyesi PDSE")</f>
        <v>Seregélyesi PDSE</v>
      </c>
      <c r="B2778" s="1" t="str">
        <f ca="1">IFERROR(__xludf.DUMMYFUNCTION("""COMPUTED_VALUE"""),"Pánczél Zoltán")</f>
        <v>Pánczél Zoltán</v>
      </c>
      <c r="C2778" s="1"/>
      <c r="D2778" s="1" t="str">
        <f ca="1">IFERROR(__xludf.DUMMYFUNCTION("""COMPUTED_VALUE"""),"Férfi")</f>
        <v>Férfi</v>
      </c>
      <c r="E2778" s="1"/>
      <c r="F2778" s="1">
        <f ca="1">IFERROR(__xludf.DUMMYFUNCTION("""COMPUTED_VALUE"""),2000)</f>
        <v>2000</v>
      </c>
      <c r="G2778" s="1">
        <f ca="1">IFERROR(__xludf.DUMMYFUNCTION("""COMPUTED_VALUE"""),1976)</f>
        <v>1976</v>
      </c>
      <c r="H2778" s="1" t="str">
        <f ca="1">IFERROR(__xludf.DUMMYFUNCTION("""COMPUTED_VALUE"""),"MTLSZ001976A13")</f>
        <v>MTLSZ001976A13</v>
      </c>
      <c r="I2778" s="2">
        <f ca="1">IFERROR(__xludf.DUMMYFUNCTION("""COMPUTED_VALUE"""),41557)</f>
        <v>41557</v>
      </c>
      <c r="J2778" s="2">
        <f ca="1">IFERROR(__xludf.DUMMYFUNCTION("""COMPUTED_VALUE"""),41921)</f>
        <v>41921</v>
      </c>
    </row>
    <row r="2779" spans="1:10" x14ac:dyDescent="0.25">
      <c r="A2779" s="1" t="str">
        <f ca="1">IFERROR(__xludf.DUMMYFUNCTION("""COMPUTED_VALUE"""),"FBSE")</f>
        <v>FBSE</v>
      </c>
      <c r="B2779" s="1" t="str">
        <f ca="1">IFERROR(__xludf.DUMMYFUNCTION("""COMPUTED_VALUE"""),"Seres Viktor")</f>
        <v>Seres Viktor</v>
      </c>
      <c r="C2779" s="1"/>
      <c r="D2779" s="1" t="str">
        <f ca="1">IFERROR(__xludf.DUMMYFUNCTION("""COMPUTED_VALUE"""),"Férfi")</f>
        <v>Férfi</v>
      </c>
      <c r="E2779" s="1"/>
      <c r="F2779" s="1">
        <f ca="1">IFERROR(__xludf.DUMMYFUNCTION("""COMPUTED_VALUE"""),1986)</f>
        <v>1986</v>
      </c>
      <c r="G2779" s="1">
        <f ca="1">IFERROR(__xludf.DUMMYFUNCTION("""COMPUTED_VALUE"""),850)</f>
        <v>850</v>
      </c>
      <c r="H2779" s="1" t="str">
        <f ca="1">IFERROR(__xludf.DUMMYFUNCTION("""COMPUTED_VALUE"""),"MTLSZ000850A13")</f>
        <v>MTLSZ000850A13</v>
      </c>
      <c r="I2779" s="2">
        <f ca="1">IFERROR(__xludf.DUMMYFUNCTION("""COMPUTED_VALUE"""),41556)</f>
        <v>41556</v>
      </c>
      <c r="J2779" s="2">
        <f ca="1">IFERROR(__xludf.DUMMYFUNCTION("""COMPUTED_VALUE"""),41920)</f>
        <v>41920</v>
      </c>
    </row>
    <row r="2780" spans="1:10" x14ac:dyDescent="0.25">
      <c r="A2780" s="1" t="str">
        <f ca="1">IFERROR(__xludf.DUMMYFUNCTION("""COMPUTED_VALUE"""),"Keszthelyi TE")</f>
        <v>Keszthelyi TE</v>
      </c>
      <c r="B2780" s="1" t="str">
        <f ca="1">IFERROR(__xludf.DUMMYFUNCTION("""COMPUTED_VALUE"""),"Meszlényiné Szabó Judit")</f>
        <v>Meszlényiné Szabó Judit</v>
      </c>
      <c r="C2780" s="1"/>
      <c r="D2780" s="1" t="str">
        <f ca="1">IFERROR(__xludf.DUMMYFUNCTION("""COMPUTED_VALUE"""),"Nő")</f>
        <v>Nő</v>
      </c>
      <c r="E2780" s="1"/>
      <c r="F2780" s="1">
        <f ca="1">IFERROR(__xludf.DUMMYFUNCTION("""COMPUTED_VALUE"""),1965)</f>
        <v>1965</v>
      </c>
      <c r="G2780" s="1">
        <f ca="1">IFERROR(__xludf.DUMMYFUNCTION("""COMPUTED_VALUE"""),2457)</f>
        <v>2457</v>
      </c>
      <c r="H2780" s="1" t="str">
        <f ca="1">IFERROR(__xludf.DUMMYFUNCTION("""COMPUTED_VALUE"""),"MTLSZ002457A13")</f>
        <v>MTLSZ002457A13</v>
      </c>
      <c r="I2780" s="2">
        <f ca="1">IFERROR(__xludf.DUMMYFUNCTION("""COMPUTED_VALUE"""),41556)</f>
        <v>41556</v>
      </c>
      <c r="J2780" s="2">
        <f ca="1">IFERROR(__xludf.DUMMYFUNCTION("""COMPUTED_VALUE"""),41920)</f>
        <v>41920</v>
      </c>
    </row>
    <row r="2781" spans="1:10" x14ac:dyDescent="0.25">
      <c r="A2781" s="1" t="str">
        <f ca="1">IFERROR(__xludf.DUMMYFUNCTION("""COMPUTED_VALUE"""),"Keszthelyi TE")</f>
        <v>Keszthelyi TE</v>
      </c>
      <c r="B2781" s="1" t="str">
        <f ca="1">IFERROR(__xludf.DUMMYFUNCTION("""COMPUTED_VALUE"""),"Obert Nóra")</f>
        <v>Obert Nóra</v>
      </c>
      <c r="C2781" s="1"/>
      <c r="D2781" s="1" t="str">
        <f ca="1">IFERROR(__xludf.DUMMYFUNCTION("""COMPUTED_VALUE"""),"Nő")</f>
        <v>Nő</v>
      </c>
      <c r="E2781" s="1"/>
      <c r="F2781" s="1">
        <f ca="1">IFERROR(__xludf.DUMMYFUNCTION("""COMPUTED_VALUE"""),1990)</f>
        <v>1990</v>
      </c>
      <c r="G2781" s="1">
        <f ca="1">IFERROR(__xludf.DUMMYFUNCTION("""COMPUTED_VALUE"""),2534)</f>
        <v>2534</v>
      </c>
      <c r="H2781" s="1" t="str">
        <f ca="1">IFERROR(__xludf.DUMMYFUNCTION("""COMPUTED_VALUE"""),"MTLSZ002534A13")</f>
        <v>MTLSZ002534A13</v>
      </c>
      <c r="I2781" s="2">
        <f ca="1">IFERROR(__xludf.DUMMYFUNCTION("""COMPUTED_VALUE"""),41556)</f>
        <v>41556</v>
      </c>
      <c r="J2781" s="2">
        <f ca="1">IFERROR(__xludf.DUMMYFUNCTION("""COMPUTED_VALUE"""),41920)</f>
        <v>41920</v>
      </c>
    </row>
    <row r="2782" spans="1:10" x14ac:dyDescent="0.25">
      <c r="A2782" s="1" t="str">
        <f ca="1">IFERROR(__xludf.DUMMYFUNCTION("""COMPUTED_VALUE"""),"Pedagógus Fáklya SE")</f>
        <v>Pedagógus Fáklya SE</v>
      </c>
      <c r="B2782" s="1" t="str">
        <f ca="1">IFERROR(__xludf.DUMMYFUNCTION("""COMPUTED_VALUE"""),"Joó Balázs")</f>
        <v>Joó Balázs</v>
      </c>
      <c r="C2782" s="1"/>
      <c r="D2782" s="1" t="str">
        <f ca="1">IFERROR(__xludf.DUMMYFUNCTION("""COMPUTED_VALUE"""),"Férfi")</f>
        <v>Férfi</v>
      </c>
      <c r="E2782" s="1"/>
      <c r="F2782" s="1">
        <f ca="1">IFERROR(__xludf.DUMMYFUNCTION("""COMPUTED_VALUE"""),1998)</f>
        <v>1998</v>
      </c>
      <c r="G2782" s="1">
        <f ca="1">IFERROR(__xludf.DUMMYFUNCTION("""COMPUTED_VALUE"""),2277)</f>
        <v>2277</v>
      </c>
      <c r="H2782" s="1" t="str">
        <f ca="1">IFERROR(__xludf.DUMMYFUNCTION("""COMPUTED_VALUE"""),"MTLSZ002277A13")</f>
        <v>MTLSZ002277A13</v>
      </c>
      <c r="I2782" s="2">
        <f ca="1">IFERROR(__xludf.DUMMYFUNCTION("""COMPUTED_VALUE"""),41556)</f>
        <v>41556</v>
      </c>
      <c r="J2782" s="2">
        <f ca="1">IFERROR(__xludf.DUMMYFUNCTION("""COMPUTED_VALUE"""),41920)</f>
        <v>41920</v>
      </c>
    </row>
    <row r="2783" spans="1:10" x14ac:dyDescent="0.25">
      <c r="A2783" s="1" t="str">
        <f ca="1">IFERROR(__xludf.DUMMYFUNCTION("""COMPUTED_VALUE"""),"Pedagógus Fáklya SE")</f>
        <v>Pedagógus Fáklya SE</v>
      </c>
      <c r="B2783" s="1" t="str">
        <f ca="1">IFERROR(__xludf.DUMMYFUNCTION("""COMPUTED_VALUE"""),"Topány Brigitta")</f>
        <v>Topány Brigitta</v>
      </c>
      <c r="C2783" s="1"/>
      <c r="D2783" s="1" t="str">
        <f ca="1">IFERROR(__xludf.DUMMYFUNCTION("""COMPUTED_VALUE"""),"Nő")</f>
        <v>Nő</v>
      </c>
      <c r="E2783" s="1"/>
      <c r="F2783" s="1">
        <f ca="1">IFERROR(__xludf.DUMMYFUNCTION("""COMPUTED_VALUE"""),1997)</f>
        <v>1997</v>
      </c>
      <c r="G2783" s="1">
        <f ca="1">IFERROR(__xludf.DUMMYFUNCTION("""COMPUTED_VALUE"""),2414)</f>
        <v>2414</v>
      </c>
      <c r="H2783" s="1" t="str">
        <f ca="1">IFERROR(__xludf.DUMMYFUNCTION("""COMPUTED_VALUE"""),"MTLSZ002414A13")</f>
        <v>MTLSZ002414A13</v>
      </c>
      <c r="I2783" s="2">
        <f ca="1">IFERROR(__xludf.DUMMYFUNCTION("""COMPUTED_VALUE"""),41556)</f>
        <v>41556</v>
      </c>
      <c r="J2783" s="2">
        <f ca="1">IFERROR(__xludf.DUMMYFUNCTION("""COMPUTED_VALUE"""),41920)</f>
        <v>41920</v>
      </c>
    </row>
    <row r="2784" spans="1:10" x14ac:dyDescent="0.25">
      <c r="A2784" s="1" t="str">
        <f ca="1">IFERROR(__xludf.DUMMYFUNCTION("""COMPUTED_VALUE"""),"HZSE")</f>
        <v>HZSE</v>
      </c>
      <c r="B2784" s="1" t="str">
        <f ca="1">IFERROR(__xludf.DUMMYFUNCTION("""COMPUTED_VALUE"""),"Gaál László")</f>
        <v>Gaál László</v>
      </c>
      <c r="C2784" s="1"/>
      <c r="D2784" s="1" t="str">
        <f ca="1">IFERROR(__xludf.DUMMYFUNCTION("""COMPUTED_VALUE"""),"Férfi")</f>
        <v>Férfi</v>
      </c>
      <c r="E2784" s="1"/>
      <c r="F2784" s="1">
        <f ca="1">IFERROR(__xludf.DUMMYFUNCTION("""COMPUTED_VALUE"""),1984)</f>
        <v>1984</v>
      </c>
      <c r="G2784" s="1">
        <f ca="1">IFERROR(__xludf.DUMMYFUNCTION("""COMPUTED_VALUE"""),272)</f>
        <v>272</v>
      </c>
      <c r="H2784" s="1" t="str">
        <f ca="1">IFERROR(__xludf.DUMMYFUNCTION("""COMPUTED_VALUE"""),"MTLSZ000272A13")</f>
        <v>MTLSZ000272A13</v>
      </c>
      <c r="I2784" s="2">
        <f ca="1">IFERROR(__xludf.DUMMYFUNCTION("""COMPUTED_VALUE"""),41549)</f>
        <v>41549</v>
      </c>
      <c r="J2784" s="2">
        <f ca="1">IFERROR(__xludf.DUMMYFUNCTION("""COMPUTED_VALUE"""),41913)</f>
        <v>41913</v>
      </c>
    </row>
    <row r="2785" spans="1:10" x14ac:dyDescent="0.25">
      <c r="A2785" s="1" t="str">
        <f ca="1">IFERROR(__xludf.DUMMYFUNCTION("""COMPUTED_VALUE"""),"Klébi DSE")</f>
        <v>Klébi DSE</v>
      </c>
      <c r="B2785" s="1" t="str">
        <f ca="1">IFERROR(__xludf.DUMMYFUNCTION("""COMPUTED_VALUE"""),"Horváth Botond")</f>
        <v>Horváth Botond</v>
      </c>
      <c r="C2785" s="1"/>
      <c r="D2785" s="1" t="str">
        <f ca="1">IFERROR(__xludf.DUMMYFUNCTION("""COMPUTED_VALUE"""),"Férfi")</f>
        <v>Férfi</v>
      </c>
      <c r="E2785" s="1"/>
      <c r="F2785" s="1">
        <f ca="1">IFERROR(__xludf.DUMMYFUNCTION("""COMPUTED_VALUE"""),2000)</f>
        <v>2000</v>
      </c>
      <c r="G2785" s="1">
        <f ca="1">IFERROR(__xludf.DUMMYFUNCTION("""COMPUTED_VALUE"""),2250)</f>
        <v>2250</v>
      </c>
      <c r="H2785" s="1" t="str">
        <f ca="1">IFERROR(__xludf.DUMMYFUNCTION("""COMPUTED_VALUE"""),"MTLSZ002250A13")</f>
        <v>MTLSZ002250A13</v>
      </c>
      <c r="I2785" s="2">
        <f ca="1">IFERROR(__xludf.DUMMYFUNCTION("""COMPUTED_VALUE"""),41544)</f>
        <v>41544</v>
      </c>
      <c r="J2785" s="2">
        <f ca="1">IFERROR(__xludf.DUMMYFUNCTION("""COMPUTED_VALUE"""),41908)</f>
        <v>41908</v>
      </c>
    </row>
    <row r="2786" spans="1:10" x14ac:dyDescent="0.25">
      <c r="A2786" s="1" t="str">
        <f ca="1">IFERROR(__xludf.DUMMYFUNCTION("""COMPUTED_VALUE"""),"Klébi DSE")</f>
        <v>Klébi DSE</v>
      </c>
      <c r="B2786" s="1" t="str">
        <f ca="1">IFERROR(__xludf.DUMMYFUNCTION("""COMPUTED_VALUE"""),"Vincze Balázs")</f>
        <v>Vincze Balázs</v>
      </c>
      <c r="C2786" s="1"/>
      <c r="D2786" s="1" t="str">
        <f ca="1">IFERROR(__xludf.DUMMYFUNCTION("""COMPUTED_VALUE"""),"Férfi")</f>
        <v>Férfi</v>
      </c>
      <c r="E2786" s="1"/>
      <c r="F2786" s="1">
        <f ca="1">IFERROR(__xludf.DUMMYFUNCTION("""COMPUTED_VALUE"""),1998)</f>
        <v>1998</v>
      </c>
      <c r="G2786" s="1">
        <f ca="1">IFERROR(__xludf.DUMMYFUNCTION("""COMPUTED_VALUE"""),1935)</f>
        <v>1935</v>
      </c>
      <c r="H2786" s="1" t="str">
        <f ca="1">IFERROR(__xludf.DUMMYFUNCTION("""COMPUTED_VALUE"""),"MTLSZ001935A13")</f>
        <v>MTLSZ001935A13</v>
      </c>
      <c r="I2786" s="2">
        <f ca="1">IFERROR(__xludf.DUMMYFUNCTION("""COMPUTED_VALUE"""),41544)</f>
        <v>41544</v>
      </c>
      <c r="J2786" s="2">
        <f ca="1">IFERROR(__xludf.DUMMYFUNCTION("""COMPUTED_VALUE"""),41908)</f>
        <v>41908</v>
      </c>
    </row>
    <row r="2787" spans="1:10" x14ac:dyDescent="0.25">
      <c r="A2787" s="1" t="str">
        <f ca="1">IFERROR(__xludf.DUMMYFUNCTION("""COMPUTED_VALUE"""),"Klébi DSE")</f>
        <v>Klébi DSE</v>
      </c>
      <c r="B2787" s="1" t="str">
        <f ca="1">IFERROR(__xludf.DUMMYFUNCTION("""COMPUTED_VALUE"""),"Altsach Balázs")</f>
        <v>Altsach Balázs</v>
      </c>
      <c r="C2787" s="1"/>
      <c r="D2787" s="1" t="str">
        <f ca="1">IFERROR(__xludf.DUMMYFUNCTION("""COMPUTED_VALUE"""),"Férfi")</f>
        <v>Férfi</v>
      </c>
      <c r="E2787" s="1"/>
      <c r="F2787" s="1">
        <f ca="1">IFERROR(__xludf.DUMMYFUNCTION("""COMPUTED_VALUE"""),1998)</f>
        <v>1998</v>
      </c>
      <c r="G2787" s="1">
        <f ca="1">IFERROR(__xludf.DUMMYFUNCTION("""COMPUTED_VALUE"""),2253)</f>
        <v>2253</v>
      </c>
      <c r="H2787" s="1" t="str">
        <f ca="1">IFERROR(__xludf.DUMMYFUNCTION("""COMPUTED_VALUE"""),"MTLSZ002253A13")</f>
        <v>MTLSZ002253A13</v>
      </c>
      <c r="I2787" s="2">
        <f ca="1">IFERROR(__xludf.DUMMYFUNCTION("""COMPUTED_VALUE"""),41542)</f>
        <v>41542</v>
      </c>
      <c r="J2787" s="2">
        <f ca="1">IFERROR(__xludf.DUMMYFUNCTION("""COMPUTED_VALUE"""),41906)</f>
        <v>41906</v>
      </c>
    </row>
    <row r="2788" spans="1:10" x14ac:dyDescent="0.25">
      <c r="A2788" s="1" t="str">
        <f ca="1">IFERROR(__xludf.DUMMYFUNCTION("""COMPUTED_VALUE"""),"Bodajki TSE")</f>
        <v>Bodajki TSE</v>
      </c>
      <c r="B2788" s="1" t="str">
        <f ca="1">IFERROR(__xludf.DUMMYFUNCTION("""COMPUTED_VALUE"""),"Kovács Dóra")</f>
        <v>Kovács Dóra</v>
      </c>
      <c r="C2788" s="1"/>
      <c r="D2788" s="1" t="str">
        <f ca="1">IFERROR(__xludf.DUMMYFUNCTION("""COMPUTED_VALUE"""),"Nő")</f>
        <v>Nő</v>
      </c>
      <c r="E2788" s="1"/>
      <c r="F2788" s="1">
        <f ca="1">IFERROR(__xludf.DUMMYFUNCTION("""COMPUTED_VALUE"""),1986)</f>
        <v>1986</v>
      </c>
      <c r="G2788" s="1">
        <f ca="1">IFERROR(__xludf.DUMMYFUNCTION("""COMPUTED_VALUE"""),529)</f>
        <v>529</v>
      </c>
      <c r="H2788" s="1" t="str">
        <f ca="1">IFERROR(__xludf.DUMMYFUNCTION("""COMPUTED_VALUE"""),"MTLSZ000529A13")</f>
        <v>MTLSZ000529A13</v>
      </c>
      <c r="I2788" s="2">
        <f ca="1">IFERROR(__xludf.DUMMYFUNCTION("""COMPUTED_VALUE"""),41541)</f>
        <v>41541</v>
      </c>
      <c r="J2788" s="2">
        <f ca="1">IFERROR(__xludf.DUMMYFUNCTION("""COMPUTED_VALUE"""),41905)</f>
        <v>41905</v>
      </c>
    </row>
    <row r="2789" spans="1:10" x14ac:dyDescent="0.25">
      <c r="A2789" s="1" t="str">
        <f ca="1">IFERROR(__xludf.DUMMYFUNCTION("""COMPUTED_VALUE"""),"Bodajki TSE")</f>
        <v>Bodajki TSE</v>
      </c>
      <c r="B2789" s="1" t="str">
        <f ca="1">IFERROR(__xludf.DUMMYFUNCTION("""COMPUTED_VALUE"""),"Nagy Norbert Viktor")</f>
        <v>Nagy Norbert Viktor</v>
      </c>
      <c r="C2789" s="1"/>
      <c r="D2789" s="1" t="str">
        <f ca="1">IFERROR(__xludf.DUMMYFUNCTION("""COMPUTED_VALUE"""),"Férfi")</f>
        <v>Férfi</v>
      </c>
      <c r="E2789" s="1"/>
      <c r="F2789" s="1">
        <f ca="1">IFERROR(__xludf.DUMMYFUNCTION("""COMPUTED_VALUE"""),1996)</f>
        <v>1996</v>
      </c>
      <c r="G2789" s="1">
        <f ca="1">IFERROR(__xludf.DUMMYFUNCTION("""COMPUTED_VALUE"""),2275)</f>
        <v>2275</v>
      </c>
      <c r="H2789" s="1" t="str">
        <f ca="1">IFERROR(__xludf.DUMMYFUNCTION("""COMPUTED_VALUE"""),"MTLSZ002275A13")</f>
        <v>MTLSZ002275A13</v>
      </c>
      <c r="I2789" s="2">
        <f ca="1">IFERROR(__xludf.DUMMYFUNCTION("""COMPUTED_VALUE"""),41541)</f>
        <v>41541</v>
      </c>
      <c r="J2789" s="2">
        <f ca="1">IFERROR(__xludf.DUMMYFUNCTION("""COMPUTED_VALUE"""),41905)</f>
        <v>41905</v>
      </c>
    </row>
    <row r="2790" spans="1:10" x14ac:dyDescent="0.25">
      <c r="A2790" s="1" t="str">
        <f ca="1">IFERROR(__xludf.DUMMYFUNCTION("""COMPUTED_VALUE"""),"Bodajki TSE")</f>
        <v>Bodajki TSE</v>
      </c>
      <c r="B2790" s="1" t="str">
        <f ca="1">IFERROR(__xludf.DUMMYFUNCTION("""COMPUTED_VALUE"""),"Takács Tamás")</f>
        <v>Takács Tamás</v>
      </c>
      <c r="C2790" s="1"/>
      <c r="D2790" s="1" t="str">
        <f ca="1">IFERROR(__xludf.DUMMYFUNCTION("""COMPUTED_VALUE"""),"Férfi")</f>
        <v>Férfi</v>
      </c>
      <c r="E2790" s="1"/>
      <c r="F2790" s="1">
        <f ca="1">IFERROR(__xludf.DUMMYFUNCTION("""COMPUTED_VALUE"""),1994)</f>
        <v>1994</v>
      </c>
      <c r="G2790" s="1">
        <f ca="1">IFERROR(__xludf.DUMMYFUNCTION("""COMPUTED_VALUE"""),1833)</f>
        <v>1833</v>
      </c>
      <c r="H2790" s="1" t="str">
        <f ca="1">IFERROR(__xludf.DUMMYFUNCTION("""COMPUTED_VALUE"""),"MTLSZ001833A13")</f>
        <v>MTLSZ001833A13</v>
      </c>
      <c r="I2790" s="2">
        <f ca="1">IFERROR(__xludf.DUMMYFUNCTION("""COMPUTED_VALUE"""),41541)</f>
        <v>41541</v>
      </c>
      <c r="J2790" s="2">
        <f ca="1">IFERROR(__xludf.DUMMYFUNCTION("""COMPUTED_VALUE"""),41905)</f>
        <v>41905</v>
      </c>
    </row>
    <row r="2791" spans="1:10" x14ac:dyDescent="0.25">
      <c r="A2791" s="1" t="str">
        <f ca="1">IFERROR(__xludf.DUMMYFUNCTION("""COMPUTED_VALUE"""),"FBSE")</f>
        <v>FBSE</v>
      </c>
      <c r="B2791" s="1" t="str">
        <f ca="1">IFERROR(__xludf.DUMMYFUNCTION("""COMPUTED_VALUE"""),"Szörényi Attila József")</f>
        <v>Szörényi Attila József</v>
      </c>
      <c r="C2791" s="1"/>
      <c r="D2791" s="1" t="str">
        <f ca="1">IFERROR(__xludf.DUMMYFUNCTION("""COMPUTED_VALUE"""),"Férfi")</f>
        <v>Férfi</v>
      </c>
      <c r="E2791" s="1"/>
      <c r="F2791" s="1">
        <f ca="1">IFERROR(__xludf.DUMMYFUNCTION("""COMPUTED_VALUE"""),1977)</f>
        <v>1977</v>
      </c>
      <c r="G2791" s="1">
        <f ca="1">IFERROR(__xludf.DUMMYFUNCTION("""COMPUTED_VALUE"""),1882)</f>
        <v>1882</v>
      </c>
      <c r="H2791" s="1" t="str">
        <f ca="1">IFERROR(__xludf.DUMMYFUNCTION("""COMPUTED_VALUE"""),"MTLSZ001882A13")</f>
        <v>MTLSZ001882A13</v>
      </c>
      <c r="I2791" s="2">
        <f ca="1">IFERROR(__xludf.DUMMYFUNCTION("""COMPUTED_VALUE"""),41536)</f>
        <v>41536</v>
      </c>
      <c r="J2791" s="2">
        <f ca="1">IFERROR(__xludf.DUMMYFUNCTION("""COMPUTED_VALUE"""),41900)</f>
        <v>41900</v>
      </c>
    </row>
    <row r="2792" spans="1:10" x14ac:dyDescent="0.25">
      <c r="A2792" s="1" t="str">
        <f ca="1">IFERROR(__xludf.DUMMYFUNCTION("""COMPUTED_VALUE"""),"Multi Alarm SE")</f>
        <v>Multi Alarm SE</v>
      </c>
      <c r="B2792" s="1" t="str">
        <f ca="1">IFERROR(__xludf.DUMMYFUNCTION("""COMPUTED_VALUE"""),"Solti Flóra")</f>
        <v>Solti Flóra</v>
      </c>
      <c r="C2792" s="1"/>
      <c r="D2792" s="1" t="str">
        <f ca="1">IFERROR(__xludf.DUMMYFUNCTION("""COMPUTED_VALUE"""),"Nő")</f>
        <v>Nő</v>
      </c>
      <c r="E2792" s="1"/>
      <c r="F2792" s="1">
        <f ca="1">IFERROR(__xludf.DUMMYFUNCTION("""COMPUTED_VALUE"""),1997)</f>
        <v>1997</v>
      </c>
      <c r="G2792" s="1">
        <f ca="1">IFERROR(__xludf.DUMMYFUNCTION("""COMPUTED_VALUE"""),2260)</f>
        <v>2260</v>
      </c>
      <c r="H2792" s="1" t="str">
        <f ca="1">IFERROR(__xludf.DUMMYFUNCTION("""COMPUTED_VALUE"""),"MTLSZ002260A13")</f>
        <v>MTLSZ002260A13</v>
      </c>
      <c r="I2792" s="2">
        <f ca="1">IFERROR(__xludf.DUMMYFUNCTION("""COMPUTED_VALUE"""),41544)</f>
        <v>41544</v>
      </c>
      <c r="J2792" s="2">
        <f ca="1">IFERROR(__xludf.DUMMYFUNCTION("""COMPUTED_VALUE"""),41894)</f>
        <v>41894</v>
      </c>
    </row>
    <row r="2793" spans="1:10" x14ac:dyDescent="0.25">
      <c r="A2793" s="1" t="str">
        <f ca="1">IFERROR(__xludf.DUMMYFUNCTION("""COMPUTED_VALUE"""),"Multi Alarm SE")</f>
        <v>Multi Alarm SE</v>
      </c>
      <c r="B2793" s="1" t="str">
        <f ca="1">IFERROR(__xludf.DUMMYFUNCTION("""COMPUTED_VALUE"""),"Pavlinic Maja")</f>
        <v>Pavlinic Maja</v>
      </c>
      <c r="C2793" s="1"/>
      <c r="D2793" s="1" t="str">
        <f ca="1">IFERROR(__xludf.DUMMYFUNCTION("""COMPUTED_VALUE"""),"Nő")</f>
        <v>Nő</v>
      </c>
      <c r="E2793" s="1"/>
      <c r="F2793" s="1">
        <f ca="1">IFERROR(__xludf.DUMMYFUNCTION("""COMPUTED_VALUE"""),1997)</f>
        <v>1997</v>
      </c>
      <c r="G2793" s="1">
        <f ca="1">IFERROR(__xludf.DUMMYFUNCTION("""COMPUTED_VALUE"""),2525)</f>
        <v>2525</v>
      </c>
      <c r="H2793" s="1" t="str">
        <f ca="1">IFERROR(__xludf.DUMMYFUNCTION("""COMPUTED_VALUE"""),"MTLSZ002525A13")</f>
        <v>MTLSZ002525A13</v>
      </c>
      <c r="I2793" s="2">
        <f ca="1">IFERROR(__xludf.DUMMYFUNCTION("""COMPUTED_VALUE"""),41529)</f>
        <v>41529</v>
      </c>
      <c r="J2793" s="2">
        <f ca="1">IFERROR(__xludf.DUMMYFUNCTION("""COMPUTED_VALUE"""),41893)</f>
        <v>41893</v>
      </c>
    </row>
    <row r="2794" spans="1:10" x14ac:dyDescent="0.25">
      <c r="A2794" s="1" t="str">
        <f ca="1">IFERROR(__xludf.DUMMYFUNCTION("""COMPUTED_VALUE"""),"Multi Alarm SE")</f>
        <v>Multi Alarm SE</v>
      </c>
      <c r="B2794" s="1" t="str">
        <f ca="1">IFERROR(__xludf.DUMMYFUNCTION("""COMPUTED_VALUE"""),"Csík Dóra")</f>
        <v>Csík Dóra</v>
      </c>
      <c r="C2794" s="1"/>
      <c r="D2794" s="1" t="str">
        <f ca="1">IFERROR(__xludf.DUMMYFUNCTION("""COMPUTED_VALUE"""),"Nő")</f>
        <v>Nő</v>
      </c>
      <c r="E2794" s="1"/>
      <c r="F2794" s="1">
        <f ca="1">IFERROR(__xludf.DUMMYFUNCTION("""COMPUTED_VALUE"""),1996)</f>
        <v>1996</v>
      </c>
      <c r="G2794" s="1">
        <f ca="1">IFERROR(__xludf.DUMMYFUNCTION("""COMPUTED_VALUE"""),2050)</f>
        <v>2050</v>
      </c>
      <c r="H2794" s="1" t="str">
        <f ca="1">IFERROR(__xludf.DUMMYFUNCTION("""COMPUTED_VALUE"""),"MTLSZ002050A13")</f>
        <v>MTLSZ002050A13</v>
      </c>
      <c r="I2794" s="2">
        <f ca="1">IFERROR(__xludf.DUMMYFUNCTION("""COMPUTED_VALUE"""),41523)</f>
        <v>41523</v>
      </c>
      <c r="J2794" s="2">
        <f ca="1">IFERROR(__xludf.DUMMYFUNCTION("""COMPUTED_VALUE"""),41887)</f>
        <v>41887</v>
      </c>
    </row>
    <row r="2795" spans="1:10" x14ac:dyDescent="0.25">
      <c r="A2795" s="1" t="str">
        <f ca="1">IFERROR(__xludf.DUMMYFUNCTION("""COMPUTED_VALUE"""),"Multi Alarm SE")</f>
        <v>Multi Alarm SE</v>
      </c>
      <c r="B2795" s="1" t="str">
        <f ca="1">IFERROR(__xludf.DUMMYFUNCTION("""COMPUTED_VALUE"""),"Horváth Rebeka")</f>
        <v>Horváth Rebeka</v>
      </c>
      <c r="C2795" s="1"/>
      <c r="D2795" s="1" t="str">
        <f ca="1">IFERROR(__xludf.DUMMYFUNCTION("""COMPUTED_VALUE"""),"Nő")</f>
        <v>Nő</v>
      </c>
      <c r="E2795" s="1"/>
      <c r="F2795" s="1">
        <f ca="1">IFERROR(__xludf.DUMMYFUNCTION("""COMPUTED_VALUE"""),1998)</f>
        <v>1998</v>
      </c>
      <c r="G2795" s="1">
        <f ca="1">IFERROR(__xludf.DUMMYFUNCTION("""COMPUTED_VALUE"""),2371)</f>
        <v>2371</v>
      </c>
      <c r="H2795" s="1" t="str">
        <f ca="1">IFERROR(__xludf.DUMMYFUNCTION("""COMPUTED_VALUE"""),"MTLSZ002371A13")</f>
        <v>MTLSZ002371A13</v>
      </c>
      <c r="I2795" s="2">
        <f ca="1">IFERROR(__xludf.DUMMYFUNCTION("""COMPUTED_VALUE"""),41523)</f>
        <v>41523</v>
      </c>
      <c r="J2795" s="2">
        <f ca="1">IFERROR(__xludf.DUMMYFUNCTION("""COMPUTED_VALUE"""),41887)</f>
        <v>41887</v>
      </c>
    </row>
    <row r="2796" spans="1:10" x14ac:dyDescent="0.25">
      <c r="A2796" s="1" t="str">
        <f ca="1">IFERROR(__xludf.DUMMYFUNCTION("""COMPUTED_VALUE"""),"Ságvári DSE")</f>
        <v>Ságvári DSE</v>
      </c>
      <c r="B2796" s="1" t="str">
        <f ca="1">IFERROR(__xludf.DUMMYFUNCTION("""COMPUTED_VALUE"""),"Kőműves Enikő")</f>
        <v>Kőműves Enikő</v>
      </c>
      <c r="C2796" s="1"/>
      <c r="D2796" s="1" t="str">
        <f ca="1">IFERROR(__xludf.DUMMYFUNCTION("""COMPUTED_VALUE"""),"Nő")</f>
        <v>Nő</v>
      </c>
      <c r="E2796" s="1"/>
      <c r="F2796" s="1">
        <f ca="1">IFERROR(__xludf.DUMMYFUNCTION("""COMPUTED_VALUE"""),1997)</f>
        <v>1997</v>
      </c>
      <c r="G2796" s="1">
        <f ca="1">IFERROR(__xludf.DUMMYFUNCTION("""COMPUTED_VALUE"""),2165)</f>
        <v>2165</v>
      </c>
      <c r="H2796" s="1" t="str">
        <f ca="1">IFERROR(__xludf.DUMMYFUNCTION("""COMPUTED_VALUE"""),"MTLSZ002165A13")</f>
        <v>MTLSZ002165A13</v>
      </c>
      <c r="I2796" s="2">
        <f ca="1">IFERROR(__xludf.DUMMYFUNCTION("""COMPUTED_VALUE"""),41523)</f>
        <v>41523</v>
      </c>
      <c r="J2796" s="2">
        <f ca="1">IFERROR(__xludf.DUMMYFUNCTION("""COMPUTED_VALUE"""),41887)</f>
        <v>41887</v>
      </c>
    </row>
    <row r="2797" spans="1:10" x14ac:dyDescent="0.25">
      <c r="A2797" s="1" t="str">
        <f ca="1">IFERROR(__xludf.DUMMYFUNCTION("""COMPUTED_VALUE"""),"DSC-SI")</f>
        <v>DSC-SI</v>
      </c>
      <c r="B2797" s="1" t="str">
        <f ca="1">IFERROR(__xludf.DUMMYFUNCTION("""COMPUTED_VALUE"""),"Horkai Soma")</f>
        <v>Horkai Soma</v>
      </c>
      <c r="C2797" s="1"/>
      <c r="D2797" s="1" t="str">
        <f ca="1">IFERROR(__xludf.DUMMYFUNCTION("""COMPUTED_VALUE"""),"Férfi")</f>
        <v>Férfi</v>
      </c>
      <c r="E2797" s="1"/>
      <c r="F2797" s="1">
        <f ca="1">IFERROR(__xludf.DUMMYFUNCTION("""COMPUTED_VALUE"""),1999)</f>
        <v>1999</v>
      </c>
      <c r="G2797" s="1">
        <f ca="1">IFERROR(__xludf.DUMMYFUNCTION("""COMPUTED_VALUE"""),2453)</f>
        <v>2453</v>
      </c>
      <c r="H2797" s="1" t="str">
        <f ca="1">IFERROR(__xludf.DUMMYFUNCTION("""COMPUTED_VALUE"""),"MTLSZ002453A13")</f>
        <v>MTLSZ002453A13</v>
      </c>
      <c r="I2797" s="2">
        <f ca="1">IFERROR(__xludf.DUMMYFUNCTION("""COMPUTED_VALUE"""),41522)</f>
        <v>41522</v>
      </c>
      <c r="J2797" s="2">
        <f ca="1">IFERROR(__xludf.DUMMYFUNCTION("""COMPUTED_VALUE"""),41886)</f>
        <v>41886</v>
      </c>
    </row>
    <row r="2798" spans="1:10" x14ac:dyDescent="0.25">
      <c r="A2798" s="1" t="str">
        <f ca="1">IFERROR(__xludf.DUMMYFUNCTION("""COMPUTED_VALUE"""),"DSC-SI")</f>
        <v>DSC-SI</v>
      </c>
      <c r="B2798" s="1" t="str">
        <f ca="1">IFERROR(__xludf.DUMMYFUNCTION("""COMPUTED_VALUE"""),"Kiss Ramóna")</f>
        <v>Kiss Ramóna</v>
      </c>
      <c r="C2798" s="1"/>
      <c r="D2798" s="1" t="str">
        <f ca="1">IFERROR(__xludf.DUMMYFUNCTION("""COMPUTED_VALUE"""),"Nő")</f>
        <v>Nő</v>
      </c>
      <c r="E2798" s="1"/>
      <c r="F2798" s="1">
        <f ca="1">IFERROR(__xludf.DUMMYFUNCTION("""COMPUTED_VALUE"""),1992)</f>
        <v>1992</v>
      </c>
      <c r="G2798" s="1">
        <f ca="1">IFERROR(__xludf.DUMMYFUNCTION("""COMPUTED_VALUE"""),1226)</f>
        <v>1226</v>
      </c>
      <c r="H2798" s="1" t="str">
        <f ca="1">IFERROR(__xludf.DUMMYFUNCTION("""COMPUTED_VALUE"""),"MTLSZ001226A13")</f>
        <v>MTLSZ001226A13</v>
      </c>
      <c r="I2798" s="2">
        <f ca="1">IFERROR(__xludf.DUMMYFUNCTION("""COMPUTED_VALUE"""),41522)</f>
        <v>41522</v>
      </c>
      <c r="J2798" s="2">
        <f ca="1">IFERROR(__xludf.DUMMYFUNCTION("""COMPUTED_VALUE"""),41886)</f>
        <v>41886</v>
      </c>
    </row>
    <row r="2799" spans="1:10" x14ac:dyDescent="0.25">
      <c r="A2799" s="1" t="str">
        <f ca="1">IFERROR(__xludf.DUMMYFUNCTION("""COMPUTED_VALUE"""),"DSC-SI")</f>
        <v>DSC-SI</v>
      </c>
      <c r="B2799" s="1" t="str">
        <f ca="1">IFERROR(__xludf.DUMMYFUNCTION("""COMPUTED_VALUE"""),"Molnár Anna")</f>
        <v>Molnár Anna</v>
      </c>
      <c r="C2799" s="1"/>
      <c r="D2799" s="1" t="str">
        <f ca="1">IFERROR(__xludf.DUMMYFUNCTION("""COMPUTED_VALUE"""),"Nő")</f>
        <v>Nő</v>
      </c>
      <c r="E2799" s="1"/>
      <c r="F2799" s="1">
        <f ca="1">IFERROR(__xludf.DUMMYFUNCTION("""COMPUTED_VALUE"""),2000)</f>
        <v>2000</v>
      </c>
      <c r="G2799" s="1">
        <f ca="1">IFERROR(__xludf.DUMMYFUNCTION("""COMPUTED_VALUE"""),2455)</f>
        <v>2455</v>
      </c>
      <c r="H2799" s="1" t="str">
        <f ca="1">IFERROR(__xludf.DUMMYFUNCTION("""COMPUTED_VALUE"""),"MTLSZ002455A13")</f>
        <v>MTLSZ002455A13</v>
      </c>
      <c r="I2799" s="2">
        <f ca="1">IFERROR(__xludf.DUMMYFUNCTION("""COMPUTED_VALUE"""),41522)</f>
        <v>41522</v>
      </c>
      <c r="J2799" s="2">
        <f ca="1">IFERROR(__xludf.DUMMYFUNCTION("""COMPUTED_VALUE"""),41886)</f>
        <v>41886</v>
      </c>
    </row>
    <row r="2800" spans="1:10" x14ac:dyDescent="0.25">
      <c r="A2800" s="1" t="str">
        <f ca="1">IFERROR(__xludf.DUMMYFUNCTION("""COMPUTED_VALUE"""),"Bodajki TSE")</f>
        <v>Bodajki TSE</v>
      </c>
      <c r="B2800" s="1" t="str">
        <f ca="1">IFERROR(__xludf.DUMMYFUNCTION("""COMPUTED_VALUE"""),"Bökényi Bernadett")</f>
        <v>Bökényi Bernadett</v>
      </c>
      <c r="C2800" s="1"/>
      <c r="D2800" s="1" t="str">
        <f ca="1">IFERROR(__xludf.DUMMYFUNCTION("""COMPUTED_VALUE"""),"Nő")</f>
        <v>Nő</v>
      </c>
      <c r="E2800" s="1"/>
      <c r="F2800" s="1">
        <f ca="1">IFERROR(__xludf.DUMMYFUNCTION("""COMPUTED_VALUE"""),1991)</f>
        <v>1991</v>
      </c>
      <c r="G2800" s="1">
        <f ca="1">IFERROR(__xludf.DUMMYFUNCTION("""COMPUTED_VALUE"""),122)</f>
        <v>122</v>
      </c>
      <c r="H2800" s="1" t="str">
        <f ca="1">IFERROR(__xludf.DUMMYFUNCTION("""COMPUTED_VALUE"""),"MTLSZ000122A13")</f>
        <v>MTLSZ000122A13</v>
      </c>
      <c r="I2800" s="2">
        <f ca="1">IFERROR(__xludf.DUMMYFUNCTION("""COMPUTED_VALUE"""),41521)</f>
        <v>41521</v>
      </c>
      <c r="J2800" s="2">
        <f ca="1">IFERROR(__xludf.DUMMYFUNCTION("""COMPUTED_VALUE"""),41885)</f>
        <v>41885</v>
      </c>
    </row>
    <row r="2801" spans="1:10" x14ac:dyDescent="0.25">
      <c r="A2801" s="1" t="str">
        <f ca="1">IFERROR(__xludf.DUMMYFUNCTION("""COMPUTED_VALUE"""),"Bodajki TSE")</f>
        <v>Bodajki TSE</v>
      </c>
      <c r="B2801" s="1" t="str">
        <f ca="1">IFERROR(__xludf.DUMMYFUNCTION("""COMPUTED_VALUE"""),"Bökényi Klaudia")</f>
        <v>Bökényi Klaudia</v>
      </c>
      <c r="C2801" s="1"/>
      <c r="D2801" s="1" t="str">
        <f ca="1">IFERROR(__xludf.DUMMYFUNCTION("""COMPUTED_VALUE"""),"Nő")</f>
        <v>Nő</v>
      </c>
      <c r="E2801" s="1"/>
      <c r="F2801" s="1">
        <f ca="1">IFERROR(__xludf.DUMMYFUNCTION("""COMPUTED_VALUE"""),1996)</f>
        <v>1996</v>
      </c>
      <c r="G2801" s="1">
        <f ca="1">IFERROR(__xludf.DUMMYFUNCTION("""COMPUTED_VALUE"""),1522)</f>
        <v>1522</v>
      </c>
      <c r="H2801" s="1" t="str">
        <f ca="1">IFERROR(__xludf.DUMMYFUNCTION("""COMPUTED_VALUE"""),"MTLSZ001522A13")</f>
        <v>MTLSZ001522A13</v>
      </c>
      <c r="I2801" s="2">
        <f ca="1">IFERROR(__xludf.DUMMYFUNCTION("""COMPUTED_VALUE"""),41521)</f>
        <v>41521</v>
      </c>
      <c r="J2801" s="2">
        <f ca="1">IFERROR(__xludf.DUMMYFUNCTION("""COMPUTED_VALUE"""),41885)</f>
        <v>41885</v>
      </c>
    </row>
    <row r="2802" spans="1:10" x14ac:dyDescent="0.25">
      <c r="A2802" s="1" t="str">
        <f ca="1">IFERROR(__xludf.DUMMYFUNCTION("""COMPUTED_VALUE"""),"Vízművek SK")</f>
        <v>Vízművek SK</v>
      </c>
      <c r="B2802" s="1" t="str">
        <f ca="1">IFERROR(__xludf.DUMMYFUNCTION("""COMPUTED_VALUE"""),"Bangó Ildikó")</f>
        <v>Bangó Ildikó</v>
      </c>
      <c r="C2802" s="1"/>
      <c r="D2802" s="1" t="str">
        <f ca="1">IFERROR(__xludf.DUMMYFUNCTION("""COMPUTED_VALUE"""),"Nő")</f>
        <v>Nő</v>
      </c>
      <c r="E2802" s="1"/>
      <c r="F2802" s="1">
        <f ca="1">IFERROR(__xludf.DUMMYFUNCTION("""COMPUTED_VALUE"""),1998)</f>
        <v>1998</v>
      </c>
      <c r="G2802" s="1">
        <f ca="1">IFERROR(__xludf.DUMMYFUNCTION("""COMPUTED_VALUE"""),2271)</f>
        <v>2271</v>
      </c>
      <c r="H2802" s="1" t="str">
        <f ca="1">IFERROR(__xludf.DUMMYFUNCTION("""COMPUTED_VALUE"""),"MTLSZ002271A13")</f>
        <v>MTLSZ002271A13</v>
      </c>
      <c r="I2802" s="2">
        <f ca="1">IFERROR(__xludf.DUMMYFUNCTION("""COMPUTED_VALUE"""),41592)</f>
        <v>41592</v>
      </c>
      <c r="J2802" s="2">
        <f ca="1">IFERROR(__xludf.DUMMYFUNCTION("""COMPUTED_VALUE"""),41883)</f>
        <v>41883</v>
      </c>
    </row>
    <row r="2803" spans="1:10" x14ac:dyDescent="0.25">
      <c r="A2803" s="1" t="str">
        <f ca="1">IFERROR(__xludf.DUMMYFUNCTION("""COMPUTED_VALUE"""),"Multi Alarm SE")</f>
        <v>Multi Alarm SE</v>
      </c>
      <c r="B2803" s="1" t="str">
        <f ca="1">IFERROR(__xludf.DUMMYFUNCTION("""COMPUTED_VALUE"""),"Banizs Olivér")</f>
        <v>Banizs Olivér</v>
      </c>
      <c r="C2803" s="1"/>
      <c r="D2803" s="1" t="str">
        <f ca="1">IFERROR(__xludf.DUMMYFUNCTION("""COMPUTED_VALUE"""),"Férfi")</f>
        <v>Férfi</v>
      </c>
      <c r="E2803" s="1"/>
      <c r="F2803" s="1">
        <f ca="1">IFERROR(__xludf.DUMMYFUNCTION("""COMPUTED_VALUE"""),1996)</f>
        <v>1996</v>
      </c>
      <c r="G2803" s="1">
        <f ca="1">IFERROR(__xludf.DUMMYFUNCTION("""COMPUTED_VALUE"""),2262)</f>
        <v>2262</v>
      </c>
      <c r="H2803" s="1" t="str">
        <f ca="1">IFERROR(__xludf.DUMMYFUNCTION("""COMPUTED_VALUE"""),"MTLSZ002262A13")</f>
        <v>MTLSZ002262A13</v>
      </c>
      <c r="I2803" s="2">
        <f ca="1">IFERROR(__xludf.DUMMYFUNCTION("""COMPUTED_VALUE"""),41516)</f>
        <v>41516</v>
      </c>
      <c r="J2803" s="2">
        <f ca="1">IFERROR(__xludf.DUMMYFUNCTION("""COMPUTED_VALUE"""),41880)</f>
        <v>41880</v>
      </c>
    </row>
    <row r="2804" spans="1:10" x14ac:dyDescent="0.25">
      <c r="A2804" s="1" t="str">
        <f ca="1">IFERROR(__xludf.DUMMYFUNCTION("""COMPUTED_VALUE"""),"Multi Alarm SE")</f>
        <v>Multi Alarm SE</v>
      </c>
      <c r="B2804" s="1" t="str">
        <f ca="1">IFERROR(__xludf.DUMMYFUNCTION("""COMPUTED_VALUE"""),"Mészáros Bence")</f>
        <v>Mészáros Bence</v>
      </c>
      <c r="C2804" s="1"/>
      <c r="D2804" s="1" t="str">
        <f ca="1">IFERROR(__xludf.DUMMYFUNCTION("""COMPUTED_VALUE"""),"Férfi")</f>
        <v>Férfi</v>
      </c>
      <c r="E2804" s="1"/>
      <c r="F2804" s="1">
        <f ca="1">IFERROR(__xludf.DUMMYFUNCTION("""COMPUTED_VALUE"""),1999)</f>
        <v>1999</v>
      </c>
      <c r="G2804" s="1">
        <f ca="1">IFERROR(__xludf.DUMMYFUNCTION("""COMPUTED_VALUE"""),2368)</f>
        <v>2368</v>
      </c>
      <c r="H2804" s="1" t="str">
        <f ca="1">IFERROR(__xludf.DUMMYFUNCTION("""COMPUTED_VALUE"""),"MTLSZ002368A13")</f>
        <v>MTLSZ002368A13</v>
      </c>
      <c r="I2804" s="2">
        <f ca="1">IFERROR(__xludf.DUMMYFUNCTION("""COMPUTED_VALUE"""),41516)</f>
        <v>41516</v>
      </c>
      <c r="J2804" s="2">
        <f ca="1">IFERROR(__xludf.DUMMYFUNCTION("""COMPUTED_VALUE"""),41880)</f>
        <v>41880</v>
      </c>
    </row>
    <row r="2805" spans="1:10" x14ac:dyDescent="0.25">
      <c r="A2805" s="1" t="str">
        <f ca="1">IFERROR(__xludf.DUMMYFUNCTION("""COMPUTED_VALUE"""),"FBSE")</f>
        <v>FBSE</v>
      </c>
      <c r="B2805" s="1" t="str">
        <f ca="1">IFERROR(__xludf.DUMMYFUNCTION("""COMPUTED_VALUE"""),"Toloczkó Máté")</f>
        <v>Toloczkó Máté</v>
      </c>
      <c r="C2805" s="1"/>
      <c r="D2805" s="1" t="str">
        <f ca="1">IFERROR(__xludf.DUMMYFUNCTION("""COMPUTED_VALUE"""),"Férfi")</f>
        <v>Férfi</v>
      </c>
      <c r="E2805" s="1"/>
      <c r="F2805" s="1">
        <f ca="1">IFERROR(__xludf.DUMMYFUNCTION("""COMPUTED_VALUE"""),1996)</f>
        <v>1996</v>
      </c>
      <c r="G2805" s="1">
        <f ca="1">IFERROR(__xludf.DUMMYFUNCTION("""COMPUTED_VALUE"""),1710)</f>
        <v>1710</v>
      </c>
      <c r="H2805" s="1" t="str">
        <f ca="1">IFERROR(__xludf.DUMMYFUNCTION("""COMPUTED_VALUE"""),"MTLSZ001710A13")</f>
        <v>MTLSZ001710A13</v>
      </c>
      <c r="I2805" s="2">
        <f ca="1">IFERROR(__xludf.DUMMYFUNCTION("""COMPUTED_VALUE"""),41514)</f>
        <v>41514</v>
      </c>
      <c r="J2805" s="2">
        <f ca="1">IFERROR(__xludf.DUMMYFUNCTION("""COMPUTED_VALUE"""),41878)</f>
        <v>41878</v>
      </c>
    </row>
    <row r="2806" spans="1:10" x14ac:dyDescent="0.25">
      <c r="A2806" s="1" t="str">
        <f ca="1">IFERROR(__xludf.DUMMYFUNCTION("""COMPUTED_VALUE"""),"FBSE")</f>
        <v>FBSE</v>
      </c>
      <c r="B2806" s="1" t="str">
        <f ca="1">IFERROR(__xludf.DUMMYFUNCTION("""COMPUTED_VALUE"""),"Hegyi Petra")</f>
        <v>Hegyi Petra</v>
      </c>
      <c r="C2806" s="1"/>
      <c r="D2806" s="1" t="str">
        <f ca="1">IFERROR(__xludf.DUMMYFUNCTION("""COMPUTED_VALUE"""),"Nő")</f>
        <v>Nő</v>
      </c>
      <c r="E2806" s="1"/>
      <c r="F2806" s="1">
        <f ca="1">IFERROR(__xludf.DUMMYFUNCTION("""COMPUTED_VALUE"""),2000)</f>
        <v>2000</v>
      </c>
      <c r="G2806" s="1">
        <f ca="1">IFERROR(__xludf.DUMMYFUNCTION("""COMPUTED_VALUE"""),2002)</f>
        <v>2002</v>
      </c>
      <c r="H2806" s="1" t="str">
        <f ca="1">IFERROR(__xludf.DUMMYFUNCTION("""COMPUTED_VALUE"""),"MTLSZ002002A13")</f>
        <v>MTLSZ002002A13</v>
      </c>
      <c r="I2806" s="2">
        <f ca="1">IFERROR(__xludf.DUMMYFUNCTION("""COMPUTED_VALUE"""),41422)</f>
        <v>41422</v>
      </c>
      <c r="J2806" s="2">
        <f ca="1">IFERROR(__xludf.DUMMYFUNCTION("""COMPUTED_VALUE"""),41782)</f>
        <v>41782</v>
      </c>
    </row>
    <row r="2807" spans="1:10" x14ac:dyDescent="0.25">
      <c r="A2807" s="1" t="str">
        <f ca="1">IFERROR(__xludf.DUMMYFUNCTION("""COMPUTED_VALUE"""),"Vízművek SK")</f>
        <v>Vízművek SK</v>
      </c>
      <c r="B2807" s="1" t="str">
        <f ca="1">IFERROR(__xludf.DUMMYFUNCTION("""COMPUTED_VALUE"""),"Tóth Henriett")</f>
        <v>Tóth Henriett</v>
      </c>
      <c r="C2807" s="1"/>
      <c r="D2807" s="1" t="str">
        <f ca="1">IFERROR(__xludf.DUMMYFUNCTION("""COMPUTED_VALUE"""),"Nő")</f>
        <v>Nő</v>
      </c>
      <c r="E2807" s="1"/>
      <c r="F2807" s="1">
        <f ca="1">IFERROR(__xludf.DUMMYFUNCTION("""COMPUTED_VALUE"""),1998)</f>
        <v>1998</v>
      </c>
      <c r="G2807" s="1">
        <f ca="1">IFERROR(__xludf.DUMMYFUNCTION("""COMPUTED_VALUE"""),2512)</f>
        <v>2512</v>
      </c>
      <c r="H2807" s="1" t="str">
        <f ca="1">IFERROR(__xludf.DUMMYFUNCTION("""COMPUTED_VALUE"""),"MTLSZ002512A13")</f>
        <v>MTLSZ002512A13</v>
      </c>
      <c r="I2807" s="2">
        <f ca="1">IFERROR(__xludf.DUMMYFUNCTION("""COMPUTED_VALUE"""),41403)</f>
        <v>41403</v>
      </c>
      <c r="J2807" s="2">
        <f ca="1">IFERROR(__xludf.DUMMYFUNCTION("""COMPUTED_VALUE"""),41767)</f>
        <v>41767</v>
      </c>
    </row>
    <row r="2808" spans="1:10" x14ac:dyDescent="0.25">
      <c r="A2808" s="1" t="str">
        <f ca="1">IFERROR(__xludf.DUMMYFUNCTION("""COMPUTED_VALUE"""),"Reac SE")</f>
        <v>Reac SE</v>
      </c>
      <c r="B2808" s="1" t="str">
        <f ca="1">IFERROR(__xludf.DUMMYFUNCTION("""COMPUTED_VALUE"""),"Vetor Szonja")</f>
        <v>Vetor Szonja</v>
      </c>
      <c r="C2808" s="1"/>
      <c r="D2808" s="1" t="str">
        <f ca="1">IFERROR(__xludf.DUMMYFUNCTION("""COMPUTED_VALUE"""),"Nő")</f>
        <v>Nő</v>
      </c>
      <c r="E2808" s="1"/>
      <c r="F2808" s="1">
        <f ca="1">IFERROR(__xludf.DUMMYFUNCTION("""COMPUTED_VALUE"""),1997)</f>
        <v>1997</v>
      </c>
      <c r="G2808" s="1">
        <f ca="1">IFERROR(__xludf.DUMMYFUNCTION("""COMPUTED_VALUE"""),2511)</f>
        <v>2511</v>
      </c>
      <c r="H2808" s="1" t="str">
        <f ca="1">IFERROR(__xludf.DUMMYFUNCTION("""COMPUTED_VALUE"""),"MTLSZ002511A13")</f>
        <v>MTLSZ002511A13</v>
      </c>
      <c r="I2808" s="2">
        <f ca="1">IFERROR(__xludf.DUMMYFUNCTION("""COMPUTED_VALUE"""),41403)</f>
        <v>41403</v>
      </c>
      <c r="J2808" s="2">
        <f ca="1">IFERROR(__xludf.DUMMYFUNCTION("""COMPUTED_VALUE"""),41767)</f>
        <v>41767</v>
      </c>
    </row>
    <row r="2809" spans="1:10" x14ac:dyDescent="0.25">
      <c r="A2809" s="1" t="str">
        <f ca="1">IFERROR(__xludf.DUMMYFUNCTION("""COMPUTED_VALUE"""),"HZSE")</f>
        <v>HZSE</v>
      </c>
      <c r="B2809" s="1" t="str">
        <f ca="1">IFERROR(__xludf.DUMMYFUNCTION("""COMPUTED_VALUE"""),"Raisul Alam Khan")</f>
        <v>Raisul Alam Khan</v>
      </c>
      <c r="C2809" s="1"/>
      <c r="D2809" s="1" t="str">
        <f ca="1">IFERROR(__xludf.DUMMYFUNCTION("""COMPUTED_VALUE"""),"Férfi")</f>
        <v>Férfi</v>
      </c>
      <c r="E2809" s="1"/>
      <c r="F2809" s="1">
        <f ca="1">IFERROR(__xludf.DUMMYFUNCTION("""COMPUTED_VALUE"""),1971)</f>
        <v>1971</v>
      </c>
      <c r="G2809" s="1">
        <f ca="1">IFERROR(__xludf.DUMMYFUNCTION("""COMPUTED_VALUE"""),2596)</f>
        <v>2596</v>
      </c>
      <c r="H2809" s="1" t="str">
        <f ca="1">IFERROR(__xludf.DUMMYFUNCTION("""COMPUTED_VALUE"""),"MTLSZ002596A14")</f>
        <v>MTLSZ002596A14</v>
      </c>
      <c r="I2809" s="2">
        <f ca="1">IFERROR(__xludf.DUMMYFUNCTION("""COMPUTED_VALUE"""),41758)</f>
        <v>41758</v>
      </c>
      <c r="J2809" s="2">
        <f ca="1">IFERROR(__xludf.DUMMYFUNCTION("""COMPUTED_VALUE"""),41763)</f>
        <v>41763</v>
      </c>
    </row>
    <row r="2810" spans="1:10" x14ac:dyDescent="0.25">
      <c r="A2810" s="1" t="str">
        <f ca="1">IFERROR(__xludf.DUMMYFUNCTION("""COMPUTED_VALUE"""),"Multi Alarm SE")</f>
        <v>Multi Alarm SE</v>
      </c>
      <c r="B2810" s="1" t="str">
        <f ca="1">IFERROR(__xludf.DUMMYFUNCTION("""COMPUTED_VALUE"""),"Tarlós Ádám")</f>
        <v>Tarlós Ádám</v>
      </c>
      <c r="C2810" s="1"/>
      <c r="D2810" s="1" t="str">
        <f ca="1">IFERROR(__xludf.DUMMYFUNCTION("""COMPUTED_VALUE"""),"Férfi")</f>
        <v>Férfi</v>
      </c>
      <c r="E2810" s="1"/>
      <c r="F2810" s="1">
        <f ca="1">IFERROR(__xludf.DUMMYFUNCTION("""COMPUTED_VALUE"""),1987)</f>
        <v>1987</v>
      </c>
      <c r="G2810" s="1">
        <f ca="1">IFERROR(__xludf.DUMMYFUNCTION("""COMPUTED_VALUE"""),1544)</f>
        <v>1544</v>
      </c>
      <c r="H2810" s="1" t="str">
        <f ca="1">IFERROR(__xludf.DUMMYFUNCTION("""COMPUTED_VALUE"""),"MTLSZ001544A13")</f>
        <v>MTLSZ001544A13</v>
      </c>
      <c r="I2810" s="2">
        <f ca="1">IFERROR(__xludf.DUMMYFUNCTION("""COMPUTED_VALUE"""),41401)</f>
        <v>41401</v>
      </c>
      <c r="J2810" s="2">
        <f ca="1">IFERROR(__xludf.DUMMYFUNCTION("""COMPUTED_VALUE"""),41762)</f>
        <v>41762</v>
      </c>
    </row>
    <row r="2811" spans="1:10" x14ac:dyDescent="0.25">
      <c r="A2811" s="1" t="str">
        <f ca="1">IFERROR(__xludf.DUMMYFUNCTION("""COMPUTED_VALUE"""),"Multi Alarm SE")</f>
        <v>Multi Alarm SE</v>
      </c>
      <c r="B2811" s="1" t="str">
        <f ca="1">IFERROR(__xludf.DUMMYFUNCTION("""COMPUTED_VALUE"""),"Zsolt László")</f>
        <v>Zsolt László</v>
      </c>
      <c r="C2811" s="1"/>
      <c r="D2811" s="1" t="str">
        <f ca="1">IFERROR(__xludf.DUMMYFUNCTION("""COMPUTED_VALUE"""),"Férfi")</f>
        <v>Férfi</v>
      </c>
      <c r="E2811" s="1"/>
      <c r="F2811" s="1">
        <f ca="1">IFERROR(__xludf.DUMMYFUNCTION("""COMPUTED_VALUE"""),1955)</f>
        <v>1955</v>
      </c>
      <c r="G2811" s="1">
        <f ca="1">IFERROR(__xludf.DUMMYFUNCTION("""COMPUTED_VALUE"""),1568)</f>
        <v>1568</v>
      </c>
      <c r="H2811" s="1" t="str">
        <f ca="1">IFERROR(__xludf.DUMMYFUNCTION("""COMPUTED_VALUE"""),"MTLSZ001568A13")</f>
        <v>MTLSZ001568A13</v>
      </c>
      <c r="I2811" s="2">
        <f ca="1">IFERROR(__xludf.DUMMYFUNCTION("""COMPUTED_VALUE"""),41401)</f>
        <v>41401</v>
      </c>
      <c r="J2811" s="2">
        <f ca="1">IFERROR(__xludf.DUMMYFUNCTION("""COMPUTED_VALUE"""),41762)</f>
        <v>41762</v>
      </c>
    </row>
    <row r="2812" spans="1:10" x14ac:dyDescent="0.25">
      <c r="A2812" s="1" t="str">
        <f ca="1">IFERROR(__xludf.DUMMYFUNCTION("""COMPUTED_VALUE"""),"ZKSE")</f>
        <v>ZKSE</v>
      </c>
      <c r="B2812" s="1" t="str">
        <f ca="1">IFERROR(__xludf.DUMMYFUNCTION("""COMPUTED_VALUE"""),"Jusztin-Majercsik Péter")</f>
        <v>Jusztin-Majercsik Péter</v>
      </c>
      <c r="C2812" s="1"/>
      <c r="D2812" s="1" t="str">
        <f ca="1">IFERROR(__xludf.DUMMYFUNCTION("""COMPUTED_VALUE"""),"Férfi")</f>
        <v>Férfi</v>
      </c>
      <c r="E2812" s="1"/>
      <c r="F2812" s="1">
        <f ca="1">IFERROR(__xludf.DUMMYFUNCTION("""COMPUTED_VALUE"""),1976)</f>
        <v>1976</v>
      </c>
      <c r="G2812" s="1">
        <f ca="1">IFERROR(__xludf.DUMMYFUNCTION("""COMPUTED_VALUE"""),1684)</f>
        <v>1684</v>
      </c>
      <c r="H2812" s="1" t="str">
        <f ca="1">IFERROR(__xludf.DUMMYFUNCTION("""COMPUTED_VALUE"""),"MTLSZ001684A13")</f>
        <v>MTLSZ001684A13</v>
      </c>
      <c r="I2812" s="2">
        <f ca="1">IFERROR(__xludf.DUMMYFUNCTION("""COMPUTED_VALUE"""),41401)</f>
        <v>41401</v>
      </c>
      <c r="J2812" s="2">
        <f ca="1">IFERROR(__xludf.DUMMYFUNCTION("""COMPUTED_VALUE"""),41762)</f>
        <v>41762</v>
      </c>
    </row>
    <row r="2813" spans="1:10" x14ac:dyDescent="0.25">
      <c r="A2813" s="1" t="str">
        <f ca="1">IFERROR(__xludf.DUMMYFUNCTION("""COMPUTED_VALUE"""),"Vízművek SK")</f>
        <v>Vízművek SK</v>
      </c>
      <c r="B2813" s="1" t="str">
        <f ca="1">IFERROR(__xludf.DUMMYFUNCTION("""COMPUTED_VALUE"""),"Huszár Péter")</f>
        <v>Huszár Péter</v>
      </c>
      <c r="C2813" s="1"/>
      <c r="D2813" s="1" t="str">
        <f ca="1">IFERROR(__xludf.DUMMYFUNCTION("""COMPUTED_VALUE"""),"Férfi")</f>
        <v>Férfi</v>
      </c>
      <c r="E2813" s="1"/>
      <c r="F2813" s="1">
        <f ca="1">IFERROR(__xludf.DUMMYFUNCTION("""COMPUTED_VALUE"""),1999)</f>
        <v>1999</v>
      </c>
      <c r="G2813" s="1">
        <f ca="1">IFERROR(__xludf.DUMMYFUNCTION("""COMPUTED_VALUE"""),2254)</f>
        <v>2254</v>
      </c>
      <c r="H2813" s="1" t="str">
        <f ca="1">IFERROR(__xludf.DUMMYFUNCTION("""COMPUTED_VALUE"""),"MTLSZ002254A13")</f>
        <v>MTLSZ002254A13</v>
      </c>
      <c r="I2813" s="2">
        <f ca="1">IFERROR(__xludf.DUMMYFUNCTION("""COMPUTED_VALUE"""),41394)</f>
        <v>41394</v>
      </c>
      <c r="J2813" s="2">
        <f ca="1">IFERROR(__xludf.DUMMYFUNCTION("""COMPUTED_VALUE"""),41758)</f>
        <v>41758</v>
      </c>
    </row>
    <row r="2814" spans="1:10" x14ac:dyDescent="0.25">
      <c r="A2814" s="1" t="str">
        <f ca="1">IFERROR(__xludf.DUMMYFUNCTION("""COMPUTED_VALUE"""),"FBSE")</f>
        <v>FBSE</v>
      </c>
      <c r="B2814" s="1" t="str">
        <f ca="1">IFERROR(__xludf.DUMMYFUNCTION("""COMPUTED_VALUE"""),"Elmer Zsófia")</f>
        <v>Elmer Zsófia</v>
      </c>
      <c r="C2814" s="1"/>
      <c r="D2814" s="1" t="str">
        <f ca="1">IFERROR(__xludf.DUMMYFUNCTION("""COMPUTED_VALUE"""),"Nő")</f>
        <v>Nő</v>
      </c>
      <c r="E2814" s="1"/>
      <c r="F2814" s="1">
        <f ca="1">IFERROR(__xludf.DUMMYFUNCTION("""COMPUTED_VALUE"""),1996)</f>
        <v>1996</v>
      </c>
      <c r="G2814" s="1">
        <f ca="1">IFERROR(__xludf.DUMMYFUNCTION("""COMPUTED_VALUE"""),1987)</f>
        <v>1987</v>
      </c>
      <c r="H2814" s="1" t="str">
        <f ca="1">IFERROR(__xludf.DUMMYFUNCTION("""COMPUTED_VALUE"""),"MTLSZ001987A13")</f>
        <v>MTLSZ001987A13</v>
      </c>
      <c r="I2814" s="2">
        <f ca="1">IFERROR(__xludf.DUMMYFUNCTION("""COMPUTED_VALUE"""),41394)</f>
        <v>41394</v>
      </c>
      <c r="J2814" s="2">
        <f ca="1">IFERROR(__xludf.DUMMYFUNCTION("""COMPUTED_VALUE"""),41754)</f>
        <v>41754</v>
      </c>
    </row>
    <row r="2815" spans="1:10" x14ac:dyDescent="0.25">
      <c r="A2815" s="1" t="str">
        <f ca="1">IFERROR(__xludf.DUMMYFUNCTION("""COMPUTED_VALUE"""),"Kilián Iskola DSE")</f>
        <v>Kilián Iskola DSE</v>
      </c>
      <c r="B2815" s="1" t="str">
        <f ca="1">IFERROR(__xludf.DUMMYFUNCTION("""COMPUTED_VALUE"""),"Bolla Boglárka")</f>
        <v>Bolla Boglárka</v>
      </c>
      <c r="C2815" s="1"/>
      <c r="D2815" s="1" t="str">
        <f ca="1">IFERROR(__xludf.DUMMYFUNCTION("""COMPUTED_VALUE"""),"Nő")</f>
        <v>Nő</v>
      </c>
      <c r="E2815" s="1"/>
      <c r="F2815" s="1">
        <f ca="1">IFERROR(__xludf.DUMMYFUNCTION("""COMPUTED_VALUE"""),2002)</f>
        <v>2002</v>
      </c>
      <c r="G2815" s="1">
        <f ca="1">IFERROR(__xludf.DUMMYFUNCTION("""COMPUTED_VALUE"""),2135)</f>
        <v>2135</v>
      </c>
      <c r="H2815" s="1" t="str">
        <f ca="1">IFERROR(__xludf.DUMMYFUNCTION("""COMPUTED_VALUE"""),"MTLSZ002135A13")</f>
        <v>MTLSZ002135A13</v>
      </c>
      <c r="I2815" s="2">
        <f ca="1">IFERROR(__xludf.DUMMYFUNCTION("""COMPUTED_VALUE"""),41388)</f>
        <v>41388</v>
      </c>
      <c r="J2815" s="2">
        <f ca="1">IFERROR(__xludf.DUMMYFUNCTION("""COMPUTED_VALUE"""),41752)</f>
        <v>41752</v>
      </c>
    </row>
    <row r="2816" spans="1:10" x14ac:dyDescent="0.25">
      <c r="A2816" s="1" t="str">
        <f ca="1">IFERROR(__xludf.DUMMYFUNCTION("""COMPUTED_VALUE"""),"Reac SE")</f>
        <v>Reac SE</v>
      </c>
      <c r="B2816" s="1" t="str">
        <f ca="1">IFERROR(__xludf.DUMMYFUNCTION("""COMPUTED_VALUE"""),"Gyarmati Krisztina")</f>
        <v>Gyarmati Krisztina</v>
      </c>
      <c r="C2816" s="1"/>
      <c r="D2816" s="1" t="str">
        <f ca="1">IFERROR(__xludf.DUMMYFUNCTION("""COMPUTED_VALUE"""),"Nő")</f>
        <v>Nő</v>
      </c>
      <c r="E2816" s="1"/>
      <c r="F2816" s="1">
        <f ca="1">IFERROR(__xludf.DUMMYFUNCTION("""COMPUTED_VALUE"""),2001)</f>
        <v>2001</v>
      </c>
      <c r="G2816" s="1">
        <f ca="1">IFERROR(__xludf.DUMMYFUNCTION("""COMPUTED_VALUE"""),2504)</f>
        <v>2504</v>
      </c>
      <c r="H2816" s="1" t="str">
        <f ca="1">IFERROR(__xludf.DUMMYFUNCTION("""COMPUTED_VALUE"""),"MTLSZ002504A13")</f>
        <v>MTLSZ002504A13</v>
      </c>
      <c r="I2816" s="2">
        <f ca="1">IFERROR(__xludf.DUMMYFUNCTION("""COMPUTED_VALUE"""),41386)</f>
        <v>41386</v>
      </c>
      <c r="J2816" s="2">
        <f ca="1">IFERROR(__xludf.DUMMYFUNCTION("""COMPUTED_VALUE"""),41750)</f>
        <v>41750</v>
      </c>
    </row>
    <row r="2817" spans="1:10" x14ac:dyDescent="0.25">
      <c r="A2817" s="1" t="str">
        <f ca="1">IFERROR(__xludf.DUMMYFUNCTION("""COMPUTED_VALUE"""),"Érdi VSE")</f>
        <v>Érdi VSE</v>
      </c>
      <c r="B2817" s="1" t="str">
        <f ca="1">IFERROR(__xludf.DUMMYFUNCTION("""COMPUTED_VALUE"""),"Nagy Richárd")</f>
        <v>Nagy Richárd</v>
      </c>
      <c r="C2817" s="1"/>
      <c r="D2817" s="1" t="str">
        <f ca="1">IFERROR(__xludf.DUMMYFUNCTION("""COMPUTED_VALUE"""),"Férfi")</f>
        <v>Férfi</v>
      </c>
      <c r="E2817" s="1"/>
      <c r="F2817" s="1">
        <f ca="1">IFERROR(__xludf.DUMMYFUNCTION("""COMPUTED_VALUE"""),2002)</f>
        <v>2002</v>
      </c>
      <c r="G2817" s="1">
        <f ca="1">IFERROR(__xludf.DUMMYFUNCTION("""COMPUTED_VALUE"""),2501)</f>
        <v>2501</v>
      </c>
      <c r="H2817" s="1" t="str">
        <f ca="1">IFERROR(__xludf.DUMMYFUNCTION("""COMPUTED_VALUE"""),"MTLSZ002501A13")</f>
        <v>MTLSZ002501A13</v>
      </c>
      <c r="I2817" s="2">
        <f ca="1">IFERROR(__xludf.DUMMYFUNCTION("""COMPUTED_VALUE"""),41381)</f>
        <v>41381</v>
      </c>
      <c r="J2817" s="2">
        <f ca="1">IFERROR(__xludf.DUMMYFUNCTION("""COMPUTED_VALUE"""),41745)</f>
        <v>41745</v>
      </c>
    </row>
    <row r="2818" spans="1:10" x14ac:dyDescent="0.25">
      <c r="A2818" s="1" t="str">
        <f ca="1">IFERROR(__xludf.DUMMYFUNCTION("""COMPUTED_VALUE"""),"HZSE")</f>
        <v>HZSE</v>
      </c>
      <c r="B2818" s="1" t="str">
        <f ca="1">IFERROR(__xludf.DUMMYFUNCTION("""COMPUTED_VALUE"""),"Sinka András")</f>
        <v>Sinka András</v>
      </c>
      <c r="C2818" s="1"/>
      <c r="D2818" s="1" t="str">
        <f ca="1">IFERROR(__xludf.DUMMYFUNCTION("""COMPUTED_VALUE"""),"Férfi")</f>
        <v>Férfi</v>
      </c>
      <c r="E2818" s="1"/>
      <c r="F2818" s="1">
        <f ca="1">IFERROR(__xludf.DUMMYFUNCTION("""COMPUTED_VALUE"""),1980)</f>
        <v>1980</v>
      </c>
      <c r="G2818" s="1">
        <f ca="1">IFERROR(__xludf.DUMMYFUNCTION("""COMPUTED_VALUE"""),857)</f>
        <v>857</v>
      </c>
      <c r="H2818" s="1" t="str">
        <f ca="1">IFERROR(__xludf.DUMMYFUNCTION("""COMPUTED_VALUE"""),"MTLSZ000857A13")</f>
        <v>MTLSZ000857A13</v>
      </c>
      <c r="I2818" s="2">
        <f ca="1">IFERROR(__xludf.DUMMYFUNCTION("""COMPUTED_VALUE"""),41351)</f>
        <v>41351</v>
      </c>
      <c r="J2818" s="2">
        <f ca="1">IFERROR(__xludf.DUMMYFUNCTION("""COMPUTED_VALUE"""),41715)</f>
        <v>41715</v>
      </c>
    </row>
    <row r="2819" spans="1:10" x14ac:dyDescent="0.25">
      <c r="A2819" s="1" t="str">
        <f ca="1">IFERROR(__xludf.DUMMYFUNCTION("""COMPUTED_VALUE"""),"Óvártoll TE")</f>
        <v>Óvártoll TE</v>
      </c>
      <c r="B2819" s="1" t="str">
        <f ca="1">IFERROR(__xludf.DUMMYFUNCTION("""COMPUTED_VALUE"""),"Lukácsi Levente Tamás")</f>
        <v>Lukácsi Levente Tamás</v>
      </c>
      <c r="C2819" s="1"/>
      <c r="D2819" s="1" t="str">
        <f ca="1">IFERROR(__xludf.DUMMYFUNCTION("""COMPUTED_VALUE"""),"Férfi")</f>
        <v>Férfi</v>
      </c>
      <c r="E2819" s="1"/>
      <c r="F2819" s="1">
        <f ca="1">IFERROR(__xludf.DUMMYFUNCTION("""COMPUTED_VALUE"""),1999)</f>
        <v>1999</v>
      </c>
      <c r="G2819" s="1">
        <f ca="1">IFERROR(__xludf.DUMMYFUNCTION("""COMPUTED_VALUE"""),2492)</f>
        <v>2492</v>
      </c>
      <c r="H2819" s="1" t="str">
        <f ca="1">IFERROR(__xludf.DUMMYFUNCTION("""COMPUTED_VALUE"""),"MTLSZ002492A13")</f>
        <v>MTLSZ002492A13</v>
      </c>
      <c r="I2819" s="2">
        <f ca="1">IFERROR(__xludf.DUMMYFUNCTION("""COMPUTED_VALUE"""),41351)</f>
        <v>41351</v>
      </c>
      <c r="J2819" s="2">
        <f ca="1">IFERROR(__xludf.DUMMYFUNCTION("""COMPUTED_VALUE"""),41715)</f>
        <v>41715</v>
      </c>
    </row>
    <row r="2820" spans="1:10" x14ac:dyDescent="0.25">
      <c r="A2820" s="1" t="str">
        <f ca="1">IFERROR(__xludf.DUMMYFUNCTION("""COMPUTED_VALUE"""),"DSC-SI")</f>
        <v>DSC-SI</v>
      </c>
      <c r="B2820" s="1" t="str">
        <f ca="1">IFERROR(__xludf.DUMMYFUNCTION("""COMPUTED_VALUE"""),"Lőrinczi Bernadett")</f>
        <v>Lőrinczi Bernadett</v>
      </c>
      <c r="C2820" s="1"/>
      <c r="D2820" s="1" t="str">
        <f ca="1">IFERROR(__xludf.DUMMYFUNCTION("""COMPUTED_VALUE"""),"Nő")</f>
        <v>Nő</v>
      </c>
      <c r="E2820" s="1"/>
      <c r="F2820" s="1">
        <f ca="1">IFERROR(__xludf.DUMMYFUNCTION("""COMPUTED_VALUE"""),2003)</f>
        <v>2003</v>
      </c>
      <c r="G2820" s="1">
        <f ca="1">IFERROR(__xludf.DUMMYFUNCTION("""COMPUTED_VALUE"""),2489)</f>
        <v>2489</v>
      </c>
      <c r="H2820" s="1" t="str">
        <f ca="1">IFERROR(__xludf.DUMMYFUNCTION("""COMPUTED_VALUE"""),"MTLSZ002489A13")</f>
        <v>MTLSZ002489A13</v>
      </c>
      <c r="I2820" s="2">
        <f ca="1">IFERROR(__xludf.DUMMYFUNCTION("""COMPUTED_VALUE"""),41341)</f>
        <v>41341</v>
      </c>
      <c r="J2820" s="2">
        <f ca="1">IFERROR(__xludf.DUMMYFUNCTION("""COMPUTED_VALUE"""),41705)</f>
        <v>41705</v>
      </c>
    </row>
    <row r="2821" spans="1:10" x14ac:dyDescent="0.25">
      <c r="A2821" s="1" t="str">
        <f ca="1">IFERROR(__xludf.DUMMYFUNCTION("""COMPUTED_VALUE"""),"Karai SE")</f>
        <v>Karai SE</v>
      </c>
      <c r="B2821" s="1" t="str">
        <f ca="1">IFERROR(__xludf.DUMMYFUNCTION("""COMPUTED_VALUE"""),"Sebestyén Róbert")</f>
        <v>Sebestyén Róbert</v>
      </c>
      <c r="C2821" s="1"/>
      <c r="D2821" s="1" t="str">
        <f ca="1">IFERROR(__xludf.DUMMYFUNCTION("""COMPUTED_VALUE"""),"Férfi")</f>
        <v>Férfi</v>
      </c>
      <c r="E2821" s="1"/>
      <c r="F2821" s="1">
        <f ca="1">IFERROR(__xludf.DUMMYFUNCTION("""COMPUTED_VALUE"""),1968)</f>
        <v>1968</v>
      </c>
      <c r="G2821" s="1">
        <f ca="1">IFERROR(__xludf.DUMMYFUNCTION("""COMPUTED_VALUE"""),2487)</f>
        <v>2487</v>
      </c>
      <c r="H2821" s="1" t="str">
        <f ca="1">IFERROR(__xludf.DUMMYFUNCTION("""COMPUTED_VALUE"""),"MTLSZ002487A13")</f>
        <v>MTLSZ002487A13</v>
      </c>
      <c r="I2821" s="2">
        <f ca="1">IFERROR(__xludf.DUMMYFUNCTION("""COMPUTED_VALUE"""),41333)</f>
        <v>41333</v>
      </c>
      <c r="J2821" s="2">
        <f ca="1">IFERROR(__xludf.DUMMYFUNCTION("""COMPUTED_VALUE"""),41697)</f>
        <v>41697</v>
      </c>
    </row>
    <row r="2822" spans="1:10" x14ac:dyDescent="0.25">
      <c r="A2822" s="1" t="str">
        <f ca="1">IFERROR(__xludf.DUMMYFUNCTION("""COMPUTED_VALUE"""),"Érdi VSE")</f>
        <v>Érdi VSE</v>
      </c>
      <c r="B2822" s="1" t="str">
        <f ca="1">IFERROR(__xludf.DUMMYFUNCTION("""COMPUTED_VALUE"""),"Fodor Bálint")</f>
        <v>Fodor Bálint</v>
      </c>
      <c r="C2822" s="1"/>
      <c r="D2822" s="1" t="str">
        <f ca="1">IFERROR(__xludf.DUMMYFUNCTION("""COMPUTED_VALUE"""),"Férfi")</f>
        <v>Férfi</v>
      </c>
      <c r="E2822" s="1"/>
      <c r="F2822" s="1">
        <f ca="1">IFERROR(__xludf.DUMMYFUNCTION("""COMPUTED_VALUE"""),1999)</f>
        <v>1999</v>
      </c>
      <c r="G2822" s="1">
        <f ca="1">IFERROR(__xludf.DUMMYFUNCTION("""COMPUTED_VALUE"""),2485)</f>
        <v>2485</v>
      </c>
      <c r="H2822" s="1" t="str">
        <f ca="1">IFERROR(__xludf.DUMMYFUNCTION("""COMPUTED_VALUE"""),"MTLSZ002485A13")</f>
        <v>MTLSZ002485A13</v>
      </c>
      <c r="I2822" s="2">
        <f ca="1">IFERROR(__xludf.DUMMYFUNCTION("""COMPUTED_VALUE"""),41297)</f>
        <v>41297</v>
      </c>
      <c r="J2822" s="2">
        <f ca="1">IFERROR(__xludf.DUMMYFUNCTION("""COMPUTED_VALUE"""),41661)</f>
        <v>41661</v>
      </c>
    </row>
    <row r="2823" spans="1:10" x14ac:dyDescent="0.25">
      <c r="A2823" s="1" t="str">
        <f ca="1">IFERROR(__xludf.DUMMYFUNCTION("""COMPUTED_VALUE"""),"HZSE")</f>
        <v>HZSE</v>
      </c>
      <c r="B2823" s="1" t="str">
        <f ca="1">IFERROR(__xludf.DUMMYFUNCTION("""COMPUTED_VALUE"""),"Óvári-Kerti Gábor")</f>
        <v>Óvári-Kerti Gábor</v>
      </c>
      <c r="C2823" s="1"/>
      <c r="D2823" s="1" t="str">
        <f ca="1">IFERROR(__xludf.DUMMYFUNCTION("""COMPUTED_VALUE"""),"Férfi")</f>
        <v>Férfi</v>
      </c>
      <c r="E2823" s="1"/>
      <c r="F2823" s="1">
        <f ca="1">IFERROR(__xludf.DUMMYFUNCTION("""COMPUTED_VALUE"""),1974)</f>
        <v>1974</v>
      </c>
      <c r="G2823" s="1">
        <f ca="1">IFERROR(__xludf.DUMMYFUNCTION("""COMPUTED_VALUE"""),728)</f>
        <v>728</v>
      </c>
      <c r="H2823" s="1" t="str">
        <f ca="1">IFERROR(__xludf.DUMMYFUNCTION("""COMPUTED_VALUE"""),"MTLSZ000728A12")</f>
        <v>MTLSZ000728A12</v>
      </c>
      <c r="I2823" s="2">
        <f ca="1">IFERROR(__xludf.DUMMYFUNCTION("""COMPUTED_VALUE"""),41250)</f>
        <v>41250</v>
      </c>
      <c r="J2823" s="2">
        <f ca="1">IFERROR(__xludf.DUMMYFUNCTION("""COMPUTED_VALUE"""),41614)</f>
        <v>41614</v>
      </c>
    </row>
    <row r="2824" spans="1:10" x14ac:dyDescent="0.25">
      <c r="A2824" s="1" t="str">
        <f ca="1">IFERROR(__xludf.DUMMYFUNCTION("""COMPUTED_VALUE"""),"Bodajki TSE")</f>
        <v>Bodajki TSE</v>
      </c>
      <c r="B2824" s="1" t="str">
        <f ca="1">IFERROR(__xludf.DUMMYFUNCTION("""COMPUTED_VALUE"""),"Bognár Fanni")</f>
        <v>Bognár Fanni</v>
      </c>
      <c r="C2824" s="1"/>
      <c r="D2824" s="1" t="str">
        <f ca="1">IFERROR(__xludf.DUMMYFUNCTION("""COMPUTED_VALUE"""),"Nő")</f>
        <v>Nő</v>
      </c>
      <c r="E2824" s="1"/>
      <c r="F2824" s="1">
        <f ca="1">IFERROR(__xludf.DUMMYFUNCTION("""COMPUTED_VALUE"""),1998)</f>
        <v>1998</v>
      </c>
      <c r="G2824" s="1">
        <f ca="1">IFERROR(__xludf.DUMMYFUNCTION("""COMPUTED_VALUE"""),2479)</f>
        <v>2479</v>
      </c>
      <c r="H2824" s="1" t="str">
        <f ca="1">IFERROR(__xludf.DUMMYFUNCTION("""COMPUTED_VALUE"""),"MTLSZ002479A12")</f>
        <v>MTLSZ002479A12</v>
      </c>
      <c r="I2824" s="2">
        <f ca="1">IFERROR(__xludf.DUMMYFUNCTION("""COMPUTED_VALUE"""),41242)</f>
        <v>41242</v>
      </c>
      <c r="J2824" s="2">
        <f ca="1">IFERROR(__xludf.DUMMYFUNCTION("""COMPUTED_VALUE"""),41606)</f>
        <v>41606</v>
      </c>
    </row>
    <row r="2825" spans="1:10" x14ac:dyDescent="0.25">
      <c r="A2825" s="1" t="str">
        <f ca="1">IFERROR(__xludf.DUMMYFUNCTION("""COMPUTED_VALUE"""),"Bodajki TSE")</f>
        <v>Bodajki TSE</v>
      </c>
      <c r="B2825" s="1" t="str">
        <f ca="1">IFERROR(__xludf.DUMMYFUNCTION("""COMPUTED_VALUE"""),"Vörös Boglárka")</f>
        <v>Vörös Boglárka</v>
      </c>
      <c r="C2825" s="1"/>
      <c r="D2825" s="1" t="str">
        <f ca="1">IFERROR(__xludf.DUMMYFUNCTION("""COMPUTED_VALUE"""),"Nő")</f>
        <v>Nő</v>
      </c>
      <c r="E2825" s="1"/>
      <c r="F2825" s="1">
        <f ca="1">IFERROR(__xludf.DUMMYFUNCTION("""COMPUTED_VALUE"""),1998)</f>
        <v>1998</v>
      </c>
      <c r="G2825" s="1">
        <f ca="1">IFERROR(__xludf.DUMMYFUNCTION("""COMPUTED_VALUE"""),2480)</f>
        <v>2480</v>
      </c>
      <c r="H2825" s="1" t="str">
        <f ca="1">IFERROR(__xludf.DUMMYFUNCTION("""COMPUTED_VALUE"""),"MTLSZ002480A12")</f>
        <v>MTLSZ002480A12</v>
      </c>
      <c r="I2825" s="2">
        <f ca="1">IFERROR(__xludf.DUMMYFUNCTION("""COMPUTED_VALUE"""),41242)</f>
        <v>41242</v>
      </c>
      <c r="J2825" s="2">
        <f ca="1">IFERROR(__xludf.DUMMYFUNCTION("""COMPUTED_VALUE"""),41606)</f>
        <v>41606</v>
      </c>
    </row>
    <row r="2826" spans="1:10" x14ac:dyDescent="0.25">
      <c r="A2826" s="1" t="str">
        <f ca="1">IFERROR(__xludf.DUMMYFUNCTION("""COMPUTED_VALUE"""),"Klébi DSE")</f>
        <v>Klébi DSE</v>
      </c>
      <c r="B2826" s="1" t="str">
        <f ca="1">IFERROR(__xludf.DUMMYFUNCTION("""COMPUTED_VALUE"""),"Orbán Balázs")</f>
        <v>Orbán Balázs</v>
      </c>
      <c r="C2826" s="1"/>
      <c r="D2826" s="1" t="str">
        <f ca="1">IFERROR(__xludf.DUMMYFUNCTION("""COMPUTED_VALUE"""),"Férfi")</f>
        <v>Férfi</v>
      </c>
      <c r="E2826" s="1"/>
      <c r="F2826" s="1">
        <f ca="1">IFERROR(__xludf.DUMMYFUNCTION("""COMPUTED_VALUE"""),2001)</f>
        <v>2001</v>
      </c>
      <c r="G2826" s="1">
        <f ca="1">IFERROR(__xludf.DUMMYFUNCTION("""COMPUTED_VALUE"""),2463)</f>
        <v>2463</v>
      </c>
      <c r="H2826" s="1" t="str">
        <f ca="1">IFERROR(__xludf.DUMMYFUNCTION("""COMPUTED_VALUE"""),"MTLSZ002463A12")</f>
        <v>MTLSZ002463A12</v>
      </c>
      <c r="I2826" s="2">
        <f ca="1">IFERROR(__xludf.DUMMYFUNCTION("""COMPUTED_VALUE"""),41227)</f>
        <v>41227</v>
      </c>
      <c r="J2826" s="2">
        <f ca="1">IFERROR(__xludf.DUMMYFUNCTION("""COMPUTED_VALUE"""),41591)</f>
        <v>41591</v>
      </c>
    </row>
    <row r="2827" spans="1:10" x14ac:dyDescent="0.25">
      <c r="A2827" s="1" t="str">
        <f ca="1">IFERROR(__xludf.DUMMYFUNCTION("""COMPUTED_VALUE"""),"Klébi DSE")</f>
        <v>Klébi DSE</v>
      </c>
      <c r="B2827" s="1" t="str">
        <f ca="1">IFERROR(__xludf.DUMMYFUNCTION("""COMPUTED_VALUE"""),"Tyihák Máté")</f>
        <v>Tyihák Máté</v>
      </c>
      <c r="C2827" s="1"/>
      <c r="D2827" s="1" t="str">
        <f ca="1">IFERROR(__xludf.DUMMYFUNCTION("""COMPUTED_VALUE"""),"Férfi")</f>
        <v>Férfi</v>
      </c>
      <c r="E2827" s="1"/>
      <c r="F2827" s="1">
        <f ca="1">IFERROR(__xludf.DUMMYFUNCTION("""COMPUTED_VALUE"""),2001)</f>
        <v>2001</v>
      </c>
      <c r="G2827" s="1">
        <f ca="1">IFERROR(__xludf.DUMMYFUNCTION("""COMPUTED_VALUE"""),2464)</f>
        <v>2464</v>
      </c>
      <c r="H2827" s="1" t="str">
        <f ca="1">IFERROR(__xludf.DUMMYFUNCTION("""COMPUTED_VALUE"""),"MTLSZ002464A12")</f>
        <v>MTLSZ002464A12</v>
      </c>
      <c r="I2827" s="2">
        <f ca="1">IFERROR(__xludf.DUMMYFUNCTION("""COMPUTED_VALUE"""),41227)</f>
        <v>41227</v>
      </c>
      <c r="J2827" s="2">
        <f ca="1">IFERROR(__xludf.DUMMYFUNCTION("""COMPUTED_VALUE"""),41591)</f>
        <v>41591</v>
      </c>
    </row>
    <row r="2828" spans="1:10" x14ac:dyDescent="0.25">
      <c r="A2828" s="1" t="str">
        <f ca="1">IFERROR(__xludf.DUMMYFUNCTION("""COMPUTED_VALUE"""),"Universitas SC")</f>
        <v>Universitas SC</v>
      </c>
      <c r="B2828" s="1" t="str">
        <f ca="1">IFERROR(__xludf.DUMMYFUNCTION("""COMPUTED_VALUE"""),"Pozsik László")</f>
        <v>Pozsik László</v>
      </c>
      <c r="C2828" s="1"/>
      <c r="D2828" s="1" t="str">
        <f ca="1">IFERROR(__xludf.DUMMYFUNCTION("""COMPUTED_VALUE"""),"Férfi")</f>
        <v>Férfi</v>
      </c>
      <c r="E2828" s="1"/>
      <c r="F2828" s="1">
        <f ca="1">IFERROR(__xludf.DUMMYFUNCTION("""COMPUTED_VALUE"""),1964)</f>
        <v>1964</v>
      </c>
      <c r="G2828" s="1">
        <f ca="1">IFERROR(__xludf.DUMMYFUNCTION("""COMPUTED_VALUE"""),1765)</f>
        <v>1765</v>
      </c>
      <c r="H2828" s="1" t="str">
        <f ca="1">IFERROR(__xludf.DUMMYFUNCTION("""COMPUTED_VALUE"""),"MTLSZ001765A12")</f>
        <v>MTLSZ001765A12</v>
      </c>
      <c r="I2828" s="2">
        <f ca="1">IFERROR(__xludf.DUMMYFUNCTION("""COMPUTED_VALUE"""),41227)</f>
        <v>41227</v>
      </c>
      <c r="J2828" s="2">
        <f ca="1">IFERROR(__xludf.DUMMYFUNCTION("""COMPUTED_VALUE"""),41591)</f>
        <v>41591</v>
      </c>
    </row>
    <row r="2829" spans="1:10" x14ac:dyDescent="0.25">
      <c r="A2829" s="1" t="str">
        <f ca="1">IFERROR(__xludf.DUMMYFUNCTION("""COMPUTED_VALUE"""),"BTBK")</f>
        <v>BTBK</v>
      </c>
      <c r="B2829" s="1" t="str">
        <f ca="1">IFERROR(__xludf.DUMMYFUNCTION("""COMPUTED_VALUE"""),"Horváth Károly")</f>
        <v>Horváth Károly</v>
      </c>
      <c r="C2829" s="1"/>
      <c r="D2829" s="1" t="str">
        <f ca="1">IFERROR(__xludf.DUMMYFUNCTION("""COMPUTED_VALUE"""),"Férfi")</f>
        <v>Férfi</v>
      </c>
      <c r="E2829" s="1"/>
      <c r="F2829" s="1">
        <f ca="1">IFERROR(__xludf.DUMMYFUNCTION("""COMPUTED_VALUE"""),1964)</f>
        <v>1964</v>
      </c>
      <c r="G2829" s="1">
        <f ca="1">IFERROR(__xludf.DUMMYFUNCTION("""COMPUTED_VALUE"""),2419)</f>
        <v>2419</v>
      </c>
      <c r="H2829" s="1" t="str">
        <f ca="1">IFERROR(__xludf.DUMMYFUNCTION("""COMPUTED_VALUE"""),"MTLSZ002419A12")</f>
        <v>MTLSZ002419A12</v>
      </c>
      <c r="I2829" s="2">
        <f ca="1">IFERROR(__xludf.DUMMYFUNCTION("""COMPUTED_VALUE"""),41226)</f>
        <v>41226</v>
      </c>
      <c r="J2829" s="2">
        <f ca="1">IFERROR(__xludf.DUMMYFUNCTION("""COMPUTED_VALUE"""),41590)</f>
        <v>41590</v>
      </c>
    </row>
    <row r="2830" spans="1:10" x14ac:dyDescent="0.25">
      <c r="A2830" s="1" t="str">
        <f ca="1">IFERROR(__xludf.DUMMYFUNCTION("""COMPUTED_VALUE"""),"BTBK")</f>
        <v>BTBK</v>
      </c>
      <c r="B2830" s="1" t="str">
        <f ca="1">IFERROR(__xludf.DUMMYFUNCTION("""COMPUTED_VALUE"""),"Leitner Tibor")</f>
        <v>Leitner Tibor</v>
      </c>
      <c r="C2830" s="1"/>
      <c r="D2830" s="1" t="str">
        <f ca="1">IFERROR(__xludf.DUMMYFUNCTION("""COMPUTED_VALUE"""),"Férfi")</f>
        <v>Férfi</v>
      </c>
      <c r="E2830" s="1"/>
      <c r="F2830" s="1">
        <f ca="1">IFERROR(__xludf.DUMMYFUNCTION("""COMPUTED_VALUE"""),1970)</f>
        <v>1970</v>
      </c>
      <c r="G2830" s="1">
        <f ca="1">IFERROR(__xludf.DUMMYFUNCTION("""COMPUTED_VALUE"""),2415)</f>
        <v>2415</v>
      </c>
      <c r="H2830" s="1" t="str">
        <f ca="1">IFERROR(__xludf.DUMMYFUNCTION("""COMPUTED_VALUE"""),"MTLSZ002415A12")</f>
        <v>MTLSZ002415A12</v>
      </c>
      <c r="I2830" s="2">
        <f ca="1">IFERROR(__xludf.DUMMYFUNCTION("""COMPUTED_VALUE"""),41226)</f>
        <v>41226</v>
      </c>
      <c r="J2830" s="2">
        <f ca="1">IFERROR(__xludf.DUMMYFUNCTION("""COMPUTED_VALUE"""),41590)</f>
        <v>41590</v>
      </c>
    </row>
    <row r="2831" spans="1:10" x14ac:dyDescent="0.25">
      <c r="A2831" s="1" t="str">
        <f ca="1">IFERROR(__xludf.DUMMYFUNCTION("""COMPUTED_VALUE"""),"Multi Alarm SE")</f>
        <v>Multi Alarm SE</v>
      </c>
      <c r="B2831" s="1" t="str">
        <f ca="1">IFERROR(__xludf.DUMMYFUNCTION("""COMPUTED_VALUE"""),"Bernáth Ákos")</f>
        <v>Bernáth Ákos</v>
      </c>
      <c r="C2831" s="1"/>
      <c r="D2831" s="1" t="str">
        <f ca="1">IFERROR(__xludf.DUMMYFUNCTION("""COMPUTED_VALUE"""),"Férfi")</f>
        <v>Férfi</v>
      </c>
      <c r="E2831" s="1"/>
      <c r="F2831" s="1">
        <f ca="1">IFERROR(__xludf.DUMMYFUNCTION("""COMPUTED_VALUE"""),1995)</f>
        <v>1995</v>
      </c>
      <c r="G2831" s="1">
        <f ca="1">IFERROR(__xludf.DUMMYFUNCTION("""COMPUTED_VALUE"""),2056)</f>
        <v>2056</v>
      </c>
      <c r="H2831" s="1" t="str">
        <f ca="1">IFERROR(__xludf.DUMMYFUNCTION("""COMPUTED_VALUE"""),"MTLSZ002056A12")</f>
        <v>MTLSZ002056A12</v>
      </c>
      <c r="I2831" s="2">
        <f ca="1">IFERROR(__xludf.DUMMYFUNCTION("""COMPUTED_VALUE"""),41243)</f>
        <v>41243</v>
      </c>
      <c r="J2831" s="2">
        <f ca="1">IFERROR(__xludf.DUMMYFUNCTION("""COMPUTED_VALUE"""),41574)</f>
        <v>41574</v>
      </c>
    </row>
    <row r="2832" spans="1:10" x14ac:dyDescent="0.25">
      <c r="A2832" s="1" t="str">
        <f ca="1">IFERROR(__xludf.DUMMYFUNCTION("""COMPUTED_VALUE"""),"Multi Alarm SE")</f>
        <v>Multi Alarm SE</v>
      </c>
      <c r="B2832" s="1" t="str">
        <f ca="1">IFERROR(__xludf.DUMMYFUNCTION("""COMPUTED_VALUE"""),"Balogh Richárd")</f>
        <v>Balogh Richárd</v>
      </c>
      <c r="C2832" s="1"/>
      <c r="D2832" s="1" t="str">
        <f ca="1">IFERROR(__xludf.DUMMYFUNCTION("""COMPUTED_VALUE"""),"Férfi")</f>
        <v>Férfi</v>
      </c>
      <c r="E2832" s="1"/>
      <c r="F2832" s="1">
        <f ca="1">IFERROR(__xludf.DUMMYFUNCTION("""COMPUTED_VALUE"""),1979)</f>
        <v>1979</v>
      </c>
      <c r="G2832" s="1">
        <f ca="1">IFERROR(__xludf.DUMMYFUNCTION("""COMPUTED_VALUE"""),1957)</f>
        <v>1957</v>
      </c>
      <c r="H2832" s="1" t="str">
        <f ca="1">IFERROR(__xludf.DUMMYFUNCTION("""COMPUTED_VALUE"""),"MTLSZ001957A12")</f>
        <v>MTLSZ001957A12</v>
      </c>
      <c r="I2832" s="2">
        <f ca="1">IFERROR(__xludf.DUMMYFUNCTION("""COMPUTED_VALUE"""),41254)</f>
        <v>41254</v>
      </c>
      <c r="J2832" s="2">
        <f ca="1">IFERROR(__xludf.DUMMYFUNCTION("""COMPUTED_VALUE"""),41566)</f>
        <v>41566</v>
      </c>
    </row>
    <row r="2833" spans="1:10" x14ac:dyDescent="0.25">
      <c r="A2833" s="1" t="str">
        <f ca="1">IFERROR(__xludf.DUMMYFUNCTION("""COMPUTED_VALUE"""),"MAFC")</f>
        <v>MAFC</v>
      </c>
      <c r="B2833" s="1" t="str">
        <f ca="1">IFERROR(__xludf.DUMMYFUNCTION("""COMPUTED_VALUE"""),"Pukli Nóra")</f>
        <v>Pukli Nóra</v>
      </c>
      <c r="C2833" s="1"/>
      <c r="D2833" s="1" t="str">
        <f ca="1">IFERROR(__xludf.DUMMYFUNCTION("""COMPUTED_VALUE"""),"Nő")</f>
        <v>Nő</v>
      </c>
      <c r="E2833" s="1"/>
      <c r="F2833" s="1">
        <f ca="1">IFERROR(__xludf.DUMMYFUNCTION("""COMPUTED_VALUE"""),1991)</f>
        <v>1991</v>
      </c>
      <c r="G2833" s="1">
        <f ca="1">IFERROR(__xludf.DUMMYFUNCTION("""COMPUTED_VALUE"""),1798)</f>
        <v>1798</v>
      </c>
      <c r="H2833" s="1" t="str">
        <f ca="1">IFERROR(__xludf.DUMMYFUNCTION("""COMPUTED_VALUE"""),"MTLSZ001798A12")</f>
        <v>MTLSZ001798A12</v>
      </c>
      <c r="I2833" s="2">
        <f ca="1">IFERROR(__xludf.DUMMYFUNCTION("""COMPUTED_VALUE"""),41201)</f>
        <v>41201</v>
      </c>
      <c r="J2833" s="2">
        <f ca="1">IFERROR(__xludf.DUMMYFUNCTION("""COMPUTED_VALUE"""),41565)</f>
        <v>41565</v>
      </c>
    </row>
    <row r="2834" spans="1:10" x14ac:dyDescent="0.25">
      <c r="A2834" s="1" t="str">
        <f ca="1">IFERROR(__xludf.DUMMYFUNCTION("""COMPUTED_VALUE"""),"Danubius KSE")</f>
        <v>Danubius KSE</v>
      </c>
      <c r="B2834" s="1" t="str">
        <f ca="1">IFERROR(__xludf.DUMMYFUNCTION("""COMPUTED_VALUE"""),"Dániel Réka Maja")</f>
        <v>Dániel Réka Maja</v>
      </c>
      <c r="C2834" s="1"/>
      <c r="D2834" s="1" t="str">
        <f ca="1">IFERROR(__xludf.DUMMYFUNCTION("""COMPUTED_VALUE"""),"Nő")</f>
        <v>Nő</v>
      </c>
      <c r="E2834" s="1"/>
      <c r="F2834" s="1">
        <f ca="1">IFERROR(__xludf.DUMMYFUNCTION("""COMPUTED_VALUE"""),2001)</f>
        <v>2001</v>
      </c>
      <c r="G2834" s="1">
        <f ca="1">IFERROR(__xludf.DUMMYFUNCTION("""COMPUTED_VALUE"""),2423)</f>
        <v>2423</v>
      </c>
      <c r="H2834" s="1" t="str">
        <f ca="1">IFERROR(__xludf.DUMMYFUNCTION("""COMPUTED_VALUE"""),"MTLSZ002423A12")</f>
        <v>MTLSZ002423A12</v>
      </c>
      <c r="I2834" s="2">
        <f ca="1">IFERROR(__xludf.DUMMYFUNCTION("""COMPUTED_VALUE"""),41198)</f>
        <v>41198</v>
      </c>
      <c r="J2834" s="2">
        <f ca="1">IFERROR(__xludf.DUMMYFUNCTION("""COMPUTED_VALUE"""),41562)</f>
        <v>41562</v>
      </c>
    </row>
    <row r="2835" spans="1:10" x14ac:dyDescent="0.25">
      <c r="A2835" s="1" t="str">
        <f ca="1">IFERROR(__xludf.DUMMYFUNCTION("""COMPUTED_VALUE"""),"OSC")</f>
        <v>OSC</v>
      </c>
      <c r="B2835" s="1" t="str">
        <f ca="1">IFERROR(__xludf.DUMMYFUNCTION("""COMPUTED_VALUE"""),"Kovács Marcell")</f>
        <v>Kovács Marcell</v>
      </c>
      <c r="C2835" s="1"/>
      <c r="D2835" s="1" t="str">
        <f ca="1">IFERROR(__xludf.DUMMYFUNCTION("""COMPUTED_VALUE"""),"Férfi")</f>
        <v>Férfi</v>
      </c>
      <c r="E2835" s="1"/>
      <c r="F2835" s="1">
        <f ca="1">IFERROR(__xludf.DUMMYFUNCTION("""COMPUTED_VALUE"""),2001)</f>
        <v>2001</v>
      </c>
      <c r="G2835" s="1">
        <f ca="1">IFERROR(__xludf.DUMMYFUNCTION("""COMPUTED_VALUE"""),2281)</f>
        <v>2281</v>
      </c>
      <c r="H2835" s="1" t="str">
        <f ca="1">IFERROR(__xludf.DUMMYFUNCTION("""COMPUTED_VALUE"""),"MTLSZ002281A12")</f>
        <v>MTLSZ002281A12</v>
      </c>
      <c r="I2835" s="2">
        <f ca="1">IFERROR(__xludf.DUMMYFUNCTION("""COMPUTED_VALUE"""),41198)</f>
        <v>41198</v>
      </c>
      <c r="J2835" s="2">
        <f ca="1">IFERROR(__xludf.DUMMYFUNCTION("""COMPUTED_VALUE"""),41562)</f>
        <v>41562</v>
      </c>
    </row>
    <row r="2836" spans="1:10" x14ac:dyDescent="0.25">
      <c r="A2836" s="1" t="str">
        <f ca="1">IFERROR(__xludf.DUMMYFUNCTION("""COMPUTED_VALUE"""),"Danubius KSE")</f>
        <v>Danubius KSE</v>
      </c>
      <c r="B2836" s="1" t="str">
        <f ca="1">IFERROR(__xludf.DUMMYFUNCTION("""COMPUTED_VALUE"""),"Babos Gábor")</f>
        <v>Babos Gábor</v>
      </c>
      <c r="C2836" s="1"/>
      <c r="D2836" s="1" t="str">
        <f ca="1">IFERROR(__xludf.DUMMYFUNCTION("""COMPUTED_VALUE"""),"Férfi")</f>
        <v>Férfi</v>
      </c>
      <c r="E2836" s="1"/>
      <c r="F2836" s="1">
        <f ca="1">IFERROR(__xludf.DUMMYFUNCTION("""COMPUTED_VALUE"""),1998)</f>
        <v>1998</v>
      </c>
      <c r="G2836" s="1">
        <f ca="1">IFERROR(__xludf.DUMMYFUNCTION("""COMPUTED_VALUE"""),1761)</f>
        <v>1761</v>
      </c>
      <c r="H2836" s="1" t="str">
        <f ca="1">IFERROR(__xludf.DUMMYFUNCTION("""COMPUTED_VALUE"""),"MTLSZ001761A12")</f>
        <v>MTLSZ001761A12</v>
      </c>
      <c r="I2836" s="2">
        <f ca="1">IFERROR(__xludf.DUMMYFUNCTION("""COMPUTED_VALUE"""),41208)</f>
        <v>41208</v>
      </c>
      <c r="J2836" s="2">
        <f ca="1">IFERROR(__xludf.DUMMYFUNCTION("""COMPUTED_VALUE"""),41559)</f>
        <v>41559</v>
      </c>
    </row>
    <row r="2837" spans="1:10" x14ac:dyDescent="0.25">
      <c r="A2837" s="1" t="str">
        <f ca="1">IFERROR(__xludf.DUMMYFUNCTION("""COMPUTED_VALUE"""),"BTBK")</f>
        <v>BTBK</v>
      </c>
      <c r="B2837" s="1" t="str">
        <f ca="1">IFERROR(__xludf.DUMMYFUNCTION("""COMPUTED_VALUE"""),"Balogh Sándor")</f>
        <v>Balogh Sándor</v>
      </c>
      <c r="C2837" s="1"/>
      <c r="D2837" s="1" t="str">
        <f ca="1">IFERROR(__xludf.DUMMYFUNCTION("""COMPUTED_VALUE"""),"Férfi")</f>
        <v>Férfi</v>
      </c>
      <c r="E2837" s="1"/>
      <c r="F2837" s="1">
        <f ca="1">IFERROR(__xludf.DUMMYFUNCTION("""COMPUTED_VALUE"""),1945)</f>
        <v>1945</v>
      </c>
      <c r="G2837" s="1">
        <f ca="1">IFERROR(__xludf.DUMMYFUNCTION("""COMPUTED_VALUE"""),2416)</f>
        <v>2416</v>
      </c>
      <c r="H2837" s="1" t="str">
        <f ca="1">IFERROR(__xludf.DUMMYFUNCTION("""COMPUTED_VALUE"""),"MTLSZ002416A12")</f>
        <v>MTLSZ002416A12</v>
      </c>
      <c r="I2837" s="2">
        <f ca="1">IFERROR(__xludf.DUMMYFUNCTION("""COMPUTED_VALUE"""),41194)</f>
        <v>41194</v>
      </c>
      <c r="J2837" s="2">
        <f ca="1">IFERROR(__xludf.DUMMYFUNCTION("""COMPUTED_VALUE"""),41558)</f>
        <v>41558</v>
      </c>
    </row>
    <row r="2838" spans="1:10" x14ac:dyDescent="0.25">
      <c r="A2838" s="1" t="str">
        <f ca="1">IFERROR(__xludf.DUMMYFUNCTION("""COMPUTED_VALUE"""),"NYVSC")</f>
        <v>NYVSC</v>
      </c>
      <c r="B2838" s="1" t="str">
        <f ca="1">IFERROR(__xludf.DUMMYFUNCTION("""COMPUTED_VALUE"""),"Perinecz Kitti")</f>
        <v>Perinecz Kitti</v>
      </c>
      <c r="C2838" s="1"/>
      <c r="D2838" s="1" t="str">
        <f ca="1">IFERROR(__xludf.DUMMYFUNCTION("""COMPUTED_VALUE"""),"Nő")</f>
        <v>Nő</v>
      </c>
      <c r="E2838" s="1"/>
      <c r="F2838" s="1">
        <f ca="1">IFERROR(__xludf.DUMMYFUNCTION("""COMPUTED_VALUE"""),2000)</f>
        <v>2000</v>
      </c>
      <c r="G2838" s="1">
        <f ca="1">IFERROR(__xludf.DUMMYFUNCTION("""COMPUTED_VALUE"""),2303)</f>
        <v>2303</v>
      </c>
      <c r="H2838" s="1" t="str">
        <f ca="1">IFERROR(__xludf.DUMMYFUNCTION("""COMPUTED_VALUE"""),"MTLSZ002303A12")</f>
        <v>MTLSZ002303A12</v>
      </c>
      <c r="I2838" s="2">
        <f ca="1">IFERROR(__xludf.DUMMYFUNCTION("""COMPUTED_VALUE"""),41193)</f>
        <v>41193</v>
      </c>
      <c r="J2838" s="2">
        <f ca="1">IFERROR(__xludf.DUMMYFUNCTION("""COMPUTED_VALUE"""),41557)</f>
        <v>41557</v>
      </c>
    </row>
    <row r="2839" spans="1:10" x14ac:dyDescent="0.25">
      <c r="A2839" s="1" t="str">
        <f ca="1">IFERROR(__xludf.DUMMYFUNCTION("""COMPUTED_VALUE"""),"Multi Alarm SE")</f>
        <v>Multi Alarm SE</v>
      </c>
      <c r="B2839" s="1" t="str">
        <f ca="1">IFERROR(__xludf.DUMMYFUNCTION("""COMPUTED_VALUE"""),"Baranyai Réka")</f>
        <v>Baranyai Réka</v>
      </c>
      <c r="C2839" s="1"/>
      <c r="D2839" s="1" t="str">
        <f ca="1">IFERROR(__xludf.DUMMYFUNCTION("""COMPUTED_VALUE"""),"Nő")</f>
        <v>Nő</v>
      </c>
      <c r="E2839" s="1"/>
      <c r="F2839" s="1">
        <f ca="1">IFERROR(__xludf.DUMMYFUNCTION("""COMPUTED_VALUE"""),1996)</f>
        <v>1996</v>
      </c>
      <c r="G2839" s="1">
        <f ca="1">IFERROR(__xludf.DUMMYFUNCTION("""COMPUTED_VALUE"""),2395)</f>
        <v>2395</v>
      </c>
      <c r="H2839" s="1" t="str">
        <f ca="1">IFERROR(__xludf.DUMMYFUNCTION("""COMPUTED_VALUE"""),"MTLSZ002395A12")</f>
        <v>MTLSZ002395A12</v>
      </c>
      <c r="I2839" s="2">
        <f ca="1">IFERROR(__xludf.DUMMYFUNCTION("""COMPUTED_VALUE"""),41191)</f>
        <v>41191</v>
      </c>
      <c r="J2839" s="2">
        <f ca="1">IFERROR(__xludf.DUMMYFUNCTION("""COMPUTED_VALUE"""),41555)</f>
        <v>41555</v>
      </c>
    </row>
    <row r="2840" spans="1:10" x14ac:dyDescent="0.25">
      <c r="A2840" s="1" t="str">
        <f ca="1">IFERROR(__xludf.DUMMYFUNCTION("""COMPUTED_VALUE"""),"Seregélyesi PDSE")</f>
        <v>Seregélyesi PDSE</v>
      </c>
      <c r="B2840" s="1" t="str">
        <f ca="1">IFERROR(__xludf.DUMMYFUNCTION("""COMPUTED_VALUE"""),"Kiss Szabolcs")</f>
        <v>Kiss Szabolcs</v>
      </c>
      <c r="C2840" s="1"/>
      <c r="D2840" s="1" t="str">
        <f ca="1">IFERROR(__xludf.DUMMYFUNCTION("""COMPUTED_VALUE"""),"Férfi")</f>
        <v>Férfi</v>
      </c>
      <c r="E2840" s="1"/>
      <c r="F2840" s="1">
        <f ca="1">IFERROR(__xludf.DUMMYFUNCTION("""COMPUTED_VALUE"""),1995)</f>
        <v>1995</v>
      </c>
      <c r="G2840" s="1">
        <f ca="1">IFERROR(__xludf.DUMMYFUNCTION("""COMPUTED_VALUE"""),2177)</f>
        <v>2177</v>
      </c>
      <c r="H2840" s="1" t="str">
        <f ca="1">IFERROR(__xludf.DUMMYFUNCTION("""COMPUTED_VALUE"""),"MTLSZ002177A12")</f>
        <v>MTLSZ002177A12</v>
      </c>
      <c r="I2840" s="2">
        <f ca="1">IFERROR(__xludf.DUMMYFUNCTION("""COMPUTED_VALUE"""),41191)</f>
        <v>41191</v>
      </c>
      <c r="J2840" s="2">
        <f ca="1">IFERROR(__xludf.DUMMYFUNCTION("""COMPUTED_VALUE"""),41555)</f>
        <v>41555</v>
      </c>
    </row>
    <row r="2841" spans="1:10" x14ac:dyDescent="0.25">
      <c r="A2841" s="1" t="str">
        <f ca="1">IFERROR(__xludf.DUMMYFUNCTION("""COMPUTED_VALUE"""),"Seregélyesi PDSE")</f>
        <v>Seregélyesi PDSE</v>
      </c>
      <c r="B2841" s="1" t="str">
        <f ca="1">IFERROR(__xludf.DUMMYFUNCTION("""COMPUTED_VALUE"""),"Zsuppán András")</f>
        <v>Zsuppán András</v>
      </c>
      <c r="C2841" s="1"/>
      <c r="D2841" s="1" t="str">
        <f ca="1">IFERROR(__xludf.DUMMYFUNCTION("""COMPUTED_VALUE"""),"Férfi")</f>
        <v>Férfi</v>
      </c>
      <c r="E2841" s="1"/>
      <c r="F2841" s="1">
        <f ca="1">IFERROR(__xludf.DUMMYFUNCTION("""COMPUTED_VALUE"""),2001)</f>
        <v>2001</v>
      </c>
      <c r="G2841" s="1">
        <f ca="1">IFERROR(__xludf.DUMMYFUNCTION("""COMPUTED_VALUE"""),2160)</f>
        <v>2160</v>
      </c>
      <c r="H2841" s="1" t="str">
        <f ca="1">IFERROR(__xludf.DUMMYFUNCTION("""COMPUTED_VALUE"""),"MTLSZ002160A12")</f>
        <v>MTLSZ002160A12</v>
      </c>
      <c r="I2841" s="2">
        <f ca="1">IFERROR(__xludf.DUMMYFUNCTION("""COMPUTED_VALUE"""),41191)</f>
        <v>41191</v>
      </c>
      <c r="J2841" s="2">
        <f ca="1">IFERROR(__xludf.DUMMYFUNCTION("""COMPUTED_VALUE"""),41555)</f>
        <v>41555</v>
      </c>
    </row>
    <row r="2842" spans="1:10" x14ac:dyDescent="0.25">
      <c r="A2842" s="1" t="str">
        <f ca="1">IFERROR(__xludf.DUMMYFUNCTION("""COMPUTED_VALUE"""),"Pedagógus Fáklya SE")</f>
        <v>Pedagógus Fáklya SE</v>
      </c>
      <c r="B2842" s="1" t="str">
        <f ca="1">IFERROR(__xludf.DUMMYFUNCTION("""COMPUTED_VALUE"""),"Fekésházi Mirjam")</f>
        <v>Fekésházi Mirjam</v>
      </c>
      <c r="C2842" s="1"/>
      <c r="D2842" s="1" t="str">
        <f ca="1">IFERROR(__xludf.DUMMYFUNCTION("""COMPUTED_VALUE"""),"Nő")</f>
        <v>Nő</v>
      </c>
      <c r="E2842" s="1"/>
      <c r="F2842" s="1">
        <f ca="1">IFERROR(__xludf.DUMMYFUNCTION("""COMPUTED_VALUE"""),1996)</f>
        <v>1996</v>
      </c>
      <c r="G2842" s="1">
        <f ca="1">IFERROR(__xludf.DUMMYFUNCTION("""COMPUTED_VALUE"""),2279)</f>
        <v>2279</v>
      </c>
      <c r="H2842" s="1" t="str">
        <f ca="1">IFERROR(__xludf.DUMMYFUNCTION("""COMPUTED_VALUE"""),"MTLSZ002279A12")</f>
        <v>MTLSZ002279A12</v>
      </c>
      <c r="I2842" s="2">
        <f ca="1">IFERROR(__xludf.DUMMYFUNCTION("""COMPUTED_VALUE"""),41187)</f>
        <v>41187</v>
      </c>
      <c r="J2842" s="2">
        <f ca="1">IFERROR(__xludf.DUMMYFUNCTION("""COMPUTED_VALUE"""),41551)</f>
        <v>41551</v>
      </c>
    </row>
    <row r="2843" spans="1:10" x14ac:dyDescent="0.25">
      <c r="A2843" s="1" t="str">
        <f ca="1">IFERROR(__xludf.DUMMYFUNCTION("""COMPUTED_VALUE"""),"Alba-Toll SE")</f>
        <v>Alba-Toll SE</v>
      </c>
      <c r="B2843" s="1" t="str">
        <f ca="1">IFERROR(__xludf.DUMMYFUNCTION("""COMPUTED_VALUE"""),"Uley Iván")</f>
        <v>Uley Iván</v>
      </c>
      <c r="C2843" s="1"/>
      <c r="D2843" s="1" t="str">
        <f ca="1">IFERROR(__xludf.DUMMYFUNCTION("""COMPUTED_VALUE"""),"Férfi")</f>
        <v>Férfi</v>
      </c>
      <c r="E2843" s="1"/>
      <c r="F2843" s="1">
        <f ca="1">IFERROR(__xludf.DUMMYFUNCTION("""COMPUTED_VALUE"""),1997)</f>
        <v>1997</v>
      </c>
      <c r="G2843" s="1">
        <f ca="1">IFERROR(__xludf.DUMMYFUNCTION("""COMPUTED_VALUE"""),2399)</f>
        <v>2399</v>
      </c>
      <c r="H2843" s="1" t="str">
        <f ca="1">IFERROR(__xludf.DUMMYFUNCTION("""COMPUTED_VALUE"""),"MTLSZ002399A12")</f>
        <v>MTLSZ002399A12</v>
      </c>
      <c r="I2843" s="2">
        <f ca="1">IFERROR(__xludf.DUMMYFUNCTION("""COMPUTED_VALUE"""),41183)</f>
        <v>41183</v>
      </c>
      <c r="J2843" s="2">
        <f ca="1">IFERROR(__xludf.DUMMYFUNCTION("""COMPUTED_VALUE"""),41547)</f>
        <v>41547</v>
      </c>
    </row>
    <row r="2844" spans="1:10" x14ac:dyDescent="0.25">
      <c r="A2844" s="1" t="str">
        <f ca="1">IFERROR(__xludf.DUMMYFUNCTION("""COMPUTED_VALUE"""),"Multi Alarm SE")</f>
        <v>Multi Alarm SE</v>
      </c>
      <c r="B2844" s="1" t="str">
        <f ca="1">IFERROR(__xludf.DUMMYFUNCTION("""COMPUTED_VALUE"""),"Nagy Rebeka")</f>
        <v>Nagy Rebeka</v>
      </c>
      <c r="C2844" s="1"/>
      <c r="D2844" s="1" t="str">
        <f ca="1">IFERROR(__xludf.DUMMYFUNCTION("""COMPUTED_VALUE"""),"Nő")</f>
        <v>Nő</v>
      </c>
      <c r="E2844" s="1"/>
      <c r="F2844" s="1">
        <f ca="1">IFERROR(__xludf.DUMMYFUNCTION("""COMPUTED_VALUE"""),1997)</f>
        <v>1997</v>
      </c>
      <c r="G2844" s="1">
        <f ca="1">IFERROR(__xludf.DUMMYFUNCTION("""COMPUTED_VALUE"""),2048)</f>
        <v>2048</v>
      </c>
      <c r="H2844" s="1" t="str">
        <f ca="1">IFERROR(__xludf.DUMMYFUNCTION("""COMPUTED_VALUE"""),"MTLSZ002048A12")</f>
        <v>MTLSZ002048A12</v>
      </c>
      <c r="I2844" s="2">
        <f ca="1">IFERROR(__xludf.DUMMYFUNCTION("""COMPUTED_VALUE"""),41183)</f>
        <v>41183</v>
      </c>
      <c r="J2844" s="2">
        <f ca="1">IFERROR(__xludf.DUMMYFUNCTION("""COMPUTED_VALUE"""),41547)</f>
        <v>41547</v>
      </c>
    </row>
    <row r="2845" spans="1:10" x14ac:dyDescent="0.25">
      <c r="A2845" s="1" t="str">
        <f ca="1">IFERROR(__xludf.DUMMYFUNCTION("""COMPUTED_VALUE"""),"Klébi DSE")</f>
        <v>Klébi DSE</v>
      </c>
      <c r="B2845" s="1" t="str">
        <f ca="1">IFERROR(__xludf.DUMMYFUNCTION("""COMPUTED_VALUE"""),"Bakos Ákos")</f>
        <v>Bakos Ákos</v>
      </c>
      <c r="C2845" s="1"/>
      <c r="D2845" s="1" t="str">
        <f ca="1">IFERROR(__xludf.DUMMYFUNCTION("""COMPUTED_VALUE"""),"Férfi")</f>
        <v>Férfi</v>
      </c>
      <c r="E2845" s="1"/>
      <c r="F2845" s="1">
        <f ca="1">IFERROR(__xludf.DUMMYFUNCTION("""COMPUTED_VALUE"""),2001)</f>
        <v>2001</v>
      </c>
      <c r="G2845" s="1">
        <f ca="1">IFERROR(__xludf.DUMMYFUNCTION("""COMPUTED_VALUE"""),2398)</f>
        <v>2398</v>
      </c>
      <c r="H2845" s="1" t="str">
        <f ca="1">IFERROR(__xludf.DUMMYFUNCTION("""COMPUTED_VALUE"""),"MTLSZ002398A12")</f>
        <v>MTLSZ002398A12</v>
      </c>
      <c r="I2845" s="2">
        <f ca="1">IFERROR(__xludf.DUMMYFUNCTION("""COMPUTED_VALUE"""),41180)</f>
        <v>41180</v>
      </c>
      <c r="J2845" s="2">
        <f ca="1">IFERROR(__xludf.DUMMYFUNCTION("""COMPUTED_VALUE"""),41544)</f>
        <v>41544</v>
      </c>
    </row>
    <row r="2846" spans="1:10" x14ac:dyDescent="0.25">
      <c r="A2846" s="1" t="str">
        <f ca="1">IFERROR(__xludf.DUMMYFUNCTION("""COMPUTED_VALUE"""),"Klébi DSE")</f>
        <v>Klébi DSE</v>
      </c>
      <c r="B2846" s="1" t="str">
        <f ca="1">IFERROR(__xludf.DUMMYFUNCTION("""COMPUTED_VALUE"""),"Balog Benjámin")</f>
        <v>Balog Benjámin</v>
      </c>
      <c r="C2846" s="1"/>
      <c r="D2846" s="1" t="str">
        <f ca="1">IFERROR(__xludf.DUMMYFUNCTION("""COMPUTED_VALUE"""),"Férfi")</f>
        <v>Férfi</v>
      </c>
      <c r="E2846" s="1"/>
      <c r="F2846" s="1">
        <f ca="1">IFERROR(__xludf.DUMMYFUNCTION("""COMPUTED_VALUE"""),1997)</f>
        <v>1997</v>
      </c>
      <c r="G2846" s="1">
        <f ca="1">IFERROR(__xludf.DUMMYFUNCTION("""COMPUTED_VALUE"""),2251)</f>
        <v>2251</v>
      </c>
      <c r="H2846" s="1" t="str">
        <f ca="1">IFERROR(__xludf.DUMMYFUNCTION("""COMPUTED_VALUE"""),"MTLSZ002251A12")</f>
        <v>MTLSZ002251A12</v>
      </c>
      <c r="I2846" s="2">
        <f ca="1">IFERROR(__xludf.DUMMYFUNCTION("""COMPUTED_VALUE"""),41180)</f>
        <v>41180</v>
      </c>
      <c r="J2846" s="2">
        <f ca="1">IFERROR(__xludf.DUMMYFUNCTION("""COMPUTED_VALUE"""),41544)</f>
        <v>41544</v>
      </c>
    </row>
    <row r="2847" spans="1:10" x14ac:dyDescent="0.25">
      <c r="A2847" s="1" t="str">
        <f ca="1">IFERROR(__xludf.DUMMYFUNCTION("""COMPUTED_VALUE"""),"Klébi DSE")</f>
        <v>Klébi DSE</v>
      </c>
      <c r="B2847" s="1" t="str">
        <f ca="1">IFERROR(__xludf.DUMMYFUNCTION("""COMPUTED_VALUE"""),"Bohunka Eszter")</f>
        <v>Bohunka Eszter</v>
      </c>
      <c r="C2847" s="1"/>
      <c r="D2847" s="1" t="str">
        <f ca="1">IFERROR(__xludf.DUMMYFUNCTION("""COMPUTED_VALUE"""),"Nő")</f>
        <v>Nő</v>
      </c>
      <c r="E2847" s="1"/>
      <c r="F2847" s="1">
        <f ca="1">IFERROR(__xludf.DUMMYFUNCTION("""COMPUTED_VALUE"""),1991)</f>
        <v>1991</v>
      </c>
      <c r="G2847" s="1">
        <f ca="1">IFERROR(__xludf.DUMMYFUNCTION("""COMPUTED_VALUE"""),1564)</f>
        <v>1564</v>
      </c>
      <c r="H2847" s="1" t="str">
        <f ca="1">IFERROR(__xludf.DUMMYFUNCTION("""COMPUTED_VALUE"""),"MTLSZ001564A12")</f>
        <v>MTLSZ001564A12</v>
      </c>
      <c r="I2847" s="2">
        <f ca="1">IFERROR(__xludf.DUMMYFUNCTION("""COMPUTED_VALUE"""),41180)</f>
        <v>41180</v>
      </c>
      <c r="J2847" s="2">
        <f ca="1">IFERROR(__xludf.DUMMYFUNCTION("""COMPUTED_VALUE"""),41544)</f>
        <v>41544</v>
      </c>
    </row>
    <row r="2848" spans="1:10" x14ac:dyDescent="0.25">
      <c r="A2848" s="1" t="str">
        <f ca="1">IFERROR(__xludf.DUMMYFUNCTION("""COMPUTED_VALUE"""),"Klébi DSE")</f>
        <v>Klébi DSE</v>
      </c>
      <c r="B2848" s="1" t="str">
        <f ca="1">IFERROR(__xludf.DUMMYFUNCTION("""COMPUTED_VALUE"""),"Ivády Zoltán")</f>
        <v>Ivády Zoltán</v>
      </c>
      <c r="C2848" s="1"/>
      <c r="D2848" s="1" t="str">
        <f ca="1">IFERROR(__xludf.DUMMYFUNCTION("""COMPUTED_VALUE"""),"Férfi")</f>
        <v>Férfi</v>
      </c>
      <c r="E2848" s="1"/>
      <c r="F2848" s="1">
        <f ca="1">IFERROR(__xludf.DUMMYFUNCTION("""COMPUTED_VALUE"""),1995)</f>
        <v>1995</v>
      </c>
      <c r="G2848" s="1">
        <f ca="1">IFERROR(__xludf.DUMMYFUNCTION("""COMPUTED_VALUE"""),2123)</f>
        <v>2123</v>
      </c>
      <c r="H2848" s="1" t="str">
        <f ca="1">IFERROR(__xludf.DUMMYFUNCTION("""COMPUTED_VALUE"""),"MTLSZ002123A12")</f>
        <v>MTLSZ002123A12</v>
      </c>
      <c r="I2848" s="2">
        <f ca="1">IFERROR(__xludf.DUMMYFUNCTION("""COMPUTED_VALUE"""),41180)</f>
        <v>41180</v>
      </c>
      <c r="J2848" s="2">
        <f ca="1">IFERROR(__xludf.DUMMYFUNCTION("""COMPUTED_VALUE"""),41544)</f>
        <v>41544</v>
      </c>
    </row>
    <row r="2849" spans="1:10" x14ac:dyDescent="0.25">
      <c r="A2849" s="1" t="str">
        <f ca="1">IFERROR(__xludf.DUMMYFUNCTION("""COMPUTED_VALUE"""),"Klébi DSE")</f>
        <v>Klébi DSE</v>
      </c>
      <c r="B2849" s="1" t="str">
        <f ca="1">IFERROR(__xludf.DUMMYFUNCTION("""COMPUTED_VALUE"""),"Orgován Géza")</f>
        <v>Orgován Géza</v>
      </c>
      <c r="C2849" s="1"/>
      <c r="D2849" s="1" t="str">
        <f ca="1">IFERROR(__xludf.DUMMYFUNCTION("""COMPUTED_VALUE"""),"Nő")</f>
        <v>Nő</v>
      </c>
      <c r="E2849" s="1"/>
      <c r="F2849" s="1">
        <f ca="1">IFERROR(__xludf.DUMMYFUNCTION("""COMPUTED_VALUE"""),1996)</f>
        <v>1996</v>
      </c>
      <c r="G2849" s="1">
        <f ca="1">IFERROR(__xludf.DUMMYFUNCTION("""COMPUTED_VALUE"""),2252)</f>
        <v>2252</v>
      </c>
      <c r="H2849" s="1" t="str">
        <f ca="1">IFERROR(__xludf.DUMMYFUNCTION("""COMPUTED_VALUE"""),"MTLSZ002252A12")</f>
        <v>MTLSZ002252A12</v>
      </c>
      <c r="I2849" s="2">
        <f ca="1">IFERROR(__xludf.DUMMYFUNCTION("""COMPUTED_VALUE"""),41180)</f>
        <v>41180</v>
      </c>
      <c r="J2849" s="2">
        <f ca="1">IFERROR(__xludf.DUMMYFUNCTION("""COMPUTED_VALUE"""),41544)</f>
        <v>41544</v>
      </c>
    </row>
    <row r="2850" spans="1:10" x14ac:dyDescent="0.25">
      <c r="A2850" s="1" t="str">
        <f ca="1">IFERROR(__xludf.DUMMYFUNCTION("""COMPUTED_VALUE"""),"Klébi DSE")</f>
        <v>Klébi DSE</v>
      </c>
      <c r="B2850" s="1" t="str">
        <f ca="1">IFERROR(__xludf.DUMMYFUNCTION("""COMPUTED_VALUE"""),"Varga Bernát Kristóf")</f>
        <v>Varga Bernát Kristóf</v>
      </c>
      <c r="C2850" s="1"/>
      <c r="D2850" s="1" t="str">
        <f ca="1">IFERROR(__xludf.DUMMYFUNCTION("""COMPUTED_VALUE"""),"Férfi")</f>
        <v>Férfi</v>
      </c>
      <c r="E2850" s="1"/>
      <c r="F2850" s="1">
        <f ca="1">IFERROR(__xludf.DUMMYFUNCTION("""COMPUTED_VALUE"""),1996)</f>
        <v>1996</v>
      </c>
      <c r="G2850" s="1">
        <f ca="1">IFERROR(__xludf.DUMMYFUNCTION("""COMPUTED_VALUE"""),1919)</f>
        <v>1919</v>
      </c>
      <c r="H2850" s="1" t="str">
        <f ca="1">IFERROR(__xludf.DUMMYFUNCTION("""COMPUTED_VALUE"""),"MTLSZ001919A12")</f>
        <v>MTLSZ001919A12</v>
      </c>
      <c r="I2850" s="2">
        <f ca="1">IFERROR(__xludf.DUMMYFUNCTION("""COMPUTED_VALUE"""),41180)</f>
        <v>41180</v>
      </c>
      <c r="J2850" s="2">
        <f ca="1">IFERROR(__xludf.DUMMYFUNCTION("""COMPUTED_VALUE"""),41544)</f>
        <v>41544</v>
      </c>
    </row>
    <row r="2851" spans="1:10" x14ac:dyDescent="0.25">
      <c r="A2851" s="1" t="str">
        <f ca="1">IFERROR(__xludf.DUMMYFUNCTION("""COMPUTED_VALUE"""),"Bodajki TSE")</f>
        <v>Bodajki TSE</v>
      </c>
      <c r="B2851" s="1" t="str">
        <f ca="1">IFERROR(__xludf.DUMMYFUNCTION("""COMPUTED_VALUE"""),"Nagy Martin")</f>
        <v>Nagy Martin</v>
      </c>
      <c r="C2851" s="1"/>
      <c r="D2851" s="1" t="str">
        <f ca="1">IFERROR(__xludf.DUMMYFUNCTION("""COMPUTED_VALUE"""),"Férfi")</f>
        <v>Férfi</v>
      </c>
      <c r="E2851" s="1"/>
      <c r="F2851" s="1">
        <f ca="1">IFERROR(__xludf.DUMMYFUNCTION("""COMPUTED_VALUE"""),1993)</f>
        <v>1993</v>
      </c>
      <c r="G2851" s="1">
        <f ca="1">IFERROR(__xludf.DUMMYFUNCTION("""COMPUTED_VALUE"""),2272)</f>
        <v>2272</v>
      </c>
      <c r="H2851" s="1" t="str">
        <f ca="1">IFERROR(__xludf.DUMMYFUNCTION("""COMPUTED_VALUE"""),"MTLSZ002272A12")</f>
        <v>MTLSZ002272A12</v>
      </c>
      <c r="I2851" s="2">
        <f ca="1">IFERROR(__xludf.DUMMYFUNCTION("""COMPUTED_VALUE"""),41172)</f>
        <v>41172</v>
      </c>
      <c r="J2851" s="2">
        <f ca="1">IFERROR(__xludf.DUMMYFUNCTION("""COMPUTED_VALUE"""),41536)</f>
        <v>41536</v>
      </c>
    </row>
    <row r="2852" spans="1:10" x14ac:dyDescent="0.25">
      <c r="A2852" s="1" t="str">
        <f ca="1">IFERROR(__xludf.DUMMYFUNCTION("""COMPUTED_VALUE"""),"Tisza TSE")</f>
        <v>Tisza TSE</v>
      </c>
      <c r="B2852" s="1" t="str">
        <f ca="1">IFERROR(__xludf.DUMMYFUNCTION("""COMPUTED_VALUE"""),"Dinnyés Márton")</f>
        <v>Dinnyés Márton</v>
      </c>
      <c r="C2852" s="1"/>
      <c r="D2852" s="1" t="str">
        <f ca="1">IFERROR(__xludf.DUMMYFUNCTION("""COMPUTED_VALUE"""),"Férfi")</f>
        <v>Férfi</v>
      </c>
      <c r="E2852" s="1"/>
      <c r="F2852" s="1">
        <f ca="1">IFERROR(__xludf.DUMMYFUNCTION("""COMPUTED_VALUE"""),1978)</f>
        <v>1978</v>
      </c>
      <c r="G2852" s="1">
        <f ca="1">IFERROR(__xludf.DUMMYFUNCTION("""COMPUTED_VALUE"""),2396)</f>
        <v>2396</v>
      </c>
      <c r="H2852" s="1" t="str">
        <f ca="1">IFERROR(__xludf.DUMMYFUNCTION("""COMPUTED_VALUE"""),"MTLSZ002396A12")</f>
        <v>MTLSZ002396A12</v>
      </c>
      <c r="I2852" s="2">
        <f ca="1">IFERROR(__xludf.DUMMYFUNCTION("""COMPUTED_VALUE"""),41172)</f>
        <v>41172</v>
      </c>
      <c r="J2852" s="2">
        <f ca="1">IFERROR(__xludf.DUMMYFUNCTION("""COMPUTED_VALUE"""),41536)</f>
        <v>41536</v>
      </c>
    </row>
    <row r="2853" spans="1:10" x14ac:dyDescent="0.25">
      <c r="A2853" s="1" t="str">
        <f ca="1">IFERROR(__xludf.DUMMYFUNCTION("""COMPUTED_VALUE"""),"DSC-SI")</f>
        <v>DSC-SI</v>
      </c>
      <c r="B2853" s="1" t="str">
        <f ca="1">IFERROR(__xludf.DUMMYFUNCTION("""COMPUTED_VALUE"""),"Ágics Beatrix")</f>
        <v>Ágics Beatrix</v>
      </c>
      <c r="C2853" s="1"/>
      <c r="D2853" s="1" t="str">
        <f ca="1">IFERROR(__xludf.DUMMYFUNCTION("""COMPUTED_VALUE"""),"Nő")</f>
        <v>Nő</v>
      </c>
      <c r="E2853" s="1"/>
      <c r="F2853" s="1">
        <f ca="1">IFERROR(__xludf.DUMMYFUNCTION("""COMPUTED_VALUE"""),1995)</f>
        <v>1995</v>
      </c>
      <c r="G2853" s="1">
        <f ca="1">IFERROR(__xludf.DUMMYFUNCTION("""COMPUTED_VALUE"""),2288)</f>
        <v>2288</v>
      </c>
      <c r="H2853" s="1" t="str">
        <f ca="1">IFERROR(__xludf.DUMMYFUNCTION("""COMPUTED_VALUE"""),"MTLSZ002288A12")</f>
        <v>MTLSZ002288A12</v>
      </c>
      <c r="I2853" s="2">
        <f ca="1">IFERROR(__xludf.DUMMYFUNCTION("""COMPUTED_VALUE"""),41166)</f>
        <v>41166</v>
      </c>
      <c r="J2853" s="2">
        <f ca="1">IFERROR(__xludf.DUMMYFUNCTION("""COMPUTED_VALUE"""),41530)</f>
        <v>41530</v>
      </c>
    </row>
    <row r="2854" spans="1:10" x14ac:dyDescent="0.25">
      <c r="A2854" s="1" t="str">
        <f ca="1">IFERROR(__xludf.DUMMYFUNCTION("""COMPUTED_VALUE"""),"DSC-SI")</f>
        <v>DSC-SI</v>
      </c>
      <c r="B2854" s="1" t="str">
        <f ca="1">IFERROR(__xludf.DUMMYFUNCTION("""COMPUTED_VALUE"""),"Endrey Léna")</f>
        <v>Endrey Léna</v>
      </c>
      <c r="C2854" s="1"/>
      <c r="D2854" s="1" t="str">
        <f ca="1">IFERROR(__xludf.DUMMYFUNCTION("""COMPUTED_VALUE"""),"Nő")</f>
        <v>Nő</v>
      </c>
      <c r="E2854" s="1"/>
      <c r="F2854" s="1">
        <f ca="1">IFERROR(__xludf.DUMMYFUNCTION("""COMPUTED_VALUE"""),2001)</f>
        <v>2001</v>
      </c>
      <c r="G2854" s="1">
        <f ca="1">IFERROR(__xludf.DUMMYFUNCTION("""COMPUTED_VALUE"""),2291)</f>
        <v>2291</v>
      </c>
      <c r="H2854" s="1" t="str">
        <f ca="1">IFERROR(__xludf.DUMMYFUNCTION("""COMPUTED_VALUE"""),"MTLSZ002291A12")</f>
        <v>MTLSZ002291A12</v>
      </c>
      <c r="I2854" s="2">
        <f ca="1">IFERROR(__xludf.DUMMYFUNCTION("""COMPUTED_VALUE"""),41166)</f>
        <v>41166</v>
      </c>
      <c r="J2854" s="2">
        <f ca="1">IFERROR(__xludf.DUMMYFUNCTION("""COMPUTED_VALUE"""),41530)</f>
        <v>41530</v>
      </c>
    </row>
    <row r="2855" spans="1:10" x14ac:dyDescent="0.25">
      <c r="A2855" s="1" t="str">
        <f ca="1">IFERROR(__xludf.DUMMYFUNCTION("""COMPUTED_VALUE"""),"DSC-SI")</f>
        <v>DSC-SI</v>
      </c>
      <c r="B2855" s="1" t="str">
        <f ca="1">IFERROR(__xludf.DUMMYFUNCTION("""COMPUTED_VALUE"""),"Kaposi Attila")</f>
        <v>Kaposi Attila</v>
      </c>
      <c r="C2855" s="1"/>
      <c r="D2855" s="1" t="str">
        <f ca="1">IFERROR(__xludf.DUMMYFUNCTION("""COMPUTED_VALUE"""),"Férfi")</f>
        <v>Férfi</v>
      </c>
      <c r="E2855" s="1"/>
      <c r="F2855" s="1">
        <f ca="1">IFERROR(__xludf.DUMMYFUNCTION("""COMPUTED_VALUE"""),1984)</f>
        <v>1984</v>
      </c>
      <c r="G2855" s="1">
        <f ca="1">IFERROR(__xludf.DUMMYFUNCTION("""COMPUTED_VALUE"""),433)</f>
        <v>433</v>
      </c>
      <c r="H2855" s="1" t="str">
        <f ca="1">IFERROR(__xludf.DUMMYFUNCTION("""COMPUTED_VALUE"""),"MTLSZ000433A12")</f>
        <v>MTLSZ000433A12</v>
      </c>
      <c r="I2855" s="2">
        <f ca="1">IFERROR(__xludf.DUMMYFUNCTION("""COMPUTED_VALUE"""),41166)</f>
        <v>41166</v>
      </c>
      <c r="J2855" s="2">
        <f ca="1">IFERROR(__xludf.DUMMYFUNCTION("""COMPUTED_VALUE"""),41530)</f>
        <v>41530</v>
      </c>
    </row>
    <row r="2856" spans="1:10" x14ac:dyDescent="0.25">
      <c r="A2856" s="1" t="str">
        <f ca="1">IFERROR(__xludf.DUMMYFUNCTION("""COMPUTED_VALUE"""),"DSC-SI")</f>
        <v>DSC-SI</v>
      </c>
      <c r="B2856" s="1" t="str">
        <f ca="1">IFERROR(__xludf.DUMMYFUNCTION("""COMPUTED_VALUE"""),"Lukács Gréta")</f>
        <v>Lukács Gréta</v>
      </c>
      <c r="C2856" s="1"/>
      <c r="D2856" s="1" t="str">
        <f ca="1">IFERROR(__xludf.DUMMYFUNCTION("""COMPUTED_VALUE"""),"Nő")</f>
        <v>Nő</v>
      </c>
      <c r="E2856" s="1"/>
      <c r="F2856" s="1">
        <f ca="1">IFERROR(__xludf.DUMMYFUNCTION("""COMPUTED_VALUE"""),1997)</f>
        <v>1997</v>
      </c>
      <c r="G2856" s="1">
        <f ca="1">IFERROR(__xludf.DUMMYFUNCTION("""COMPUTED_VALUE"""),2283)</f>
        <v>2283</v>
      </c>
      <c r="H2856" s="1" t="str">
        <f ca="1">IFERROR(__xludf.DUMMYFUNCTION("""COMPUTED_VALUE"""),"MTLSZ002283A12")</f>
        <v>MTLSZ002283A12</v>
      </c>
      <c r="I2856" s="2">
        <f ca="1">IFERROR(__xludf.DUMMYFUNCTION("""COMPUTED_VALUE"""),41166)</f>
        <v>41166</v>
      </c>
      <c r="J2856" s="2">
        <f ca="1">IFERROR(__xludf.DUMMYFUNCTION("""COMPUTED_VALUE"""),41530)</f>
        <v>41530</v>
      </c>
    </row>
    <row r="2857" spans="1:10" x14ac:dyDescent="0.25">
      <c r="A2857" s="1" t="str">
        <f ca="1">IFERROR(__xludf.DUMMYFUNCTION("""COMPUTED_VALUE"""),"DSC-SI")</f>
        <v>DSC-SI</v>
      </c>
      <c r="B2857" s="1" t="str">
        <f ca="1">IFERROR(__xludf.DUMMYFUNCTION("""COMPUTED_VALUE"""),"Lukács Petra Flóra")</f>
        <v>Lukács Petra Flóra</v>
      </c>
      <c r="C2857" s="1"/>
      <c r="D2857" s="1" t="str">
        <f ca="1">IFERROR(__xludf.DUMMYFUNCTION("""COMPUTED_VALUE"""),"Nő")</f>
        <v>Nő</v>
      </c>
      <c r="E2857" s="1"/>
      <c r="F2857" s="1">
        <f ca="1">IFERROR(__xludf.DUMMYFUNCTION("""COMPUTED_VALUE"""),2001)</f>
        <v>2001</v>
      </c>
      <c r="G2857" s="1">
        <f ca="1">IFERROR(__xludf.DUMMYFUNCTION("""COMPUTED_VALUE"""),2356)</f>
        <v>2356</v>
      </c>
      <c r="H2857" s="1" t="str">
        <f ca="1">IFERROR(__xludf.DUMMYFUNCTION("""COMPUTED_VALUE"""),"MTLSZ002356A12")</f>
        <v>MTLSZ002356A12</v>
      </c>
      <c r="I2857" s="2">
        <f ca="1">IFERROR(__xludf.DUMMYFUNCTION("""COMPUTED_VALUE"""),41166)</f>
        <v>41166</v>
      </c>
      <c r="J2857" s="2">
        <f ca="1">IFERROR(__xludf.DUMMYFUNCTION("""COMPUTED_VALUE"""),41530)</f>
        <v>41530</v>
      </c>
    </row>
    <row r="2858" spans="1:10" x14ac:dyDescent="0.25">
      <c r="A2858" s="1" t="str">
        <f ca="1">IFERROR(__xludf.DUMMYFUNCTION("""COMPUTED_VALUE"""),"DSC-SI")</f>
        <v>DSC-SI</v>
      </c>
      <c r="B2858" s="1" t="str">
        <f ca="1">IFERROR(__xludf.DUMMYFUNCTION("""COMPUTED_VALUE"""),"Molnár Luca")</f>
        <v>Molnár Luca</v>
      </c>
      <c r="C2858" s="1"/>
      <c r="D2858" s="1" t="str">
        <f ca="1">IFERROR(__xludf.DUMMYFUNCTION("""COMPUTED_VALUE"""),"Nő")</f>
        <v>Nő</v>
      </c>
      <c r="E2858" s="1"/>
      <c r="F2858" s="1">
        <f ca="1">IFERROR(__xludf.DUMMYFUNCTION("""COMPUTED_VALUE"""),2000)</f>
        <v>2000</v>
      </c>
      <c r="G2858" s="1">
        <f ca="1">IFERROR(__xludf.DUMMYFUNCTION("""COMPUTED_VALUE"""),2284)</f>
        <v>2284</v>
      </c>
      <c r="H2858" s="1" t="str">
        <f ca="1">IFERROR(__xludf.DUMMYFUNCTION("""COMPUTED_VALUE"""),"MTLSZ002284A12")</f>
        <v>MTLSZ002284A12</v>
      </c>
      <c r="I2858" s="2">
        <f ca="1">IFERROR(__xludf.DUMMYFUNCTION("""COMPUTED_VALUE"""),41166)</f>
        <v>41166</v>
      </c>
      <c r="J2858" s="2">
        <f ca="1">IFERROR(__xludf.DUMMYFUNCTION("""COMPUTED_VALUE"""),41530)</f>
        <v>41530</v>
      </c>
    </row>
    <row r="2859" spans="1:10" x14ac:dyDescent="0.25">
      <c r="A2859" s="1" t="str">
        <f ca="1">IFERROR(__xludf.DUMMYFUNCTION("""COMPUTED_VALUE"""),"DSC-SI")</f>
        <v>DSC-SI</v>
      </c>
      <c r="B2859" s="1" t="str">
        <f ca="1">IFERROR(__xludf.DUMMYFUNCTION("""COMPUTED_VALUE"""),"Vislóczki György")</f>
        <v>Vislóczki György</v>
      </c>
      <c r="C2859" s="1"/>
      <c r="D2859" s="1" t="str">
        <f ca="1">IFERROR(__xludf.DUMMYFUNCTION("""COMPUTED_VALUE"""),"Férfi")</f>
        <v>Férfi</v>
      </c>
      <c r="E2859" s="1"/>
      <c r="F2859" s="1">
        <f ca="1">IFERROR(__xludf.DUMMYFUNCTION("""COMPUTED_VALUE"""),1992)</f>
        <v>1992</v>
      </c>
      <c r="G2859" s="1">
        <f ca="1">IFERROR(__xludf.DUMMYFUNCTION("""COMPUTED_VALUE"""),1230)</f>
        <v>1230</v>
      </c>
      <c r="H2859" s="1" t="str">
        <f ca="1">IFERROR(__xludf.DUMMYFUNCTION("""COMPUTED_VALUE"""),"MTLSZ001230A12")</f>
        <v>MTLSZ001230A12</v>
      </c>
      <c r="I2859" s="2">
        <f ca="1">IFERROR(__xludf.DUMMYFUNCTION("""COMPUTED_VALUE"""),41166)</f>
        <v>41166</v>
      </c>
      <c r="J2859" s="2">
        <f ca="1">IFERROR(__xludf.DUMMYFUNCTION("""COMPUTED_VALUE"""),41530)</f>
        <v>41530</v>
      </c>
    </row>
    <row r="2860" spans="1:10" x14ac:dyDescent="0.25">
      <c r="A2860" s="1" t="str">
        <f ca="1">IFERROR(__xludf.DUMMYFUNCTION("""COMPUTED_VALUE"""),"Reac SE")</f>
        <v>Reac SE</v>
      </c>
      <c r="B2860" s="1" t="str">
        <f ca="1">IFERROR(__xludf.DUMMYFUNCTION("""COMPUTED_VALUE"""),"Sági Denis")</f>
        <v>Sági Denis</v>
      </c>
      <c r="C2860" s="1"/>
      <c r="D2860" s="1" t="str">
        <f ca="1">IFERROR(__xludf.DUMMYFUNCTION("""COMPUTED_VALUE"""),"Férfi")</f>
        <v>Férfi</v>
      </c>
      <c r="E2860" s="1"/>
      <c r="F2860" s="1">
        <f ca="1">IFERROR(__xludf.DUMMYFUNCTION("""COMPUTED_VALUE"""),1996)</f>
        <v>1996</v>
      </c>
      <c r="G2860" s="1">
        <f ca="1">IFERROR(__xludf.DUMMYFUNCTION("""COMPUTED_VALUE"""),2393)</f>
        <v>2393</v>
      </c>
      <c r="H2860" s="1" t="str">
        <f ca="1">IFERROR(__xludf.DUMMYFUNCTION("""COMPUTED_VALUE"""),"MTLSZ002393A12")</f>
        <v>MTLSZ002393A12</v>
      </c>
      <c r="I2860" s="2">
        <f ca="1">IFERROR(__xludf.DUMMYFUNCTION("""COMPUTED_VALUE"""),41166)</f>
        <v>41166</v>
      </c>
      <c r="J2860" s="2">
        <f ca="1">IFERROR(__xludf.DUMMYFUNCTION("""COMPUTED_VALUE"""),41530)</f>
        <v>41530</v>
      </c>
    </row>
    <row r="2861" spans="1:10" x14ac:dyDescent="0.25">
      <c r="A2861" s="1" t="str">
        <f ca="1">IFERROR(__xludf.DUMMYFUNCTION("""COMPUTED_VALUE"""),"Multi Alarm SE")</f>
        <v>Multi Alarm SE</v>
      </c>
      <c r="B2861" s="1" t="str">
        <f ca="1">IFERROR(__xludf.DUMMYFUNCTION("""COMPUTED_VALUE"""),"Fekete Sára")</f>
        <v>Fekete Sára</v>
      </c>
      <c r="C2861" s="1"/>
      <c r="D2861" s="1" t="str">
        <f ca="1">IFERROR(__xludf.DUMMYFUNCTION("""COMPUTED_VALUE"""),"Nő")</f>
        <v>Nő</v>
      </c>
      <c r="E2861" s="1"/>
      <c r="F2861" s="1">
        <f ca="1">IFERROR(__xludf.DUMMYFUNCTION("""COMPUTED_VALUE"""),1991)</f>
        <v>1991</v>
      </c>
      <c r="G2861" s="1">
        <f ca="1">IFERROR(__xludf.DUMMYFUNCTION("""COMPUTED_VALUE"""),1293)</f>
        <v>1293</v>
      </c>
      <c r="H2861" s="1" t="str">
        <f ca="1">IFERROR(__xludf.DUMMYFUNCTION("""COMPUTED_VALUE"""),"MTLSZ001293A12")</f>
        <v>MTLSZ001293A12</v>
      </c>
      <c r="I2861" s="2">
        <f ca="1">IFERROR(__xludf.DUMMYFUNCTION("""COMPUTED_VALUE"""),41163)</f>
        <v>41163</v>
      </c>
      <c r="J2861" s="2">
        <f ca="1">IFERROR(__xludf.DUMMYFUNCTION("""COMPUTED_VALUE"""),41527)</f>
        <v>41527</v>
      </c>
    </row>
    <row r="2862" spans="1:10" x14ac:dyDescent="0.25">
      <c r="A2862" s="1" t="str">
        <f ca="1">IFERROR(__xludf.DUMMYFUNCTION("""COMPUTED_VALUE"""),"Multi Alarm SE")</f>
        <v>Multi Alarm SE</v>
      </c>
      <c r="B2862" s="1" t="str">
        <f ca="1">IFERROR(__xludf.DUMMYFUNCTION("""COMPUTED_VALUE"""),"Hoffmann Donát")</f>
        <v>Hoffmann Donát</v>
      </c>
      <c r="C2862" s="1"/>
      <c r="D2862" s="1" t="str">
        <f ca="1">IFERROR(__xludf.DUMMYFUNCTION("""COMPUTED_VALUE"""),"Férfi")</f>
        <v>Férfi</v>
      </c>
      <c r="E2862" s="1"/>
      <c r="F2862" s="1">
        <f ca="1">IFERROR(__xludf.DUMMYFUNCTION("""COMPUTED_VALUE"""),1995)</f>
        <v>1995</v>
      </c>
      <c r="G2862" s="1">
        <f ca="1">IFERROR(__xludf.DUMMYFUNCTION("""COMPUTED_VALUE"""),1871)</f>
        <v>1871</v>
      </c>
      <c r="H2862" s="1" t="str">
        <f ca="1">IFERROR(__xludf.DUMMYFUNCTION("""COMPUTED_VALUE"""),"MTLSZ001871A12")</f>
        <v>MTLSZ001871A12</v>
      </c>
      <c r="I2862" s="2">
        <f ca="1">IFERROR(__xludf.DUMMYFUNCTION("""COMPUTED_VALUE"""),41163)</f>
        <v>41163</v>
      </c>
      <c r="J2862" s="2">
        <f ca="1">IFERROR(__xludf.DUMMYFUNCTION("""COMPUTED_VALUE"""),41527)</f>
        <v>41527</v>
      </c>
    </row>
    <row r="2863" spans="1:10" x14ac:dyDescent="0.25">
      <c r="A2863" s="1" t="str">
        <f ca="1">IFERROR(__xludf.DUMMYFUNCTION("""COMPUTED_VALUE"""),"Multi Alarm SE")</f>
        <v>Multi Alarm SE</v>
      </c>
      <c r="B2863" s="1" t="str">
        <f ca="1">IFERROR(__xludf.DUMMYFUNCTION("""COMPUTED_VALUE"""),"Horváth Bence")</f>
        <v>Horváth Bence</v>
      </c>
      <c r="C2863" s="1"/>
      <c r="D2863" s="1" t="str">
        <f ca="1">IFERROR(__xludf.DUMMYFUNCTION("""COMPUTED_VALUE"""),"Férfi")</f>
        <v>Férfi</v>
      </c>
      <c r="E2863" s="1"/>
      <c r="F2863" s="1">
        <f ca="1">IFERROR(__xludf.DUMMYFUNCTION("""COMPUTED_VALUE"""),2003)</f>
        <v>2003</v>
      </c>
      <c r="G2863" s="1">
        <f ca="1">IFERROR(__xludf.DUMMYFUNCTION("""COMPUTED_VALUE"""),2207)</f>
        <v>2207</v>
      </c>
      <c r="H2863" s="1" t="str">
        <f ca="1">IFERROR(__xludf.DUMMYFUNCTION("""COMPUTED_VALUE"""),"MTLSZ002207A12")</f>
        <v>MTLSZ002207A12</v>
      </c>
      <c r="I2863" s="2">
        <f ca="1">IFERROR(__xludf.DUMMYFUNCTION("""COMPUTED_VALUE"""),41254)</f>
        <v>41254</v>
      </c>
      <c r="J2863" s="2">
        <f ca="1">IFERROR(__xludf.DUMMYFUNCTION("""COMPUTED_VALUE"""),41524)</f>
        <v>41524</v>
      </c>
    </row>
    <row r="2864" spans="1:10" x14ac:dyDescent="0.25">
      <c r="A2864" s="1" t="str">
        <f ca="1">IFERROR(__xludf.DUMMYFUNCTION("""COMPUTED_VALUE"""),"Alba-Toll SE")</f>
        <v>Alba-Toll SE</v>
      </c>
      <c r="B2864" s="1" t="str">
        <f ca="1">IFERROR(__xludf.DUMMYFUNCTION("""COMPUTED_VALUE"""),"Simon Gergő")</f>
        <v>Simon Gergő</v>
      </c>
      <c r="C2864" s="1"/>
      <c r="D2864" s="1" t="str">
        <f ca="1">IFERROR(__xludf.DUMMYFUNCTION("""COMPUTED_VALUE"""),"Férfi")</f>
        <v>Férfi</v>
      </c>
      <c r="E2864" s="1"/>
      <c r="F2864" s="1">
        <f ca="1">IFERROR(__xludf.DUMMYFUNCTION("""COMPUTED_VALUE"""),1998)</f>
        <v>1998</v>
      </c>
      <c r="G2864" s="1">
        <f ca="1">IFERROR(__xludf.DUMMYFUNCTION("""COMPUTED_VALUE"""),2375)</f>
        <v>2375</v>
      </c>
      <c r="H2864" s="1" t="str">
        <f ca="1">IFERROR(__xludf.DUMMYFUNCTION("""COMPUTED_VALUE"""),"MTLSZ002375A12")</f>
        <v>MTLSZ002375A12</v>
      </c>
      <c r="I2864" s="2">
        <f ca="1">IFERROR(__xludf.DUMMYFUNCTION("""COMPUTED_VALUE"""),41158)</f>
        <v>41158</v>
      </c>
      <c r="J2864" s="2">
        <f ca="1">IFERROR(__xludf.DUMMYFUNCTION("""COMPUTED_VALUE"""),41522)</f>
        <v>41522</v>
      </c>
    </row>
    <row r="2865" spans="1:10" x14ac:dyDescent="0.25">
      <c r="A2865" s="1" t="str">
        <f ca="1">IFERROR(__xludf.DUMMYFUNCTION("""COMPUTED_VALUE"""),"HZSE")</f>
        <v>HZSE</v>
      </c>
      <c r="B2865" s="1" t="str">
        <f ca="1">IFERROR(__xludf.DUMMYFUNCTION("""COMPUTED_VALUE"""),"Ákoshegyi Csenge")</f>
        <v>Ákoshegyi Csenge</v>
      </c>
      <c r="C2865" s="1"/>
      <c r="D2865" s="1" t="str">
        <f ca="1">IFERROR(__xludf.DUMMYFUNCTION("""COMPUTED_VALUE"""),"Nő")</f>
        <v>Nő</v>
      </c>
      <c r="E2865" s="1"/>
      <c r="F2865" s="1">
        <f ca="1">IFERROR(__xludf.DUMMYFUNCTION("""COMPUTED_VALUE"""),1998)</f>
        <v>1998</v>
      </c>
      <c r="G2865" s="1">
        <f ca="1">IFERROR(__xludf.DUMMYFUNCTION("""COMPUTED_VALUE"""),2246)</f>
        <v>2246</v>
      </c>
      <c r="H2865" s="1" t="str">
        <f ca="1">IFERROR(__xludf.DUMMYFUNCTION("""COMPUTED_VALUE"""),"MTLSZ002246A12")</f>
        <v>MTLSZ002246A12</v>
      </c>
      <c r="I2865" s="2">
        <f ca="1">IFERROR(__xludf.DUMMYFUNCTION("""COMPUTED_VALUE"""),41156)</f>
        <v>41156</v>
      </c>
      <c r="J2865" s="2">
        <f ca="1">IFERROR(__xludf.DUMMYFUNCTION("""COMPUTED_VALUE"""),41520)</f>
        <v>41520</v>
      </c>
    </row>
    <row r="2866" spans="1:10" x14ac:dyDescent="0.25">
      <c r="A2866" s="1" t="str">
        <f ca="1">IFERROR(__xludf.DUMMYFUNCTION("""COMPUTED_VALUE"""),"Ságvári DSE")</f>
        <v>Ságvári DSE</v>
      </c>
      <c r="B2866" s="1" t="str">
        <f ca="1">IFERROR(__xludf.DUMMYFUNCTION("""COMPUTED_VALUE"""),"Jánosi Ágnes")</f>
        <v>Jánosi Ágnes</v>
      </c>
      <c r="C2866" s="1"/>
      <c r="D2866" s="1" t="str">
        <f ca="1">IFERROR(__xludf.DUMMYFUNCTION("""COMPUTED_VALUE"""),"Nő")</f>
        <v>Nő</v>
      </c>
      <c r="E2866" s="1"/>
      <c r="F2866" s="1">
        <f ca="1">IFERROR(__xludf.DUMMYFUNCTION("""COMPUTED_VALUE"""),1997)</f>
        <v>1997</v>
      </c>
      <c r="G2866" s="1">
        <f ca="1">IFERROR(__xludf.DUMMYFUNCTION("""COMPUTED_VALUE"""),2374)</f>
        <v>2374</v>
      </c>
      <c r="H2866" s="1" t="str">
        <f ca="1">IFERROR(__xludf.DUMMYFUNCTION("""COMPUTED_VALUE"""),"MTLSZ002374A12")</f>
        <v>MTLSZ002374A12</v>
      </c>
      <c r="I2866" s="2">
        <f ca="1">IFERROR(__xludf.DUMMYFUNCTION("""COMPUTED_VALUE"""),41156)</f>
        <v>41156</v>
      </c>
      <c r="J2866" s="2">
        <f ca="1">IFERROR(__xludf.DUMMYFUNCTION("""COMPUTED_VALUE"""),41520)</f>
        <v>41520</v>
      </c>
    </row>
    <row r="2867" spans="1:10" x14ac:dyDescent="0.25">
      <c r="A2867" s="1" t="str">
        <f ca="1">IFERROR(__xludf.DUMMYFUNCTION("""COMPUTED_VALUE"""),"Universitas SC")</f>
        <v>Universitas SC</v>
      </c>
      <c r="B2867" s="1" t="str">
        <f ca="1">IFERROR(__xludf.DUMMYFUNCTION("""COMPUTED_VALUE"""),"Ferenczi András")</f>
        <v>Ferenczi András</v>
      </c>
      <c r="C2867" s="1"/>
      <c r="D2867" s="1" t="str">
        <f ca="1">IFERROR(__xludf.DUMMYFUNCTION("""COMPUTED_VALUE"""),"Férfi")</f>
        <v>Férfi</v>
      </c>
      <c r="E2867" s="1"/>
      <c r="F2867" s="1">
        <f ca="1">IFERROR(__xludf.DUMMYFUNCTION("""COMPUTED_VALUE"""),1987)</f>
        <v>1987</v>
      </c>
      <c r="G2867" s="1">
        <f ca="1">IFERROR(__xludf.DUMMYFUNCTION("""COMPUTED_VALUE"""),247)</f>
        <v>247</v>
      </c>
      <c r="H2867" s="1" t="str">
        <f ca="1">IFERROR(__xludf.DUMMYFUNCTION("""COMPUTED_VALUE"""),"MTLSZ000247A12")</f>
        <v>MTLSZ000247A12</v>
      </c>
      <c r="I2867" s="2">
        <f ca="1">IFERROR(__xludf.DUMMYFUNCTION("""COMPUTED_VALUE"""),41054)</f>
        <v>41054</v>
      </c>
      <c r="J2867" s="2">
        <f ca="1">IFERROR(__xludf.DUMMYFUNCTION("""COMPUTED_VALUE"""),41418)</f>
        <v>41418</v>
      </c>
    </row>
    <row r="2868" spans="1:10" x14ac:dyDescent="0.25">
      <c r="A2868" s="1" t="str">
        <f ca="1">IFERROR(__xludf.DUMMYFUNCTION("""COMPUTED_VALUE"""),"Érdi VSE")</f>
        <v>Érdi VSE</v>
      </c>
      <c r="B2868" s="1" t="str">
        <f ca="1">IFERROR(__xludf.DUMMYFUNCTION("""COMPUTED_VALUE"""),"Gondos Dániel")</f>
        <v>Gondos Dániel</v>
      </c>
      <c r="C2868" s="1"/>
      <c r="D2868" s="1" t="str">
        <f ca="1">IFERROR(__xludf.DUMMYFUNCTION("""COMPUTED_VALUE"""),"Férfi")</f>
        <v>Férfi</v>
      </c>
      <c r="E2868" s="1"/>
      <c r="F2868" s="1">
        <f ca="1">IFERROR(__xludf.DUMMYFUNCTION("""COMPUTED_VALUE"""),1987)</f>
        <v>1987</v>
      </c>
      <c r="G2868" s="1">
        <f ca="1">IFERROR(__xludf.DUMMYFUNCTION("""COMPUTED_VALUE"""),300)</f>
        <v>300</v>
      </c>
      <c r="H2868" s="1" t="str">
        <f ca="1">IFERROR(__xludf.DUMMYFUNCTION("""COMPUTED_VALUE"""),"MTLSZ000300A12")</f>
        <v>MTLSZ000300A12</v>
      </c>
      <c r="I2868" s="2">
        <f ca="1">IFERROR(__xludf.DUMMYFUNCTION("""COMPUTED_VALUE"""),41045)</f>
        <v>41045</v>
      </c>
      <c r="J2868" s="2">
        <f ca="1">IFERROR(__xludf.DUMMYFUNCTION("""COMPUTED_VALUE"""),41409)</f>
        <v>41409</v>
      </c>
    </row>
    <row r="2869" spans="1:10" x14ac:dyDescent="0.25">
      <c r="A2869" s="1" t="str">
        <f ca="1">IFERROR(__xludf.DUMMYFUNCTION("""COMPUTED_VALUE"""),"Érdi VSE")</f>
        <v>Érdi VSE</v>
      </c>
      <c r="B2869" s="1" t="str">
        <f ca="1">IFERROR(__xludf.DUMMYFUNCTION("""COMPUTED_VALUE"""),"Varga Viktória")</f>
        <v>Varga Viktória</v>
      </c>
      <c r="C2869" s="1"/>
      <c r="D2869" s="1" t="str">
        <f ca="1">IFERROR(__xludf.DUMMYFUNCTION("""COMPUTED_VALUE"""),"Nő")</f>
        <v>Nő</v>
      </c>
      <c r="E2869" s="1"/>
      <c r="F2869" s="1">
        <f ca="1">IFERROR(__xludf.DUMMYFUNCTION("""COMPUTED_VALUE"""),1971)</f>
        <v>1971</v>
      </c>
      <c r="G2869" s="1">
        <f ca="1">IFERROR(__xludf.DUMMYFUNCTION("""COMPUTED_VALUE"""),2115)</f>
        <v>2115</v>
      </c>
      <c r="H2869" s="1" t="str">
        <f ca="1">IFERROR(__xludf.DUMMYFUNCTION("""COMPUTED_VALUE"""),"MTLSZ002115A12")</f>
        <v>MTLSZ002115A12</v>
      </c>
      <c r="I2869" s="2">
        <f ca="1">IFERROR(__xludf.DUMMYFUNCTION("""COMPUTED_VALUE"""),41045)</f>
        <v>41045</v>
      </c>
      <c r="J2869" s="2">
        <f ca="1">IFERROR(__xludf.DUMMYFUNCTION("""COMPUTED_VALUE"""),41409)</f>
        <v>41409</v>
      </c>
    </row>
    <row r="2870" spans="1:10" x14ac:dyDescent="0.25">
      <c r="A2870" s="1" t="str">
        <f ca="1">IFERROR(__xludf.DUMMYFUNCTION("""COMPUTED_VALUE"""),"Multi Alarm SE")</f>
        <v>Multi Alarm SE</v>
      </c>
      <c r="B2870" s="1" t="str">
        <f ca="1">IFERROR(__xludf.DUMMYFUNCTION("""COMPUTED_VALUE"""),"Rétháti Lili")</f>
        <v>Rétháti Lili</v>
      </c>
      <c r="C2870" s="1"/>
      <c r="D2870" s="1" t="str">
        <f ca="1">IFERROR(__xludf.DUMMYFUNCTION("""COMPUTED_VALUE"""),"Nő")</f>
        <v>Nő</v>
      </c>
      <c r="E2870" s="1"/>
      <c r="F2870" s="1">
        <f ca="1">IFERROR(__xludf.DUMMYFUNCTION("""COMPUTED_VALUE"""),2000)</f>
        <v>2000</v>
      </c>
      <c r="G2870" s="1">
        <f ca="1">IFERROR(__xludf.DUMMYFUNCTION("""COMPUTED_VALUE"""),2047)</f>
        <v>2047</v>
      </c>
      <c r="H2870" s="1" t="str">
        <f ca="1">IFERROR(__xludf.DUMMYFUNCTION("""COMPUTED_VALUE"""),"MTLSZ002047A12")</f>
        <v>MTLSZ002047A12</v>
      </c>
      <c r="I2870" s="2">
        <f ca="1">IFERROR(__xludf.DUMMYFUNCTION("""COMPUTED_VALUE"""),41040)</f>
        <v>41040</v>
      </c>
      <c r="J2870" s="2">
        <f ca="1">IFERROR(__xludf.DUMMYFUNCTION("""COMPUTED_VALUE"""),41404)</f>
        <v>41404</v>
      </c>
    </row>
    <row r="2871" spans="1:10" x14ac:dyDescent="0.25">
      <c r="A2871" s="1" t="str">
        <f ca="1">IFERROR(__xludf.DUMMYFUNCTION("""COMPUTED_VALUE"""),"Danubius KSE")</f>
        <v>Danubius KSE</v>
      </c>
      <c r="B2871" s="1" t="str">
        <f ca="1">IFERROR(__xludf.DUMMYFUNCTION("""COMPUTED_VALUE"""),"Szirbek Zsolt")</f>
        <v>Szirbek Zsolt</v>
      </c>
      <c r="C2871" s="1"/>
      <c r="D2871" s="1" t="str">
        <f ca="1">IFERROR(__xludf.DUMMYFUNCTION("""COMPUTED_VALUE"""),"Férfi")</f>
        <v>Férfi</v>
      </c>
      <c r="E2871" s="1"/>
      <c r="F2871" s="1">
        <f ca="1">IFERROR(__xludf.DUMMYFUNCTION("""COMPUTED_VALUE"""),1997)</f>
        <v>1997</v>
      </c>
      <c r="G2871" s="1">
        <f ca="1">IFERROR(__xludf.DUMMYFUNCTION("""COMPUTED_VALUE"""),1745)</f>
        <v>1745</v>
      </c>
      <c r="H2871" s="1" t="str">
        <f ca="1">IFERROR(__xludf.DUMMYFUNCTION("""COMPUTED_VALUE"""),"MTLSZ001745A12")</f>
        <v>MTLSZ001745A12</v>
      </c>
      <c r="I2871" s="2">
        <f ca="1">IFERROR(__xludf.DUMMYFUNCTION("""COMPUTED_VALUE"""),41038)</f>
        <v>41038</v>
      </c>
      <c r="J2871" s="2">
        <f ca="1">IFERROR(__xludf.DUMMYFUNCTION("""COMPUTED_VALUE"""),41402)</f>
        <v>41402</v>
      </c>
    </row>
    <row r="2872" spans="1:10" x14ac:dyDescent="0.25">
      <c r="A2872" s="1" t="str">
        <f ca="1">IFERROR(__xludf.DUMMYFUNCTION("""COMPUTED_VALUE"""),"FBSE")</f>
        <v>FBSE</v>
      </c>
      <c r="B2872" s="1" t="str">
        <f ca="1">IFERROR(__xludf.DUMMYFUNCTION("""COMPUTED_VALUE"""),"Kriszkó Dániel")</f>
        <v>Kriszkó Dániel</v>
      </c>
      <c r="C2872" s="1"/>
      <c r="D2872" s="1" t="str">
        <f ca="1">IFERROR(__xludf.DUMMYFUNCTION("""COMPUTED_VALUE"""),"Férfi")</f>
        <v>Férfi</v>
      </c>
      <c r="E2872" s="1"/>
      <c r="F2872" s="1">
        <f ca="1">IFERROR(__xludf.DUMMYFUNCTION("""COMPUTED_VALUE"""),1995)</f>
        <v>1995</v>
      </c>
      <c r="G2872" s="1">
        <f ca="1">IFERROR(__xludf.DUMMYFUNCTION("""COMPUTED_VALUE"""),2113)</f>
        <v>2113</v>
      </c>
      <c r="H2872" s="1" t="str">
        <f ca="1">IFERROR(__xludf.DUMMYFUNCTION("""COMPUTED_VALUE"""),"MTLSZ002113A12")</f>
        <v>MTLSZ002113A12</v>
      </c>
      <c r="I2872" s="2">
        <f ca="1">IFERROR(__xludf.DUMMYFUNCTION("""COMPUTED_VALUE"""),41016)</f>
        <v>41016</v>
      </c>
      <c r="J2872" s="2">
        <f ca="1">IFERROR(__xludf.DUMMYFUNCTION("""COMPUTED_VALUE"""),41380)</f>
        <v>41380</v>
      </c>
    </row>
    <row r="2873" spans="1:10" x14ac:dyDescent="0.25">
      <c r="A2873" s="1" t="str">
        <f ca="1">IFERROR(__xludf.DUMMYFUNCTION("""COMPUTED_VALUE"""),"OSC")</f>
        <v>OSC</v>
      </c>
      <c r="B2873" s="1" t="str">
        <f ca="1">IFERROR(__xludf.DUMMYFUNCTION("""COMPUTED_VALUE"""),"Nagy Ágnes")</f>
        <v>Nagy Ágnes</v>
      </c>
      <c r="C2873" s="1"/>
      <c r="D2873" s="1" t="str">
        <f ca="1">IFERROR(__xludf.DUMMYFUNCTION("""COMPUTED_VALUE"""),"Nő")</f>
        <v>Nő</v>
      </c>
      <c r="E2873" s="1"/>
      <c r="F2873" s="1">
        <f ca="1">IFERROR(__xludf.DUMMYFUNCTION("""COMPUTED_VALUE"""),1999)</f>
        <v>1999</v>
      </c>
      <c r="G2873" s="1">
        <f ca="1">IFERROR(__xludf.DUMMYFUNCTION("""COMPUTED_VALUE"""),2091)</f>
        <v>2091</v>
      </c>
      <c r="H2873" s="1" t="str">
        <f ca="1">IFERROR(__xludf.DUMMYFUNCTION("""COMPUTED_VALUE"""),"MTLSZ002091A12")</f>
        <v>MTLSZ002091A12</v>
      </c>
      <c r="I2873" s="2">
        <f ca="1">IFERROR(__xludf.DUMMYFUNCTION("""COMPUTED_VALUE"""),41010)</f>
        <v>41010</v>
      </c>
      <c r="J2873" s="2">
        <f ca="1">IFERROR(__xludf.DUMMYFUNCTION("""COMPUTED_VALUE"""),41374)</f>
        <v>41374</v>
      </c>
    </row>
    <row r="2874" spans="1:10" x14ac:dyDescent="0.25">
      <c r="A2874" s="1" t="str">
        <f ca="1">IFERROR(__xludf.DUMMYFUNCTION("""COMPUTED_VALUE"""),"Klébi DSE")</f>
        <v>Klébi DSE</v>
      </c>
      <c r="B2874" s="1" t="str">
        <f ca="1">IFERROR(__xludf.DUMMYFUNCTION("""COMPUTED_VALUE"""),"Kiss Zoltán")</f>
        <v>Kiss Zoltán</v>
      </c>
      <c r="C2874" s="1"/>
      <c r="D2874" s="1" t="str">
        <f ca="1">IFERROR(__xludf.DUMMYFUNCTION("""COMPUTED_VALUE"""),"Férfi")</f>
        <v>Férfi</v>
      </c>
      <c r="E2874" s="1"/>
      <c r="F2874" s="1">
        <f ca="1">IFERROR(__xludf.DUMMYFUNCTION("""COMPUTED_VALUE"""),1987)</f>
        <v>1987</v>
      </c>
      <c r="G2874" s="1">
        <f ca="1">IFERROR(__xludf.DUMMYFUNCTION("""COMPUTED_VALUE"""),496)</f>
        <v>496</v>
      </c>
      <c r="H2874" s="1" t="str">
        <f ca="1">IFERROR(__xludf.DUMMYFUNCTION("""COMPUTED_VALUE"""),"MTLSZ000496A12")</f>
        <v>MTLSZ000496A12</v>
      </c>
      <c r="I2874" s="2">
        <f ca="1">IFERROR(__xludf.DUMMYFUNCTION("""COMPUTED_VALUE"""),41005)</f>
        <v>41005</v>
      </c>
      <c r="J2874" s="2">
        <f ca="1">IFERROR(__xludf.DUMMYFUNCTION("""COMPUTED_VALUE"""),41369)</f>
        <v>41369</v>
      </c>
    </row>
    <row r="2875" spans="1:10" x14ac:dyDescent="0.25">
      <c r="A2875" s="1" t="str">
        <f ca="1">IFERROR(__xludf.DUMMYFUNCTION("""COMPUTED_VALUE"""),"BTBK")</f>
        <v>BTBK</v>
      </c>
      <c r="B2875" s="1" t="str">
        <f ca="1">IFERROR(__xludf.DUMMYFUNCTION("""COMPUTED_VALUE"""),"Séber Gyula")</f>
        <v>Séber Gyula</v>
      </c>
      <c r="C2875" s="1"/>
      <c r="D2875" s="1" t="str">
        <f ca="1">IFERROR(__xludf.DUMMYFUNCTION("""COMPUTED_VALUE"""),"Férfi")</f>
        <v>Férfi</v>
      </c>
      <c r="E2875" s="1"/>
      <c r="F2875" s="1">
        <f ca="1">IFERROR(__xludf.DUMMYFUNCTION("""COMPUTED_VALUE"""),1974)</f>
        <v>1974</v>
      </c>
      <c r="G2875" s="1">
        <f ca="1">IFERROR(__xludf.DUMMYFUNCTION("""COMPUTED_VALUE"""),1843)</f>
        <v>1843</v>
      </c>
      <c r="H2875" s="1" t="str">
        <f ca="1">IFERROR(__xludf.DUMMYFUNCTION("""COMPUTED_VALUE"""),"MTLSZ001843A12")</f>
        <v>MTLSZ001843A12</v>
      </c>
      <c r="I2875" s="2">
        <f ca="1">IFERROR(__xludf.DUMMYFUNCTION("""COMPUTED_VALUE"""),41004)</f>
        <v>41004</v>
      </c>
      <c r="J2875" s="2">
        <f ca="1">IFERROR(__xludf.DUMMYFUNCTION("""COMPUTED_VALUE"""),41368)</f>
        <v>41368</v>
      </c>
    </row>
    <row r="2876" spans="1:10" x14ac:dyDescent="0.25">
      <c r="A2876" s="1" t="str">
        <f ca="1">IFERROR(__xludf.DUMMYFUNCTION("""COMPUTED_VALUE"""),"DSC-SI")</f>
        <v>DSC-SI</v>
      </c>
      <c r="B2876" s="1" t="str">
        <f ca="1">IFERROR(__xludf.DUMMYFUNCTION("""COMPUTED_VALUE"""),"Berza Dóra")</f>
        <v>Berza Dóra</v>
      </c>
      <c r="C2876" s="1"/>
      <c r="D2876" s="1" t="str">
        <f ca="1">IFERROR(__xludf.DUMMYFUNCTION("""COMPUTED_VALUE"""),"Nő")</f>
        <v>Nő</v>
      </c>
      <c r="E2876" s="1"/>
      <c r="F2876" s="1">
        <f ca="1">IFERROR(__xludf.DUMMYFUNCTION("""COMPUTED_VALUE"""),1999)</f>
        <v>1999</v>
      </c>
      <c r="G2876" s="1">
        <f ca="1">IFERROR(__xludf.DUMMYFUNCTION("""COMPUTED_VALUE"""),2287)</f>
        <v>2287</v>
      </c>
      <c r="H2876" s="1" t="str">
        <f ca="1">IFERROR(__xludf.DUMMYFUNCTION("""COMPUTED_VALUE"""),"MTLSZ002287A12")</f>
        <v>MTLSZ002287A12</v>
      </c>
      <c r="I2876" s="2">
        <f ca="1">IFERROR(__xludf.DUMMYFUNCTION("""COMPUTED_VALUE"""),41002)</f>
        <v>41002</v>
      </c>
      <c r="J2876" s="2">
        <f ca="1">IFERROR(__xludf.DUMMYFUNCTION("""COMPUTED_VALUE"""),41366)</f>
        <v>41366</v>
      </c>
    </row>
    <row r="2877" spans="1:10" x14ac:dyDescent="0.25">
      <c r="A2877" s="1" t="str">
        <f ca="1">IFERROR(__xludf.DUMMYFUNCTION("""COMPUTED_VALUE"""),"DSC-SI")</f>
        <v>DSC-SI</v>
      </c>
      <c r="B2877" s="1" t="str">
        <f ca="1">IFERROR(__xludf.DUMMYFUNCTION("""COMPUTED_VALUE"""),"Berza Fanni")</f>
        <v>Berza Fanni</v>
      </c>
      <c r="C2877" s="1"/>
      <c r="D2877" s="1" t="str">
        <f ca="1">IFERROR(__xludf.DUMMYFUNCTION("""COMPUTED_VALUE"""),"Nő")</f>
        <v>Nő</v>
      </c>
      <c r="E2877" s="1"/>
      <c r="F2877" s="1">
        <f ca="1">IFERROR(__xludf.DUMMYFUNCTION("""COMPUTED_VALUE"""),2001)</f>
        <v>2001</v>
      </c>
      <c r="G2877" s="1">
        <f ca="1">IFERROR(__xludf.DUMMYFUNCTION("""COMPUTED_VALUE"""),2289)</f>
        <v>2289</v>
      </c>
      <c r="H2877" s="1" t="str">
        <f ca="1">IFERROR(__xludf.DUMMYFUNCTION("""COMPUTED_VALUE"""),"MTLSZ002289A12")</f>
        <v>MTLSZ002289A12</v>
      </c>
      <c r="I2877" s="2">
        <f ca="1">IFERROR(__xludf.DUMMYFUNCTION("""COMPUTED_VALUE"""),41002)</f>
        <v>41002</v>
      </c>
      <c r="J2877" s="2">
        <f ca="1">IFERROR(__xludf.DUMMYFUNCTION("""COMPUTED_VALUE"""),41366)</f>
        <v>41366</v>
      </c>
    </row>
    <row r="2878" spans="1:10" x14ac:dyDescent="0.25">
      <c r="A2878" s="1" t="str">
        <f ca="1">IFERROR(__xludf.DUMMYFUNCTION("""COMPUTED_VALUE"""),"DSC-SI")</f>
        <v>DSC-SI</v>
      </c>
      <c r="B2878" s="1" t="str">
        <f ca="1">IFERROR(__xludf.DUMMYFUNCTION("""COMPUTED_VALUE"""),"Kovács Dániel")</f>
        <v>Kovács Dániel</v>
      </c>
      <c r="C2878" s="1"/>
      <c r="D2878" s="1" t="str">
        <f ca="1">IFERROR(__xludf.DUMMYFUNCTION("""COMPUTED_VALUE"""),"Férfi")</f>
        <v>Férfi</v>
      </c>
      <c r="E2878" s="1"/>
      <c r="F2878" s="1">
        <f ca="1">IFERROR(__xludf.DUMMYFUNCTION("""COMPUTED_VALUE"""),1997)</f>
        <v>1997</v>
      </c>
      <c r="G2878" s="1">
        <f ca="1">IFERROR(__xludf.DUMMYFUNCTION("""COMPUTED_VALUE"""),2285)</f>
        <v>2285</v>
      </c>
      <c r="H2878" s="1" t="str">
        <f ca="1">IFERROR(__xludf.DUMMYFUNCTION("""COMPUTED_VALUE"""),"MTLSZ002285A12")</f>
        <v>MTLSZ002285A12</v>
      </c>
      <c r="I2878" s="2">
        <f ca="1">IFERROR(__xludf.DUMMYFUNCTION("""COMPUTED_VALUE"""),41002)</f>
        <v>41002</v>
      </c>
      <c r="J2878" s="2">
        <f ca="1">IFERROR(__xludf.DUMMYFUNCTION("""COMPUTED_VALUE"""),41366)</f>
        <v>41366</v>
      </c>
    </row>
    <row r="2879" spans="1:10" x14ac:dyDescent="0.25">
      <c r="A2879" s="1" t="str">
        <f ca="1">IFERROR(__xludf.DUMMYFUNCTION("""COMPUTED_VALUE"""),"DSC-SI")</f>
        <v>DSC-SI</v>
      </c>
      <c r="B2879" s="1" t="str">
        <f ca="1">IFERROR(__xludf.DUMMYFUNCTION("""COMPUTED_VALUE"""),"Németi Anna")</f>
        <v>Németi Anna</v>
      </c>
      <c r="C2879" s="1"/>
      <c r="D2879" s="1" t="str">
        <f ca="1">IFERROR(__xludf.DUMMYFUNCTION("""COMPUTED_VALUE"""),"Nő")</f>
        <v>Nő</v>
      </c>
      <c r="E2879" s="1"/>
      <c r="F2879" s="1">
        <f ca="1">IFERROR(__xludf.DUMMYFUNCTION("""COMPUTED_VALUE"""),2000)</f>
        <v>2000</v>
      </c>
      <c r="G2879" s="1">
        <f ca="1">IFERROR(__xludf.DUMMYFUNCTION("""COMPUTED_VALUE"""),2360)</f>
        <v>2360</v>
      </c>
      <c r="H2879" s="1" t="str">
        <f ca="1">IFERROR(__xludf.DUMMYFUNCTION("""COMPUTED_VALUE"""),"MTLSZ002360A12")</f>
        <v>MTLSZ002360A12</v>
      </c>
      <c r="I2879" s="2">
        <f ca="1">IFERROR(__xludf.DUMMYFUNCTION("""COMPUTED_VALUE"""),40999)</f>
        <v>40999</v>
      </c>
      <c r="J2879" s="2">
        <f ca="1">IFERROR(__xludf.DUMMYFUNCTION("""COMPUTED_VALUE"""),41363)</f>
        <v>41363</v>
      </c>
    </row>
    <row r="2880" spans="1:10" x14ac:dyDescent="0.25">
      <c r="A2880" s="1" t="str">
        <f ca="1">IFERROR(__xludf.DUMMYFUNCTION("""COMPUTED_VALUE"""),"OSC")</f>
        <v>OSC</v>
      </c>
      <c r="B2880" s="1" t="str">
        <f ca="1">IFERROR(__xludf.DUMMYFUNCTION("""COMPUTED_VALUE"""),"Szilágyi Tamás")</f>
        <v>Szilágyi Tamás</v>
      </c>
      <c r="C2880" s="1"/>
      <c r="D2880" s="1" t="str">
        <f ca="1">IFERROR(__xludf.DUMMYFUNCTION("""COMPUTED_VALUE"""),"Férfi")</f>
        <v>Férfi</v>
      </c>
      <c r="E2880" s="1"/>
      <c r="F2880" s="1">
        <f ca="1">IFERROR(__xludf.DUMMYFUNCTION("""COMPUTED_VALUE"""),1999)</f>
        <v>1999</v>
      </c>
      <c r="G2880" s="1">
        <f ca="1">IFERROR(__xludf.DUMMYFUNCTION("""COMPUTED_VALUE"""),1991)</f>
        <v>1991</v>
      </c>
      <c r="H2880" s="1" t="str">
        <f ca="1">IFERROR(__xludf.DUMMYFUNCTION("""COMPUTED_VALUE"""),"MTLSZ001991A12")</f>
        <v>MTLSZ001991A12</v>
      </c>
      <c r="I2880" s="2">
        <f ca="1">IFERROR(__xludf.DUMMYFUNCTION("""COMPUTED_VALUE"""),40987)</f>
        <v>40987</v>
      </c>
      <c r="J2880" s="2">
        <f ca="1">IFERROR(__xludf.DUMMYFUNCTION("""COMPUTED_VALUE"""),41351)</f>
        <v>41351</v>
      </c>
    </row>
    <row r="2881" spans="1:10" x14ac:dyDescent="0.25">
      <c r="A2881" s="1" t="str">
        <f ca="1">IFERROR(__xludf.DUMMYFUNCTION("""COMPUTED_VALUE"""),"ZKSE")</f>
        <v>ZKSE</v>
      </c>
      <c r="B2881" s="1" t="str">
        <f ca="1">IFERROR(__xludf.DUMMYFUNCTION("""COMPUTED_VALUE"""),"Tóth Adrienn")</f>
        <v>Tóth Adrienn</v>
      </c>
      <c r="C2881" s="1"/>
      <c r="D2881" s="1" t="str">
        <f ca="1">IFERROR(__xludf.DUMMYFUNCTION("""COMPUTED_VALUE"""),"Nő")</f>
        <v>Nő</v>
      </c>
      <c r="E2881" s="1"/>
      <c r="F2881" s="1">
        <f ca="1">IFERROR(__xludf.DUMMYFUNCTION("""COMPUTED_VALUE"""),1986)</f>
        <v>1986</v>
      </c>
      <c r="G2881" s="1">
        <f ca="1">IFERROR(__xludf.DUMMYFUNCTION("""COMPUTED_VALUE"""),1023)</f>
        <v>1023</v>
      </c>
      <c r="H2881" s="1" t="str">
        <f ca="1">IFERROR(__xludf.DUMMYFUNCTION("""COMPUTED_VALUE"""),"MTLSZ001023A12")</f>
        <v>MTLSZ001023A12</v>
      </c>
      <c r="I2881" s="2">
        <f ca="1">IFERROR(__xludf.DUMMYFUNCTION("""COMPUTED_VALUE"""),40976)</f>
        <v>40976</v>
      </c>
      <c r="J2881" s="2">
        <f ca="1">IFERROR(__xludf.DUMMYFUNCTION("""COMPUTED_VALUE"""),41340)</f>
        <v>41340</v>
      </c>
    </row>
    <row r="2882" spans="1:10" x14ac:dyDescent="0.25">
      <c r="A2882" s="1" t="str">
        <f ca="1">IFERROR(__xludf.DUMMYFUNCTION("""COMPUTED_VALUE"""),"HZSE")</f>
        <v>HZSE</v>
      </c>
      <c r="B2882" s="1" t="str">
        <f ca="1">IFERROR(__xludf.DUMMYFUNCTION("""COMPUTED_VALUE"""),"Izbéki Bálint")</f>
        <v>Izbéki Bálint</v>
      </c>
      <c r="C2882" s="1"/>
      <c r="D2882" s="1" t="str">
        <f ca="1">IFERROR(__xludf.DUMMYFUNCTION("""COMPUTED_VALUE"""),"Férfi")</f>
        <v>Férfi</v>
      </c>
      <c r="E2882" s="1"/>
      <c r="F2882" s="1">
        <f ca="1">IFERROR(__xludf.DUMMYFUNCTION("""COMPUTED_VALUE"""),1982)</f>
        <v>1982</v>
      </c>
      <c r="G2882" s="1">
        <f ca="1">IFERROR(__xludf.DUMMYFUNCTION("""COMPUTED_VALUE"""),2344)</f>
        <v>2344</v>
      </c>
      <c r="H2882" s="1" t="str">
        <f ca="1">IFERROR(__xludf.DUMMYFUNCTION("""COMPUTED_VALUE"""),"MTLSZ002344A12")</f>
        <v>MTLSZ002344A12</v>
      </c>
      <c r="I2882" s="2">
        <f ca="1">IFERROR(__xludf.DUMMYFUNCTION("""COMPUTED_VALUE"""),40969)</f>
        <v>40969</v>
      </c>
      <c r="J2882" s="2">
        <f ca="1">IFERROR(__xludf.DUMMYFUNCTION("""COMPUTED_VALUE"""),41333)</f>
        <v>41333</v>
      </c>
    </row>
    <row r="2883" spans="1:10" x14ac:dyDescent="0.25">
      <c r="A2883" s="1" t="str">
        <f ca="1">IFERROR(__xludf.DUMMYFUNCTION("""COMPUTED_VALUE"""),"HZSE")</f>
        <v>HZSE</v>
      </c>
      <c r="B2883" s="1" t="str">
        <f ca="1">IFERROR(__xludf.DUMMYFUNCTION("""COMPUTED_VALUE"""),"Németh Gábor")</f>
        <v>Németh Gábor</v>
      </c>
      <c r="C2883" s="1"/>
      <c r="D2883" s="1" t="str">
        <f ca="1">IFERROR(__xludf.DUMMYFUNCTION("""COMPUTED_VALUE"""),"Férfi")</f>
        <v>Férfi</v>
      </c>
      <c r="E2883" s="1"/>
      <c r="F2883" s="1">
        <f ca="1">IFERROR(__xludf.DUMMYFUNCTION("""COMPUTED_VALUE"""),1967)</f>
        <v>1967</v>
      </c>
      <c r="G2883" s="1">
        <f ca="1">IFERROR(__xludf.DUMMYFUNCTION("""COMPUTED_VALUE"""),2343)</f>
        <v>2343</v>
      </c>
      <c r="H2883" s="1" t="str">
        <f ca="1">IFERROR(__xludf.DUMMYFUNCTION("""COMPUTED_VALUE"""),"MTLSZ002343A12")</f>
        <v>MTLSZ002343A12</v>
      </c>
      <c r="I2883" s="2">
        <f ca="1">IFERROR(__xludf.DUMMYFUNCTION("""COMPUTED_VALUE"""),40969)</f>
        <v>40969</v>
      </c>
      <c r="J2883" s="2">
        <f ca="1">IFERROR(__xludf.DUMMYFUNCTION("""COMPUTED_VALUE"""),41333)</f>
        <v>41333</v>
      </c>
    </row>
    <row r="2884" spans="1:10" x14ac:dyDescent="0.25">
      <c r="A2884" s="1" t="str">
        <f ca="1">IFERROR(__xludf.DUMMYFUNCTION("""COMPUTED_VALUE"""),"HZSE")</f>
        <v>HZSE</v>
      </c>
      <c r="B2884" s="1" t="str">
        <f ca="1">IFERROR(__xludf.DUMMYFUNCTION("""COMPUTED_VALUE"""),"Urbán Tamás")</f>
        <v>Urbán Tamás</v>
      </c>
      <c r="C2884" s="1"/>
      <c r="D2884" s="1" t="str">
        <f ca="1">IFERROR(__xludf.DUMMYFUNCTION("""COMPUTED_VALUE"""),"Férfi")</f>
        <v>Férfi</v>
      </c>
      <c r="E2884" s="1"/>
      <c r="F2884" s="1">
        <f ca="1">IFERROR(__xludf.DUMMYFUNCTION("""COMPUTED_VALUE"""),1988)</f>
        <v>1988</v>
      </c>
      <c r="G2884" s="1">
        <f ca="1">IFERROR(__xludf.DUMMYFUNCTION("""COMPUTED_VALUE"""),1355)</f>
        <v>1355</v>
      </c>
      <c r="H2884" s="1" t="str">
        <f ca="1">IFERROR(__xludf.DUMMYFUNCTION("""COMPUTED_VALUE"""),"MTLSZ001355A12")</f>
        <v>MTLSZ001355A12</v>
      </c>
      <c r="I2884" s="2">
        <f ca="1">IFERROR(__xludf.DUMMYFUNCTION("""COMPUTED_VALUE"""),40969)</f>
        <v>40969</v>
      </c>
      <c r="J2884" s="2">
        <f ca="1">IFERROR(__xludf.DUMMYFUNCTION("""COMPUTED_VALUE"""),41333)</f>
        <v>41333</v>
      </c>
    </row>
    <row r="2885" spans="1:10" x14ac:dyDescent="0.25">
      <c r="A2885" s="1" t="str">
        <f ca="1">IFERROR(__xludf.DUMMYFUNCTION("""COMPUTED_VALUE"""),"Karai SE")</f>
        <v>Karai SE</v>
      </c>
      <c r="B2885" s="1" t="str">
        <f ca="1">IFERROR(__xludf.DUMMYFUNCTION("""COMPUTED_VALUE"""),"Eszes Lilla")</f>
        <v>Eszes Lilla</v>
      </c>
      <c r="C2885" s="1"/>
      <c r="D2885" s="1" t="str">
        <f ca="1">IFERROR(__xludf.DUMMYFUNCTION("""COMPUTED_VALUE"""),"Nő")</f>
        <v>Nő</v>
      </c>
      <c r="E2885" s="1"/>
      <c r="F2885" s="1">
        <f ca="1">IFERROR(__xludf.DUMMYFUNCTION("""COMPUTED_VALUE"""),1999)</f>
        <v>1999</v>
      </c>
      <c r="G2885" s="1">
        <f ca="1">IFERROR(__xludf.DUMMYFUNCTION("""COMPUTED_VALUE"""),2347)</f>
        <v>2347</v>
      </c>
      <c r="H2885" s="1" t="str">
        <f ca="1">IFERROR(__xludf.DUMMYFUNCTION("""COMPUTED_VALUE"""),"MTLSZ002347A12")</f>
        <v>MTLSZ002347A12</v>
      </c>
      <c r="I2885" s="2">
        <f ca="1">IFERROR(__xludf.DUMMYFUNCTION("""COMPUTED_VALUE"""),40969)</f>
        <v>40969</v>
      </c>
      <c r="J2885" s="2">
        <f ca="1">IFERROR(__xludf.DUMMYFUNCTION("""COMPUTED_VALUE"""),41333)</f>
        <v>41333</v>
      </c>
    </row>
    <row r="2886" spans="1:10" x14ac:dyDescent="0.25">
      <c r="A2886" s="1" t="str">
        <f ca="1">IFERROR(__xludf.DUMMYFUNCTION("""COMPUTED_VALUE"""),"Karai SE")</f>
        <v>Karai SE</v>
      </c>
      <c r="B2886" s="1" t="str">
        <f ca="1">IFERROR(__xludf.DUMMYFUNCTION("""COMPUTED_VALUE"""),"Szabó Viktória Katalin")</f>
        <v>Szabó Viktória Katalin</v>
      </c>
      <c r="C2886" s="1"/>
      <c r="D2886" s="1" t="str">
        <f ca="1">IFERROR(__xludf.DUMMYFUNCTION("""COMPUTED_VALUE"""),"Nő")</f>
        <v>Nő</v>
      </c>
      <c r="E2886" s="1"/>
      <c r="F2886" s="1">
        <f ca="1">IFERROR(__xludf.DUMMYFUNCTION("""COMPUTED_VALUE"""),2000)</f>
        <v>2000</v>
      </c>
      <c r="G2886" s="1">
        <f ca="1">IFERROR(__xludf.DUMMYFUNCTION("""COMPUTED_VALUE"""),2346)</f>
        <v>2346</v>
      </c>
      <c r="H2886" s="1" t="str">
        <f ca="1">IFERROR(__xludf.DUMMYFUNCTION("""COMPUTED_VALUE"""),"MTLSZ002346A12")</f>
        <v>MTLSZ002346A12</v>
      </c>
      <c r="I2886" s="2">
        <f ca="1">IFERROR(__xludf.DUMMYFUNCTION("""COMPUTED_VALUE"""),40969)</f>
        <v>40969</v>
      </c>
      <c r="J2886" s="2">
        <f ca="1">IFERROR(__xludf.DUMMYFUNCTION("""COMPUTED_VALUE"""),41333)</f>
        <v>41333</v>
      </c>
    </row>
    <row r="2887" spans="1:10" x14ac:dyDescent="0.25">
      <c r="A2887" s="1" t="str">
        <f ca="1">IFERROR(__xludf.DUMMYFUNCTION("""COMPUTED_VALUE"""),"Karai SE")</f>
        <v>Karai SE</v>
      </c>
      <c r="B2887" s="1" t="str">
        <f ca="1">IFERROR(__xludf.DUMMYFUNCTION("""COMPUTED_VALUE"""),"Törőcsik Ádám")</f>
        <v>Törőcsik Ádám</v>
      </c>
      <c r="C2887" s="1"/>
      <c r="D2887" s="1" t="str">
        <f ca="1">IFERROR(__xludf.DUMMYFUNCTION("""COMPUTED_VALUE"""),"Férfi")</f>
        <v>Férfi</v>
      </c>
      <c r="E2887" s="1"/>
      <c r="F2887" s="1">
        <f ca="1">IFERROR(__xludf.DUMMYFUNCTION("""COMPUTED_VALUE"""),1999)</f>
        <v>1999</v>
      </c>
      <c r="G2887" s="1">
        <f ca="1">IFERROR(__xludf.DUMMYFUNCTION("""COMPUTED_VALUE"""),2345)</f>
        <v>2345</v>
      </c>
      <c r="H2887" s="1" t="str">
        <f ca="1">IFERROR(__xludf.DUMMYFUNCTION("""COMPUTED_VALUE"""),"MTLSZ002345A12")</f>
        <v>MTLSZ002345A12</v>
      </c>
      <c r="I2887" s="2">
        <f ca="1">IFERROR(__xludf.DUMMYFUNCTION("""COMPUTED_VALUE"""),40969)</f>
        <v>40969</v>
      </c>
      <c r="J2887" s="2">
        <f ca="1">IFERROR(__xludf.DUMMYFUNCTION("""COMPUTED_VALUE"""),41333)</f>
        <v>41333</v>
      </c>
    </row>
    <row r="2888" spans="1:10" x14ac:dyDescent="0.25">
      <c r="A2888" s="1" t="str">
        <f ca="1">IFERROR(__xludf.DUMMYFUNCTION("""COMPUTED_VALUE"""),"Klébi DSE")</f>
        <v>Klébi DSE</v>
      </c>
      <c r="B2888" s="1" t="str">
        <f ca="1">IFERROR(__xludf.DUMMYFUNCTION("""COMPUTED_VALUE"""),"Kanyuk Sándor")</f>
        <v>Kanyuk Sándor</v>
      </c>
      <c r="C2888" s="1"/>
      <c r="D2888" s="1" t="str">
        <f ca="1">IFERROR(__xludf.DUMMYFUNCTION("""COMPUTED_VALUE"""),"Férfi")</f>
        <v>Férfi</v>
      </c>
      <c r="E2888" s="1"/>
      <c r="F2888" s="1">
        <f ca="1">IFERROR(__xludf.DUMMYFUNCTION("""COMPUTED_VALUE"""),1996)</f>
        <v>1996</v>
      </c>
      <c r="G2888" s="1">
        <f ca="1">IFERROR(__xludf.DUMMYFUNCTION("""COMPUTED_VALUE"""),1824)</f>
        <v>1824</v>
      </c>
      <c r="H2888" s="1" t="str">
        <f ca="1">IFERROR(__xludf.DUMMYFUNCTION("""COMPUTED_VALUE"""),"MTLSZ001824A12")</f>
        <v>MTLSZ001824A12</v>
      </c>
      <c r="I2888" s="2">
        <f ca="1">IFERROR(__xludf.DUMMYFUNCTION("""COMPUTED_VALUE"""),40949)</f>
        <v>40949</v>
      </c>
      <c r="J2888" s="2">
        <f ca="1">IFERROR(__xludf.DUMMYFUNCTION("""COMPUTED_VALUE"""),41314)</f>
        <v>41314</v>
      </c>
    </row>
    <row r="2889" spans="1:10" x14ac:dyDescent="0.25">
      <c r="A2889" s="1" t="str">
        <f ca="1">IFERROR(__xludf.DUMMYFUNCTION("""COMPUTED_VALUE"""),"Klébi DSE")</f>
        <v>Klébi DSE</v>
      </c>
      <c r="B2889" s="1" t="str">
        <f ca="1">IFERROR(__xludf.DUMMYFUNCTION("""COMPUTED_VALUE"""),"Hámori Róbert")</f>
        <v>Hámori Róbert</v>
      </c>
      <c r="C2889" s="1"/>
      <c r="D2889" s="1" t="str">
        <f ca="1">IFERROR(__xludf.DUMMYFUNCTION("""COMPUTED_VALUE"""),"Férfi")</f>
        <v>Férfi</v>
      </c>
      <c r="E2889" s="1"/>
      <c r="F2889" s="1">
        <f ca="1">IFERROR(__xludf.DUMMYFUNCTION("""COMPUTED_VALUE"""),1990)</f>
        <v>1990</v>
      </c>
      <c r="G2889" s="1">
        <f ca="1">IFERROR(__xludf.DUMMYFUNCTION("""COMPUTED_VALUE"""),1792)</f>
        <v>1792</v>
      </c>
      <c r="H2889" s="1" t="str">
        <f ca="1">IFERROR(__xludf.DUMMYFUNCTION("""COMPUTED_VALUE"""),"MTLSZ001792A12")</f>
        <v>MTLSZ001792A12</v>
      </c>
      <c r="I2889" s="2">
        <f ca="1">IFERROR(__xludf.DUMMYFUNCTION("""COMPUTED_VALUE"""),40941)</f>
        <v>40941</v>
      </c>
      <c r="J2889" s="2">
        <f ca="1">IFERROR(__xludf.DUMMYFUNCTION("""COMPUTED_VALUE"""),41306)</f>
        <v>41306</v>
      </c>
    </row>
    <row r="2890" spans="1:10" x14ac:dyDescent="0.25">
      <c r="A2890" s="1" t="str">
        <f ca="1">IFERROR(__xludf.DUMMYFUNCTION("""COMPUTED_VALUE"""),"Multi Alarm SE")</f>
        <v>Multi Alarm SE</v>
      </c>
      <c r="B2890" s="1" t="str">
        <f ca="1">IFERROR(__xludf.DUMMYFUNCTION("""COMPUTED_VALUE"""),"Károlyi Ákos")</f>
        <v>Károlyi Ákos</v>
      </c>
      <c r="C2890" s="1"/>
      <c r="D2890" s="1" t="str">
        <f ca="1">IFERROR(__xludf.DUMMYFUNCTION("""COMPUTED_VALUE"""),"Férfi")</f>
        <v>Férfi</v>
      </c>
      <c r="E2890" s="1"/>
      <c r="F2890" s="1">
        <f ca="1">IFERROR(__xludf.DUMMYFUNCTION("""COMPUTED_VALUE"""),1973)</f>
        <v>1973</v>
      </c>
      <c r="G2890" s="1">
        <f ca="1">IFERROR(__xludf.DUMMYFUNCTION("""COMPUTED_VALUE"""),439)</f>
        <v>439</v>
      </c>
      <c r="H2890" s="1" t="str">
        <f ca="1">IFERROR(__xludf.DUMMYFUNCTION("""COMPUTED_VALUE"""),"MTLSZ000439A12")</f>
        <v>MTLSZ000439A12</v>
      </c>
      <c r="I2890" s="2">
        <f ca="1">IFERROR(__xludf.DUMMYFUNCTION("""COMPUTED_VALUE"""),40941)</f>
        <v>40941</v>
      </c>
      <c r="J2890" s="2">
        <f ca="1">IFERROR(__xludf.DUMMYFUNCTION("""COMPUTED_VALUE"""),41306)</f>
        <v>41306</v>
      </c>
    </row>
    <row r="2891" spans="1:10" x14ac:dyDescent="0.25">
      <c r="A2891" s="1" t="str">
        <f ca="1">IFERROR(__xludf.DUMMYFUNCTION("""COMPUTED_VALUE"""),"Hajdú TSE")</f>
        <v>Hajdú TSE</v>
      </c>
      <c r="B2891" s="1" t="str">
        <f ca="1">IFERROR(__xludf.DUMMYFUNCTION("""COMPUTED_VALUE"""),"Farkas Áron")</f>
        <v>Farkas Áron</v>
      </c>
      <c r="C2891" s="1"/>
      <c r="D2891" s="1" t="str">
        <f ca="1">IFERROR(__xludf.DUMMYFUNCTION("""COMPUTED_VALUE"""),"Férfi")</f>
        <v>Férfi</v>
      </c>
      <c r="E2891" s="1"/>
      <c r="F2891" s="1">
        <f ca="1">IFERROR(__xludf.DUMMYFUNCTION("""COMPUTED_VALUE"""),1992)</f>
        <v>1992</v>
      </c>
      <c r="G2891" s="1">
        <f ca="1">IFERROR(__xludf.DUMMYFUNCTION("""COMPUTED_VALUE"""),1428)</f>
        <v>1428</v>
      </c>
      <c r="H2891" s="1" t="str">
        <f ca="1">IFERROR(__xludf.DUMMYFUNCTION("""COMPUTED_VALUE"""),"MTLSZ001428A12")</f>
        <v>MTLSZ001428A12</v>
      </c>
      <c r="I2891" s="2">
        <f ca="1">IFERROR(__xludf.DUMMYFUNCTION("""COMPUTED_VALUE"""),40931)</f>
        <v>40931</v>
      </c>
      <c r="J2891" s="2">
        <f ca="1">IFERROR(__xludf.DUMMYFUNCTION("""COMPUTED_VALUE"""),41296)</f>
        <v>41296</v>
      </c>
    </row>
    <row r="2892" spans="1:10" x14ac:dyDescent="0.25">
      <c r="A2892" s="1" t="str">
        <f ca="1">IFERROR(__xludf.DUMMYFUNCTION("""COMPUTED_VALUE"""),"Pedagógus Fáklya SE")</f>
        <v>Pedagógus Fáklya SE</v>
      </c>
      <c r="B2892" s="1" t="str">
        <f ca="1">IFERROR(__xludf.DUMMYFUNCTION("""COMPUTED_VALUE"""),"Szénási Attila")</f>
        <v>Szénási Attila</v>
      </c>
      <c r="C2892" s="1"/>
      <c r="D2892" s="1" t="str">
        <f ca="1">IFERROR(__xludf.DUMMYFUNCTION("""COMPUTED_VALUE"""),"Férfi")</f>
        <v>Férfi</v>
      </c>
      <c r="E2892" s="1"/>
      <c r="F2892" s="1">
        <f ca="1">IFERROR(__xludf.DUMMYFUNCTION("""COMPUTED_VALUE"""),1969)</f>
        <v>1969</v>
      </c>
      <c r="G2892" s="1">
        <f ca="1">IFERROR(__xludf.DUMMYFUNCTION("""COMPUTED_VALUE"""),934)</f>
        <v>934</v>
      </c>
      <c r="H2892" s="1" t="str">
        <f ca="1">IFERROR(__xludf.DUMMYFUNCTION("""COMPUTED_VALUE"""),"MTLSZ000934A12")</f>
        <v>MTLSZ000934A12</v>
      </c>
      <c r="I2892" s="2">
        <f ca="1">IFERROR(__xludf.DUMMYFUNCTION("""COMPUTED_VALUE"""),40931)</f>
        <v>40931</v>
      </c>
      <c r="J2892" s="2">
        <f ca="1">IFERROR(__xludf.DUMMYFUNCTION("""COMPUTED_VALUE"""),41296)</f>
        <v>41296</v>
      </c>
    </row>
    <row r="2893" spans="1:10" x14ac:dyDescent="0.25">
      <c r="A2893" s="1" t="str">
        <f ca="1">IFERROR(__xludf.DUMMYFUNCTION("""COMPUTED_VALUE"""),"HZSE")</f>
        <v>HZSE</v>
      </c>
      <c r="B2893" s="1" t="str">
        <f ca="1">IFERROR(__xludf.DUMMYFUNCTION("""COMPUTED_VALUE"""),"Melke Flóra")</f>
        <v>Melke Flóra</v>
      </c>
      <c r="C2893" s="1"/>
      <c r="D2893" s="1" t="str">
        <f ca="1">IFERROR(__xludf.DUMMYFUNCTION("""COMPUTED_VALUE"""),"Nő")</f>
        <v>Nő</v>
      </c>
      <c r="E2893" s="1"/>
      <c r="F2893" s="1">
        <f ca="1">IFERROR(__xludf.DUMMYFUNCTION("""COMPUTED_VALUE"""),1998)</f>
        <v>1998</v>
      </c>
      <c r="G2893" s="1">
        <f ca="1">IFERROR(__xludf.DUMMYFUNCTION("""COMPUTED_VALUE"""),2215)</f>
        <v>2215</v>
      </c>
      <c r="H2893" s="1" t="str">
        <f ca="1">IFERROR(__xludf.DUMMYFUNCTION("""COMPUTED_VALUE"""),"MTLSZ002215A12")</f>
        <v>MTLSZ002215A12</v>
      </c>
      <c r="I2893" s="2">
        <f ca="1">IFERROR(__xludf.DUMMYFUNCTION("""COMPUTED_VALUE"""),40920)</f>
        <v>40920</v>
      </c>
      <c r="J2893" s="2">
        <f ca="1">IFERROR(__xludf.DUMMYFUNCTION("""COMPUTED_VALUE"""),41285)</f>
        <v>41285</v>
      </c>
    </row>
    <row r="2894" spans="1:10" x14ac:dyDescent="0.25">
      <c r="A2894" s="1" t="str">
        <f ca="1">IFERROR(__xludf.DUMMYFUNCTION("""COMPUTED_VALUE"""),"Multi Alarm SE")</f>
        <v>Multi Alarm SE</v>
      </c>
      <c r="B2894" s="1" t="str">
        <f ca="1">IFERROR(__xludf.DUMMYFUNCTION("""COMPUTED_VALUE"""),"Spahr Patrick")</f>
        <v>Spahr Patrick</v>
      </c>
      <c r="C2894" s="1"/>
      <c r="D2894" s="1" t="str">
        <f ca="1">IFERROR(__xludf.DUMMYFUNCTION("""COMPUTED_VALUE"""),"Férfi")</f>
        <v>Férfi</v>
      </c>
      <c r="E2894" s="1"/>
      <c r="F2894" s="1">
        <f ca="1">IFERROR(__xludf.DUMMYFUNCTION("""COMPUTED_VALUE"""),1993)</f>
        <v>1993</v>
      </c>
      <c r="G2894" s="1">
        <f ca="1">IFERROR(__xludf.DUMMYFUNCTION("""COMPUTED_VALUE"""),2212)</f>
        <v>2212</v>
      </c>
      <c r="H2894" s="1" t="str">
        <f ca="1">IFERROR(__xludf.DUMMYFUNCTION("""COMPUTED_VALUE"""),"MTLSZ002212A12")</f>
        <v>MTLSZ002212A12</v>
      </c>
      <c r="I2894" s="2">
        <f ca="1">IFERROR(__xludf.DUMMYFUNCTION("""COMPUTED_VALUE"""),40910)</f>
        <v>40910</v>
      </c>
      <c r="J2894" s="2">
        <f ca="1">IFERROR(__xludf.DUMMYFUNCTION("""COMPUTED_VALUE"""),41275)</f>
        <v>41275</v>
      </c>
    </row>
    <row r="2895" spans="1:10" x14ac:dyDescent="0.25">
      <c r="A2895" s="1" t="str">
        <f ca="1">IFERROR(__xludf.DUMMYFUNCTION("""COMPUTED_VALUE"""),"Diaboló SE")</f>
        <v>Diaboló SE</v>
      </c>
      <c r="B2895" s="1" t="str">
        <f ca="1">IFERROR(__xludf.DUMMYFUNCTION("""COMPUTED_VALUE"""),"Griger Szabolcs")</f>
        <v>Griger Szabolcs</v>
      </c>
      <c r="C2895" s="1"/>
      <c r="D2895" s="1" t="str">
        <f ca="1">IFERROR(__xludf.DUMMYFUNCTION("""COMPUTED_VALUE"""),"Férfi")</f>
        <v>Férfi</v>
      </c>
      <c r="E2895" s="1"/>
      <c r="F2895" s="1">
        <f ca="1">IFERROR(__xludf.DUMMYFUNCTION("""COMPUTED_VALUE"""),2001)</f>
        <v>2001</v>
      </c>
      <c r="G2895" s="1">
        <f ca="1">IFERROR(__xludf.DUMMYFUNCTION("""COMPUTED_VALUE"""),2095)</f>
        <v>2095</v>
      </c>
      <c r="H2895" s="1" t="str">
        <f ca="1">IFERROR(__xludf.DUMMYFUNCTION("""COMPUTED_VALUE"""),"MTLSZ002095A11")</f>
        <v>MTLSZ002095A11</v>
      </c>
      <c r="I2895" s="2">
        <f ca="1">IFERROR(__xludf.DUMMYFUNCTION("""COMPUTED_VALUE"""),40906)</f>
        <v>40906</v>
      </c>
      <c r="J2895" s="2">
        <f ca="1">IFERROR(__xludf.DUMMYFUNCTION("""COMPUTED_VALUE"""),41271)</f>
        <v>41271</v>
      </c>
    </row>
    <row r="2896" spans="1:10" x14ac:dyDescent="0.25">
      <c r="A2896" s="1" t="str">
        <f ca="1">IFERROR(__xludf.DUMMYFUNCTION("""COMPUTED_VALUE"""),"BEAC")</f>
        <v>BEAC</v>
      </c>
      <c r="B2896" s="1" t="str">
        <f ca="1">IFERROR(__xludf.DUMMYFUNCTION("""COMPUTED_VALUE"""),"Tóth Laura")</f>
        <v>Tóth Laura</v>
      </c>
      <c r="C2896" s="1"/>
      <c r="D2896" s="1" t="str">
        <f ca="1">IFERROR(__xludf.DUMMYFUNCTION("""COMPUTED_VALUE"""),"Nő")</f>
        <v>Nő</v>
      </c>
      <c r="E2896" s="1"/>
      <c r="F2896" s="1">
        <f ca="1">IFERROR(__xludf.DUMMYFUNCTION("""COMPUTED_VALUE"""),1985)</f>
        <v>1985</v>
      </c>
      <c r="G2896" s="1">
        <f ca="1">IFERROR(__xludf.DUMMYFUNCTION("""COMPUTED_VALUE"""),1039)</f>
        <v>1039</v>
      </c>
      <c r="H2896" s="1" t="str">
        <f ca="1">IFERROR(__xludf.DUMMYFUNCTION("""COMPUTED_VALUE"""),"MTLSZ001039A11")</f>
        <v>MTLSZ001039A11</v>
      </c>
      <c r="I2896" s="2">
        <f ca="1">IFERROR(__xludf.DUMMYFUNCTION("""COMPUTED_VALUE"""),40886)</f>
        <v>40886</v>
      </c>
      <c r="J2896" s="2">
        <f ca="1">IFERROR(__xludf.DUMMYFUNCTION("""COMPUTED_VALUE"""),41251)</f>
        <v>41251</v>
      </c>
    </row>
    <row r="2897" spans="1:10" x14ac:dyDescent="0.25">
      <c r="A2897" s="1" t="str">
        <f ca="1">IFERROR(__xludf.DUMMYFUNCTION("""COMPUTED_VALUE"""),"BEAC")</f>
        <v>BEAC</v>
      </c>
      <c r="B2897" s="1" t="str">
        <f ca="1">IFERROR(__xludf.DUMMYFUNCTION("""COMPUTED_VALUE"""),"Zsifkó Ferenc")</f>
        <v>Zsifkó Ferenc</v>
      </c>
      <c r="C2897" s="1"/>
      <c r="D2897" s="1" t="str">
        <f ca="1">IFERROR(__xludf.DUMMYFUNCTION("""COMPUTED_VALUE"""),"Férfi")</f>
        <v>Férfi</v>
      </c>
      <c r="E2897" s="1"/>
      <c r="F2897" s="1">
        <f ca="1">IFERROR(__xludf.DUMMYFUNCTION("""COMPUTED_VALUE"""),1970)</f>
        <v>1970</v>
      </c>
      <c r="G2897" s="1">
        <f ca="1">IFERROR(__xludf.DUMMYFUNCTION("""COMPUTED_VALUE"""),1149)</f>
        <v>1149</v>
      </c>
      <c r="H2897" s="1" t="str">
        <f ca="1">IFERROR(__xludf.DUMMYFUNCTION("""COMPUTED_VALUE"""),"MTLSZ001149A11")</f>
        <v>MTLSZ001149A11</v>
      </c>
      <c r="I2897" s="2">
        <f ca="1">IFERROR(__xludf.DUMMYFUNCTION("""COMPUTED_VALUE"""),40886)</f>
        <v>40886</v>
      </c>
      <c r="J2897" s="2">
        <f ca="1">IFERROR(__xludf.DUMMYFUNCTION("""COMPUTED_VALUE"""),41251)</f>
        <v>41251</v>
      </c>
    </row>
    <row r="2898" spans="1:10" x14ac:dyDescent="0.25">
      <c r="A2898" s="1" t="str">
        <f ca="1">IFERROR(__xludf.DUMMYFUNCTION("""COMPUTED_VALUE"""),"HZSE")</f>
        <v>HZSE</v>
      </c>
      <c r="B2898" s="1" t="str">
        <f ca="1">IFERROR(__xludf.DUMMYFUNCTION("""COMPUTED_VALUE"""),"Ali Naseer Abdulla")</f>
        <v>Ali Naseer Abdulla</v>
      </c>
      <c r="C2898" s="1"/>
      <c r="D2898" s="1" t="str">
        <f ca="1">IFERROR(__xludf.DUMMYFUNCTION("""COMPUTED_VALUE"""),"Férfi")</f>
        <v>Férfi</v>
      </c>
      <c r="E2898" s="1"/>
      <c r="F2898" s="1">
        <f ca="1">IFERROR(__xludf.DUMMYFUNCTION("""COMPUTED_VALUE"""),1976)</f>
        <v>1976</v>
      </c>
      <c r="G2898" s="1">
        <f ca="1">IFERROR(__xludf.DUMMYFUNCTION("""COMPUTED_VALUE"""),1378)</f>
        <v>1378</v>
      </c>
      <c r="H2898" s="1" t="str">
        <f ca="1">IFERROR(__xludf.DUMMYFUNCTION("""COMPUTED_VALUE"""),"MTLSZ001378A11")</f>
        <v>MTLSZ001378A11</v>
      </c>
      <c r="I2898" s="2">
        <f ca="1">IFERROR(__xludf.DUMMYFUNCTION("""COMPUTED_VALUE"""),40886)</f>
        <v>40886</v>
      </c>
      <c r="J2898" s="2">
        <f ca="1">IFERROR(__xludf.DUMMYFUNCTION("""COMPUTED_VALUE"""),41251)</f>
        <v>41251</v>
      </c>
    </row>
    <row r="2899" spans="1:10" x14ac:dyDescent="0.25">
      <c r="A2899" s="1" t="str">
        <f ca="1">IFERROR(__xludf.DUMMYFUNCTION("""COMPUTED_VALUE"""),"HZSE")</f>
        <v>HZSE</v>
      </c>
      <c r="B2899" s="1" t="str">
        <f ca="1">IFERROR(__xludf.DUMMYFUNCTION("""COMPUTED_VALUE"""),"Bercsényi Barbara")</f>
        <v>Bercsényi Barbara</v>
      </c>
      <c r="C2899" s="1"/>
      <c r="D2899" s="1" t="str">
        <f ca="1">IFERROR(__xludf.DUMMYFUNCTION("""COMPUTED_VALUE"""),"Nő")</f>
        <v>Nő</v>
      </c>
      <c r="E2899" s="1"/>
      <c r="F2899" s="1">
        <f ca="1">IFERROR(__xludf.DUMMYFUNCTION("""COMPUTED_VALUE"""),1982)</f>
        <v>1982</v>
      </c>
      <c r="G2899" s="1">
        <f ca="1">IFERROR(__xludf.DUMMYFUNCTION("""COMPUTED_VALUE"""),1244)</f>
        <v>1244</v>
      </c>
      <c r="H2899" s="1" t="str">
        <f ca="1">IFERROR(__xludf.DUMMYFUNCTION("""COMPUTED_VALUE"""),"MTLSZ001244A11")</f>
        <v>MTLSZ001244A11</v>
      </c>
      <c r="I2899" s="2">
        <f ca="1">IFERROR(__xludf.DUMMYFUNCTION("""COMPUTED_VALUE"""),40886)</f>
        <v>40886</v>
      </c>
      <c r="J2899" s="2">
        <f ca="1">IFERROR(__xludf.DUMMYFUNCTION("""COMPUTED_VALUE"""),41251)</f>
        <v>41251</v>
      </c>
    </row>
    <row r="2900" spans="1:10" x14ac:dyDescent="0.25">
      <c r="A2900" s="1" t="str">
        <f ca="1">IFERROR(__xludf.DUMMYFUNCTION("""COMPUTED_VALUE"""),"HZSE")</f>
        <v>HZSE</v>
      </c>
      <c r="B2900" s="1" t="str">
        <f ca="1">IFERROR(__xludf.DUMMYFUNCTION("""COMPUTED_VALUE"""),"Coleman Jennifer")</f>
        <v>Coleman Jennifer</v>
      </c>
      <c r="C2900" s="1"/>
      <c r="D2900" s="1" t="str">
        <f ca="1">IFERROR(__xludf.DUMMYFUNCTION("""COMPUTED_VALUE"""),"Nő")</f>
        <v>Nő</v>
      </c>
      <c r="E2900" s="1"/>
      <c r="F2900" s="1">
        <f ca="1">IFERROR(__xludf.DUMMYFUNCTION("""COMPUTED_VALUE"""),1982)</f>
        <v>1982</v>
      </c>
      <c r="G2900" s="1">
        <f ca="1">IFERROR(__xludf.DUMMYFUNCTION("""COMPUTED_VALUE"""),1802)</f>
        <v>1802</v>
      </c>
      <c r="H2900" s="1" t="str">
        <f ca="1">IFERROR(__xludf.DUMMYFUNCTION("""COMPUTED_VALUE"""),"MTLSZ001802A11")</f>
        <v>MTLSZ001802A11</v>
      </c>
      <c r="I2900" s="2">
        <f ca="1">IFERROR(__xludf.DUMMYFUNCTION("""COMPUTED_VALUE"""),40886)</f>
        <v>40886</v>
      </c>
      <c r="J2900" s="2">
        <f ca="1">IFERROR(__xludf.DUMMYFUNCTION("""COMPUTED_VALUE"""),41251)</f>
        <v>41251</v>
      </c>
    </row>
    <row r="2901" spans="1:10" x14ac:dyDescent="0.25">
      <c r="A2901" s="1" t="str">
        <f ca="1">IFERROR(__xludf.DUMMYFUNCTION("""COMPUTED_VALUE"""),"HZSE")</f>
        <v>HZSE</v>
      </c>
      <c r="B2901" s="1" t="str">
        <f ca="1">IFERROR(__xludf.DUMMYFUNCTION("""COMPUTED_VALUE"""),"Czeller Norbert")</f>
        <v>Czeller Norbert</v>
      </c>
      <c r="C2901" s="1"/>
      <c r="D2901" s="1" t="str">
        <f ca="1">IFERROR(__xludf.DUMMYFUNCTION("""COMPUTED_VALUE"""),"Férfi")</f>
        <v>Férfi</v>
      </c>
      <c r="E2901" s="1"/>
      <c r="F2901" s="1">
        <f ca="1">IFERROR(__xludf.DUMMYFUNCTION("""COMPUTED_VALUE"""),1979)</f>
        <v>1979</v>
      </c>
      <c r="G2901" s="1">
        <f ca="1">IFERROR(__xludf.DUMMYFUNCTION("""COMPUTED_VALUE"""),159)</f>
        <v>159</v>
      </c>
      <c r="H2901" s="1" t="str">
        <f ca="1">IFERROR(__xludf.DUMMYFUNCTION("""COMPUTED_VALUE"""),"MTLSZ000159A11")</f>
        <v>MTLSZ000159A11</v>
      </c>
      <c r="I2901" s="2">
        <f ca="1">IFERROR(__xludf.DUMMYFUNCTION("""COMPUTED_VALUE"""),40886)</f>
        <v>40886</v>
      </c>
      <c r="J2901" s="2">
        <f ca="1">IFERROR(__xludf.DUMMYFUNCTION("""COMPUTED_VALUE"""),41251)</f>
        <v>41251</v>
      </c>
    </row>
    <row r="2902" spans="1:10" x14ac:dyDescent="0.25">
      <c r="A2902" s="1" t="str">
        <f ca="1">IFERROR(__xludf.DUMMYFUNCTION("""COMPUTED_VALUE"""),"HZSE")</f>
        <v>HZSE</v>
      </c>
      <c r="B2902" s="1" t="str">
        <f ca="1">IFERROR(__xludf.DUMMYFUNCTION("""COMPUTED_VALUE"""),"Dakó Gabriella")</f>
        <v>Dakó Gabriella</v>
      </c>
      <c r="C2902" s="1"/>
      <c r="D2902" s="1" t="str">
        <f ca="1">IFERROR(__xludf.DUMMYFUNCTION("""COMPUTED_VALUE"""),"Nő")</f>
        <v>Nő</v>
      </c>
      <c r="E2902" s="1"/>
      <c r="F2902" s="1">
        <f ca="1">IFERROR(__xludf.DUMMYFUNCTION("""COMPUTED_VALUE"""),1978)</f>
        <v>1978</v>
      </c>
      <c r="G2902" s="1">
        <f ca="1">IFERROR(__xludf.DUMMYFUNCTION("""COMPUTED_VALUE"""),171)</f>
        <v>171</v>
      </c>
      <c r="H2902" s="1" t="str">
        <f ca="1">IFERROR(__xludf.DUMMYFUNCTION("""COMPUTED_VALUE"""),"MTLSZ000171A11")</f>
        <v>MTLSZ000171A11</v>
      </c>
      <c r="I2902" s="2">
        <f ca="1">IFERROR(__xludf.DUMMYFUNCTION("""COMPUTED_VALUE"""),40886)</f>
        <v>40886</v>
      </c>
      <c r="J2902" s="2">
        <f ca="1">IFERROR(__xludf.DUMMYFUNCTION("""COMPUTED_VALUE"""),41251)</f>
        <v>41251</v>
      </c>
    </row>
    <row r="2903" spans="1:10" x14ac:dyDescent="0.25">
      <c r="A2903" s="1" t="str">
        <f ca="1">IFERROR(__xludf.DUMMYFUNCTION("""COMPUTED_VALUE"""),"HZSE")</f>
        <v>HZSE</v>
      </c>
      <c r="B2903" s="1" t="str">
        <f ca="1">IFERROR(__xludf.DUMMYFUNCTION("""COMPUTED_VALUE"""),"Derecskei Zsolt")</f>
        <v>Derecskei Zsolt</v>
      </c>
      <c r="C2903" s="1"/>
      <c r="D2903" s="1" t="str">
        <f ca="1">IFERROR(__xludf.DUMMYFUNCTION("""COMPUTED_VALUE"""),"Férfi")</f>
        <v>Férfi</v>
      </c>
      <c r="E2903" s="1"/>
      <c r="F2903" s="1">
        <f ca="1">IFERROR(__xludf.DUMMYFUNCTION("""COMPUTED_VALUE"""),1979)</f>
        <v>1979</v>
      </c>
      <c r="G2903" s="1">
        <f ca="1">IFERROR(__xludf.DUMMYFUNCTION("""COMPUTED_VALUE"""),189)</f>
        <v>189</v>
      </c>
      <c r="H2903" s="1" t="str">
        <f ca="1">IFERROR(__xludf.DUMMYFUNCTION("""COMPUTED_VALUE"""),"MTLSZ000189A11")</f>
        <v>MTLSZ000189A11</v>
      </c>
      <c r="I2903" s="2">
        <f ca="1">IFERROR(__xludf.DUMMYFUNCTION("""COMPUTED_VALUE"""),40886)</f>
        <v>40886</v>
      </c>
      <c r="J2903" s="2">
        <f ca="1">IFERROR(__xludf.DUMMYFUNCTION("""COMPUTED_VALUE"""),41251)</f>
        <v>41251</v>
      </c>
    </row>
    <row r="2904" spans="1:10" x14ac:dyDescent="0.25">
      <c r="A2904" s="1" t="str">
        <f ca="1">IFERROR(__xludf.DUMMYFUNCTION("""COMPUTED_VALUE"""),"HZSE")</f>
        <v>HZSE</v>
      </c>
      <c r="B2904" s="1" t="str">
        <f ca="1">IFERROR(__xludf.DUMMYFUNCTION("""COMPUTED_VALUE"""),"Dovalovszki Márta")</f>
        <v>Dovalovszki Márta</v>
      </c>
      <c r="C2904" s="1"/>
      <c r="D2904" s="1" t="str">
        <f ca="1">IFERROR(__xludf.DUMMYFUNCTION("""COMPUTED_VALUE"""),"Nő")</f>
        <v>Nő</v>
      </c>
      <c r="E2904" s="1"/>
      <c r="F2904" s="1">
        <f ca="1">IFERROR(__xludf.DUMMYFUNCTION("""COMPUTED_VALUE"""),1964)</f>
        <v>1964</v>
      </c>
      <c r="G2904" s="1">
        <f ca="1">IFERROR(__xludf.DUMMYFUNCTION("""COMPUTED_VALUE"""),1776)</f>
        <v>1776</v>
      </c>
      <c r="H2904" s="1" t="str">
        <f ca="1">IFERROR(__xludf.DUMMYFUNCTION("""COMPUTED_VALUE"""),"MTLSZ001776A11")</f>
        <v>MTLSZ001776A11</v>
      </c>
      <c r="I2904" s="2">
        <f ca="1">IFERROR(__xludf.DUMMYFUNCTION("""COMPUTED_VALUE"""),40886)</f>
        <v>40886</v>
      </c>
      <c r="J2904" s="2">
        <f ca="1">IFERROR(__xludf.DUMMYFUNCTION("""COMPUTED_VALUE"""),41251)</f>
        <v>41251</v>
      </c>
    </row>
    <row r="2905" spans="1:10" x14ac:dyDescent="0.25">
      <c r="A2905" s="1" t="str">
        <f ca="1">IFERROR(__xludf.DUMMYFUNCTION("""COMPUTED_VALUE"""),"HZSE")</f>
        <v>HZSE</v>
      </c>
      <c r="B2905" s="1" t="str">
        <f ca="1">IFERROR(__xludf.DUMMYFUNCTION("""COMPUTED_VALUE"""),"Fazekas Botond")</f>
        <v>Fazekas Botond</v>
      </c>
      <c r="C2905" s="1"/>
      <c r="D2905" s="1" t="str">
        <f ca="1">IFERROR(__xludf.DUMMYFUNCTION("""COMPUTED_VALUE"""),"Férfi")</f>
        <v>Férfi</v>
      </c>
      <c r="E2905" s="1"/>
      <c r="F2905" s="1">
        <f ca="1">IFERROR(__xludf.DUMMYFUNCTION("""COMPUTED_VALUE"""),1978)</f>
        <v>1978</v>
      </c>
      <c r="G2905" s="1">
        <f ca="1">IFERROR(__xludf.DUMMYFUNCTION("""COMPUTED_VALUE"""),236)</f>
        <v>236</v>
      </c>
      <c r="H2905" s="1" t="str">
        <f ca="1">IFERROR(__xludf.DUMMYFUNCTION("""COMPUTED_VALUE"""),"MTLSZ000236A11")</f>
        <v>MTLSZ000236A11</v>
      </c>
      <c r="I2905" s="2">
        <f ca="1">IFERROR(__xludf.DUMMYFUNCTION("""COMPUTED_VALUE"""),40886)</f>
        <v>40886</v>
      </c>
      <c r="J2905" s="2">
        <f ca="1">IFERROR(__xludf.DUMMYFUNCTION("""COMPUTED_VALUE"""),41251)</f>
        <v>41251</v>
      </c>
    </row>
    <row r="2906" spans="1:10" x14ac:dyDescent="0.25">
      <c r="A2906" s="1" t="str">
        <f ca="1">IFERROR(__xludf.DUMMYFUNCTION("""COMPUTED_VALUE"""),"HZSE")</f>
        <v>HZSE</v>
      </c>
      <c r="B2906" s="1" t="str">
        <f ca="1">IFERROR(__xludf.DUMMYFUNCTION("""COMPUTED_VALUE"""),"Fazekas Tamás")</f>
        <v>Fazekas Tamás</v>
      </c>
      <c r="C2906" s="1"/>
      <c r="D2906" s="1" t="str">
        <f ca="1">IFERROR(__xludf.DUMMYFUNCTION("""COMPUTED_VALUE"""),"Férfi")</f>
        <v>Férfi</v>
      </c>
      <c r="E2906" s="1"/>
      <c r="F2906" s="1">
        <f ca="1">IFERROR(__xludf.DUMMYFUNCTION("""COMPUTED_VALUE"""),1979)</f>
        <v>1979</v>
      </c>
      <c r="G2906" s="1">
        <f ca="1">IFERROR(__xludf.DUMMYFUNCTION("""COMPUTED_VALUE"""),237)</f>
        <v>237</v>
      </c>
      <c r="H2906" s="1" t="str">
        <f ca="1">IFERROR(__xludf.DUMMYFUNCTION("""COMPUTED_VALUE"""),"MTLSZ000237A11")</f>
        <v>MTLSZ000237A11</v>
      </c>
      <c r="I2906" s="2">
        <f ca="1">IFERROR(__xludf.DUMMYFUNCTION("""COMPUTED_VALUE"""),40886)</f>
        <v>40886</v>
      </c>
      <c r="J2906" s="2">
        <f ca="1">IFERROR(__xludf.DUMMYFUNCTION("""COMPUTED_VALUE"""),41251)</f>
        <v>41251</v>
      </c>
    </row>
    <row r="2907" spans="1:10" x14ac:dyDescent="0.25">
      <c r="A2907" s="1" t="str">
        <f ca="1">IFERROR(__xludf.DUMMYFUNCTION("""COMPUTED_VALUE"""),"HZSE")</f>
        <v>HZSE</v>
      </c>
      <c r="B2907" s="1" t="str">
        <f ca="1">IFERROR(__xludf.DUMMYFUNCTION("""COMPUTED_VALUE"""),"Forgách Nóra")</f>
        <v>Forgách Nóra</v>
      </c>
      <c r="C2907" s="1"/>
      <c r="D2907" s="1" t="str">
        <f ca="1">IFERROR(__xludf.DUMMYFUNCTION("""COMPUTED_VALUE"""),"Nő")</f>
        <v>Nő</v>
      </c>
      <c r="E2907" s="1"/>
      <c r="F2907" s="1">
        <f ca="1">IFERROR(__xludf.DUMMYFUNCTION("""COMPUTED_VALUE"""),1983)</f>
        <v>1983</v>
      </c>
      <c r="G2907" s="1">
        <f ca="1">IFERROR(__xludf.DUMMYFUNCTION("""COMPUTED_VALUE"""),259)</f>
        <v>259</v>
      </c>
      <c r="H2907" s="1" t="str">
        <f ca="1">IFERROR(__xludf.DUMMYFUNCTION("""COMPUTED_VALUE"""),"MTLSZ000259A11")</f>
        <v>MTLSZ000259A11</v>
      </c>
      <c r="I2907" s="2">
        <f ca="1">IFERROR(__xludf.DUMMYFUNCTION("""COMPUTED_VALUE"""),40886)</f>
        <v>40886</v>
      </c>
      <c r="J2907" s="2">
        <f ca="1">IFERROR(__xludf.DUMMYFUNCTION("""COMPUTED_VALUE"""),41251)</f>
        <v>41251</v>
      </c>
    </row>
    <row r="2908" spans="1:10" x14ac:dyDescent="0.25">
      <c r="A2908" s="1" t="str">
        <f ca="1">IFERROR(__xludf.DUMMYFUNCTION("""COMPUTED_VALUE"""),"HZSE")</f>
        <v>HZSE</v>
      </c>
      <c r="B2908" s="1" t="str">
        <f ca="1">IFERROR(__xludf.DUMMYFUNCTION("""COMPUTED_VALUE"""),"Franczia Ádám")</f>
        <v>Franczia Ádám</v>
      </c>
      <c r="C2908" s="1"/>
      <c r="D2908" s="1" t="str">
        <f ca="1">IFERROR(__xludf.DUMMYFUNCTION("""COMPUTED_VALUE"""),"Férfi")</f>
        <v>Férfi</v>
      </c>
      <c r="E2908" s="1"/>
      <c r="F2908" s="1">
        <f ca="1">IFERROR(__xludf.DUMMYFUNCTION("""COMPUTED_VALUE"""),1991)</f>
        <v>1991</v>
      </c>
      <c r="G2908" s="1">
        <f ca="1">IFERROR(__xludf.DUMMYFUNCTION("""COMPUTED_VALUE"""),1473)</f>
        <v>1473</v>
      </c>
      <c r="H2908" s="1" t="str">
        <f ca="1">IFERROR(__xludf.DUMMYFUNCTION("""COMPUTED_VALUE"""),"MTLSZ001473A11")</f>
        <v>MTLSZ001473A11</v>
      </c>
      <c r="I2908" s="2">
        <f ca="1">IFERROR(__xludf.DUMMYFUNCTION("""COMPUTED_VALUE"""),40886)</f>
        <v>40886</v>
      </c>
      <c r="J2908" s="2">
        <f ca="1">IFERROR(__xludf.DUMMYFUNCTION("""COMPUTED_VALUE"""),41251)</f>
        <v>41251</v>
      </c>
    </row>
    <row r="2909" spans="1:10" x14ac:dyDescent="0.25">
      <c r="A2909" s="1" t="str">
        <f ca="1">IFERROR(__xludf.DUMMYFUNCTION("""COMPUTED_VALUE"""),"HZSE")</f>
        <v>HZSE</v>
      </c>
      <c r="B2909" s="1" t="str">
        <f ca="1">IFERROR(__xludf.DUMMYFUNCTION("""COMPUTED_VALUE"""),"Gál Bálint")</f>
        <v>Gál Bálint</v>
      </c>
      <c r="C2909" s="1"/>
      <c r="D2909" s="1" t="str">
        <f ca="1">IFERROR(__xludf.DUMMYFUNCTION("""COMPUTED_VALUE"""),"Férfi")</f>
        <v>Férfi</v>
      </c>
      <c r="E2909" s="1"/>
      <c r="F2909" s="1">
        <f ca="1">IFERROR(__xludf.DUMMYFUNCTION("""COMPUTED_VALUE"""),1991)</f>
        <v>1991</v>
      </c>
      <c r="G2909" s="1">
        <f ca="1">IFERROR(__xludf.DUMMYFUNCTION("""COMPUTED_VALUE"""),274)</f>
        <v>274</v>
      </c>
      <c r="H2909" s="1" t="str">
        <f ca="1">IFERROR(__xludf.DUMMYFUNCTION("""COMPUTED_VALUE"""),"MTLSZ000274A11")</f>
        <v>MTLSZ000274A11</v>
      </c>
      <c r="I2909" s="2">
        <f ca="1">IFERROR(__xludf.DUMMYFUNCTION("""COMPUTED_VALUE"""),40886)</f>
        <v>40886</v>
      </c>
      <c r="J2909" s="2">
        <f ca="1">IFERROR(__xludf.DUMMYFUNCTION("""COMPUTED_VALUE"""),41251)</f>
        <v>41251</v>
      </c>
    </row>
    <row r="2910" spans="1:10" x14ac:dyDescent="0.25">
      <c r="A2910" s="1" t="str">
        <f ca="1">IFERROR(__xludf.DUMMYFUNCTION("""COMPUTED_VALUE"""),"HZSE")</f>
        <v>HZSE</v>
      </c>
      <c r="B2910" s="1" t="str">
        <f ca="1">IFERROR(__xludf.DUMMYFUNCTION("""COMPUTED_VALUE"""),"Gál Szabolcs")</f>
        <v>Gál Szabolcs</v>
      </c>
      <c r="C2910" s="1"/>
      <c r="D2910" s="1" t="str">
        <f ca="1">IFERROR(__xludf.DUMMYFUNCTION("""COMPUTED_VALUE"""),"Férfi")</f>
        <v>Férfi</v>
      </c>
      <c r="E2910" s="1"/>
      <c r="F2910" s="1">
        <f ca="1">IFERROR(__xludf.DUMMYFUNCTION("""COMPUTED_VALUE"""),1993)</f>
        <v>1993</v>
      </c>
      <c r="G2910" s="1">
        <f ca="1">IFERROR(__xludf.DUMMYFUNCTION("""COMPUTED_VALUE"""),1321)</f>
        <v>1321</v>
      </c>
      <c r="H2910" s="1" t="str">
        <f ca="1">IFERROR(__xludf.DUMMYFUNCTION("""COMPUTED_VALUE"""),"MTLSZ001321A11")</f>
        <v>MTLSZ001321A11</v>
      </c>
      <c r="I2910" s="2">
        <f ca="1">IFERROR(__xludf.DUMMYFUNCTION("""COMPUTED_VALUE"""),40886)</f>
        <v>40886</v>
      </c>
      <c r="J2910" s="2">
        <f ca="1">IFERROR(__xludf.DUMMYFUNCTION("""COMPUTED_VALUE"""),41251)</f>
        <v>41251</v>
      </c>
    </row>
    <row r="2911" spans="1:10" x14ac:dyDescent="0.25">
      <c r="A2911" s="1" t="str">
        <f ca="1">IFERROR(__xludf.DUMMYFUNCTION("""COMPUTED_VALUE"""),"HZSE")</f>
        <v>HZSE</v>
      </c>
      <c r="B2911" s="1" t="str">
        <f ca="1">IFERROR(__xludf.DUMMYFUNCTION("""COMPUTED_VALUE"""),"Gáll Richárd")</f>
        <v>Gáll Richárd</v>
      </c>
      <c r="C2911" s="1"/>
      <c r="D2911" s="1" t="str">
        <f ca="1">IFERROR(__xludf.DUMMYFUNCTION("""COMPUTED_VALUE"""),"Férfi")</f>
        <v>Férfi</v>
      </c>
      <c r="E2911" s="1"/>
      <c r="F2911" s="1">
        <f ca="1">IFERROR(__xludf.DUMMYFUNCTION("""COMPUTED_VALUE"""),1983)</f>
        <v>1983</v>
      </c>
      <c r="G2911" s="1">
        <f ca="1">IFERROR(__xludf.DUMMYFUNCTION("""COMPUTED_VALUE"""),277)</f>
        <v>277</v>
      </c>
      <c r="H2911" s="1" t="str">
        <f ca="1">IFERROR(__xludf.DUMMYFUNCTION("""COMPUTED_VALUE"""),"MTLSZ000277A11")</f>
        <v>MTLSZ000277A11</v>
      </c>
      <c r="I2911" s="2">
        <f ca="1">IFERROR(__xludf.DUMMYFUNCTION("""COMPUTED_VALUE"""),40886)</f>
        <v>40886</v>
      </c>
      <c r="J2911" s="2">
        <f ca="1">IFERROR(__xludf.DUMMYFUNCTION("""COMPUTED_VALUE"""),41251)</f>
        <v>41251</v>
      </c>
    </row>
    <row r="2912" spans="1:10" x14ac:dyDescent="0.25">
      <c r="A2912" s="1" t="str">
        <f ca="1">IFERROR(__xludf.DUMMYFUNCTION("""COMPUTED_VALUE"""),"HZSE")</f>
        <v>HZSE</v>
      </c>
      <c r="B2912" s="1" t="str">
        <f ca="1">IFERROR(__xludf.DUMMYFUNCTION("""COMPUTED_VALUE"""),"Hrisztov Anna")</f>
        <v>Hrisztov Anna</v>
      </c>
      <c r="C2912" s="1"/>
      <c r="D2912" s="1" t="str">
        <f ca="1">IFERROR(__xludf.DUMMYFUNCTION("""COMPUTED_VALUE"""),"Nő")</f>
        <v>Nő</v>
      </c>
      <c r="E2912" s="1"/>
      <c r="F2912" s="1">
        <f ca="1">IFERROR(__xludf.DUMMYFUNCTION("""COMPUTED_VALUE"""),1991)</f>
        <v>1991</v>
      </c>
      <c r="G2912" s="1">
        <f ca="1">IFERROR(__xludf.DUMMYFUNCTION("""COMPUTED_VALUE"""),1939)</f>
        <v>1939</v>
      </c>
      <c r="H2912" s="1" t="str">
        <f ca="1">IFERROR(__xludf.DUMMYFUNCTION("""COMPUTED_VALUE"""),"MTLSZ001939A11")</f>
        <v>MTLSZ001939A11</v>
      </c>
      <c r="I2912" s="2">
        <f ca="1">IFERROR(__xludf.DUMMYFUNCTION("""COMPUTED_VALUE"""),40886)</f>
        <v>40886</v>
      </c>
      <c r="J2912" s="2">
        <f ca="1">IFERROR(__xludf.DUMMYFUNCTION("""COMPUTED_VALUE"""),41251)</f>
        <v>41251</v>
      </c>
    </row>
    <row r="2913" spans="1:10" x14ac:dyDescent="0.25">
      <c r="A2913" s="1" t="str">
        <f ca="1">IFERROR(__xludf.DUMMYFUNCTION("""COMPUTED_VALUE"""),"HZSE")</f>
        <v>HZSE</v>
      </c>
      <c r="B2913" s="1" t="str">
        <f ca="1">IFERROR(__xludf.DUMMYFUNCTION("""COMPUTED_VALUE"""),"Kavasánszki István")</f>
        <v>Kavasánszki István</v>
      </c>
      <c r="C2913" s="1"/>
      <c r="D2913" s="1" t="str">
        <f ca="1">IFERROR(__xludf.DUMMYFUNCTION("""COMPUTED_VALUE"""),"Férfi")</f>
        <v>Férfi</v>
      </c>
      <c r="E2913" s="1"/>
      <c r="F2913" s="1">
        <f ca="1">IFERROR(__xludf.DUMMYFUNCTION("""COMPUTED_VALUE"""),1980)</f>
        <v>1980</v>
      </c>
      <c r="G2913" s="1">
        <f ca="1">IFERROR(__xludf.DUMMYFUNCTION("""COMPUTED_VALUE"""),1469)</f>
        <v>1469</v>
      </c>
      <c r="H2913" s="1" t="str">
        <f ca="1">IFERROR(__xludf.DUMMYFUNCTION("""COMPUTED_VALUE"""),"MTLSZ001469A11")</f>
        <v>MTLSZ001469A11</v>
      </c>
      <c r="I2913" s="2">
        <f ca="1">IFERROR(__xludf.DUMMYFUNCTION("""COMPUTED_VALUE"""),40886)</f>
        <v>40886</v>
      </c>
      <c r="J2913" s="2">
        <f ca="1">IFERROR(__xludf.DUMMYFUNCTION("""COMPUTED_VALUE"""),41251)</f>
        <v>41251</v>
      </c>
    </row>
    <row r="2914" spans="1:10" x14ac:dyDescent="0.25">
      <c r="A2914" s="1" t="str">
        <f ca="1">IFERROR(__xludf.DUMMYFUNCTION("""COMPUTED_VALUE"""),"HZSE")</f>
        <v>HZSE</v>
      </c>
      <c r="B2914" s="1" t="str">
        <f ca="1">IFERROR(__xludf.DUMMYFUNCTION("""COMPUTED_VALUE"""),"Kecskeméti Viktória")</f>
        <v>Kecskeméti Viktória</v>
      </c>
      <c r="C2914" s="1"/>
      <c r="D2914" s="1" t="str">
        <f ca="1">IFERROR(__xludf.DUMMYFUNCTION("""COMPUTED_VALUE"""),"Nő")</f>
        <v>Nő</v>
      </c>
      <c r="E2914" s="1"/>
      <c r="F2914" s="1">
        <f ca="1">IFERROR(__xludf.DUMMYFUNCTION("""COMPUTED_VALUE"""),1977)</f>
        <v>1977</v>
      </c>
      <c r="G2914" s="1">
        <f ca="1">IFERROR(__xludf.DUMMYFUNCTION("""COMPUTED_VALUE"""),1484)</f>
        <v>1484</v>
      </c>
      <c r="H2914" s="1" t="str">
        <f ca="1">IFERROR(__xludf.DUMMYFUNCTION("""COMPUTED_VALUE"""),"MTLSZ001484A11")</f>
        <v>MTLSZ001484A11</v>
      </c>
      <c r="I2914" s="2">
        <f ca="1">IFERROR(__xludf.DUMMYFUNCTION("""COMPUTED_VALUE"""),40886)</f>
        <v>40886</v>
      </c>
      <c r="J2914" s="2">
        <f ca="1">IFERROR(__xludf.DUMMYFUNCTION("""COMPUTED_VALUE"""),41251)</f>
        <v>41251</v>
      </c>
    </row>
    <row r="2915" spans="1:10" x14ac:dyDescent="0.25">
      <c r="A2915" s="1" t="str">
        <f ca="1">IFERROR(__xludf.DUMMYFUNCTION("""COMPUTED_VALUE"""),"HZSE")</f>
        <v>HZSE</v>
      </c>
      <c r="B2915" s="1" t="str">
        <f ca="1">IFERROR(__xludf.DUMMYFUNCTION("""COMPUTED_VALUE"""),"Kempl Klára")</f>
        <v>Kempl Klára</v>
      </c>
      <c r="C2915" s="1"/>
      <c r="D2915" s="1" t="str">
        <f ca="1">IFERROR(__xludf.DUMMYFUNCTION("""COMPUTED_VALUE"""),"Nő")</f>
        <v>Nő</v>
      </c>
      <c r="E2915" s="1"/>
      <c r="F2915" s="1">
        <f ca="1">IFERROR(__xludf.DUMMYFUNCTION("""COMPUTED_VALUE"""),1963)</f>
        <v>1963</v>
      </c>
      <c r="G2915" s="1">
        <f ca="1">IFERROR(__xludf.DUMMYFUNCTION("""COMPUTED_VALUE"""),1594)</f>
        <v>1594</v>
      </c>
      <c r="H2915" s="1" t="str">
        <f ca="1">IFERROR(__xludf.DUMMYFUNCTION("""COMPUTED_VALUE"""),"MTLSZ001594A11")</f>
        <v>MTLSZ001594A11</v>
      </c>
      <c r="I2915" s="2">
        <f ca="1">IFERROR(__xludf.DUMMYFUNCTION("""COMPUTED_VALUE"""),40886)</f>
        <v>40886</v>
      </c>
      <c r="J2915" s="2">
        <f ca="1">IFERROR(__xludf.DUMMYFUNCTION("""COMPUTED_VALUE"""),41251)</f>
        <v>41251</v>
      </c>
    </row>
    <row r="2916" spans="1:10" x14ac:dyDescent="0.25">
      <c r="A2916" s="1" t="str">
        <f ca="1">IFERROR(__xludf.DUMMYFUNCTION("""COMPUTED_VALUE"""),"HZSE")</f>
        <v>HZSE</v>
      </c>
      <c r="B2916" s="1" t="str">
        <f ca="1">IFERROR(__xludf.DUMMYFUNCTION("""COMPUTED_VALUE"""),"Kis Alexandra")</f>
        <v>Kis Alexandra</v>
      </c>
      <c r="C2916" s="1"/>
      <c r="D2916" s="1" t="str">
        <f ca="1">IFERROR(__xludf.DUMMYFUNCTION("""COMPUTED_VALUE"""),"Nő")</f>
        <v>Nő</v>
      </c>
      <c r="E2916" s="1"/>
      <c r="F2916" s="1">
        <f ca="1">IFERROR(__xludf.DUMMYFUNCTION("""COMPUTED_VALUE"""),1988)</f>
        <v>1988</v>
      </c>
      <c r="G2916" s="1">
        <f ca="1">IFERROR(__xludf.DUMMYFUNCTION("""COMPUTED_VALUE"""),1695)</f>
        <v>1695</v>
      </c>
      <c r="H2916" s="1" t="str">
        <f ca="1">IFERROR(__xludf.DUMMYFUNCTION("""COMPUTED_VALUE"""),"MTLSZ001695A11")</f>
        <v>MTLSZ001695A11</v>
      </c>
      <c r="I2916" s="2">
        <f ca="1">IFERROR(__xludf.DUMMYFUNCTION("""COMPUTED_VALUE"""),40886)</f>
        <v>40886</v>
      </c>
      <c r="J2916" s="2">
        <f ca="1">IFERROR(__xludf.DUMMYFUNCTION("""COMPUTED_VALUE"""),41251)</f>
        <v>41251</v>
      </c>
    </row>
    <row r="2917" spans="1:10" x14ac:dyDescent="0.25">
      <c r="A2917" s="1" t="str">
        <f ca="1">IFERROR(__xludf.DUMMYFUNCTION("""COMPUTED_VALUE"""),"HZSE")</f>
        <v>HZSE</v>
      </c>
      <c r="B2917" s="1" t="str">
        <f ca="1">IFERROR(__xludf.DUMMYFUNCTION("""COMPUTED_VALUE"""),"Kocsis Eszter Julianna")</f>
        <v>Kocsis Eszter Julianna</v>
      </c>
      <c r="C2917" s="1"/>
      <c r="D2917" s="1" t="str">
        <f ca="1">IFERROR(__xludf.DUMMYFUNCTION("""COMPUTED_VALUE"""),"Nő")</f>
        <v>Nő</v>
      </c>
      <c r="E2917" s="1"/>
      <c r="F2917" s="1">
        <f ca="1">IFERROR(__xludf.DUMMYFUNCTION("""COMPUTED_VALUE"""),1984)</f>
        <v>1984</v>
      </c>
      <c r="G2917" s="1">
        <f ca="1">IFERROR(__xludf.DUMMYFUNCTION("""COMPUTED_VALUE"""),505)</f>
        <v>505</v>
      </c>
      <c r="H2917" s="1" t="str">
        <f ca="1">IFERROR(__xludf.DUMMYFUNCTION("""COMPUTED_VALUE"""),"MTLSZ000505A11")</f>
        <v>MTLSZ000505A11</v>
      </c>
      <c r="I2917" s="2">
        <f ca="1">IFERROR(__xludf.DUMMYFUNCTION("""COMPUTED_VALUE"""),40886)</f>
        <v>40886</v>
      </c>
      <c r="J2917" s="2">
        <f ca="1">IFERROR(__xludf.DUMMYFUNCTION("""COMPUTED_VALUE"""),41251)</f>
        <v>41251</v>
      </c>
    </row>
    <row r="2918" spans="1:10" x14ac:dyDescent="0.25">
      <c r="A2918" s="1" t="str">
        <f ca="1">IFERROR(__xludf.DUMMYFUNCTION("""COMPUTED_VALUE"""),"HZSE")</f>
        <v>HZSE</v>
      </c>
      <c r="B2918" s="1" t="str">
        <f ca="1">IFERROR(__xludf.DUMMYFUNCTION("""COMPUTED_VALUE"""),"Kocsis Nándor")</f>
        <v>Kocsis Nándor</v>
      </c>
      <c r="C2918" s="1"/>
      <c r="D2918" s="1" t="str">
        <f ca="1">IFERROR(__xludf.DUMMYFUNCTION("""COMPUTED_VALUE"""),"Férfi")</f>
        <v>Férfi</v>
      </c>
      <c r="E2918" s="1"/>
      <c r="F2918" s="1">
        <f ca="1">IFERROR(__xludf.DUMMYFUNCTION("""COMPUTED_VALUE"""),1978)</f>
        <v>1978</v>
      </c>
      <c r="G2918" s="1">
        <f ca="1">IFERROR(__xludf.DUMMYFUNCTION("""COMPUTED_VALUE"""),506)</f>
        <v>506</v>
      </c>
      <c r="H2918" s="1" t="str">
        <f ca="1">IFERROR(__xludf.DUMMYFUNCTION("""COMPUTED_VALUE"""),"MTLSZ000506A11")</f>
        <v>MTLSZ000506A11</v>
      </c>
      <c r="I2918" s="2">
        <f ca="1">IFERROR(__xludf.DUMMYFUNCTION("""COMPUTED_VALUE"""),40886)</f>
        <v>40886</v>
      </c>
      <c r="J2918" s="2">
        <f ca="1">IFERROR(__xludf.DUMMYFUNCTION("""COMPUTED_VALUE"""),41251)</f>
        <v>41251</v>
      </c>
    </row>
    <row r="2919" spans="1:10" x14ac:dyDescent="0.25">
      <c r="A2919" s="1" t="str">
        <f ca="1">IFERROR(__xludf.DUMMYFUNCTION("""COMPUTED_VALUE"""),"HZSE")</f>
        <v>HZSE</v>
      </c>
      <c r="B2919" s="1" t="str">
        <f ca="1">IFERROR(__xludf.DUMMYFUNCTION("""COMPUTED_VALUE"""),"Kovács Helga")</f>
        <v>Kovács Helga</v>
      </c>
      <c r="C2919" s="1"/>
      <c r="D2919" s="1" t="str">
        <f ca="1">IFERROR(__xludf.DUMMYFUNCTION("""COMPUTED_VALUE"""),"Nő")</f>
        <v>Nő</v>
      </c>
      <c r="E2919" s="1"/>
      <c r="F2919" s="1">
        <f ca="1">IFERROR(__xludf.DUMMYFUNCTION("""COMPUTED_VALUE"""),1985)</f>
        <v>1985</v>
      </c>
      <c r="G2919" s="1">
        <f ca="1">IFERROR(__xludf.DUMMYFUNCTION("""COMPUTED_VALUE"""),531)</f>
        <v>531</v>
      </c>
      <c r="H2919" s="1" t="str">
        <f ca="1">IFERROR(__xludf.DUMMYFUNCTION("""COMPUTED_VALUE"""),"MTLSZ000531A11")</f>
        <v>MTLSZ000531A11</v>
      </c>
      <c r="I2919" s="2">
        <f ca="1">IFERROR(__xludf.DUMMYFUNCTION("""COMPUTED_VALUE"""),40886)</f>
        <v>40886</v>
      </c>
      <c r="J2919" s="2">
        <f ca="1">IFERROR(__xludf.DUMMYFUNCTION("""COMPUTED_VALUE"""),41251)</f>
        <v>41251</v>
      </c>
    </row>
    <row r="2920" spans="1:10" x14ac:dyDescent="0.25">
      <c r="A2920" s="1" t="str">
        <f ca="1">IFERROR(__xludf.DUMMYFUNCTION("""COMPUTED_VALUE"""),"HZSE")</f>
        <v>HZSE</v>
      </c>
      <c r="B2920" s="1" t="str">
        <f ca="1">IFERROR(__xludf.DUMMYFUNCTION("""COMPUTED_VALUE"""),"Kovács Zilia")</f>
        <v>Kovács Zilia</v>
      </c>
      <c r="C2920" s="1"/>
      <c r="D2920" s="1" t="str">
        <f ca="1">IFERROR(__xludf.DUMMYFUNCTION("""COMPUTED_VALUE"""),"Nő")</f>
        <v>Nő</v>
      </c>
      <c r="E2920" s="1"/>
      <c r="F2920" s="1">
        <f ca="1">IFERROR(__xludf.DUMMYFUNCTION("""COMPUTED_VALUE"""),1983)</f>
        <v>1983</v>
      </c>
      <c r="G2920" s="1">
        <f ca="1">IFERROR(__xludf.DUMMYFUNCTION("""COMPUTED_VALUE"""),536)</f>
        <v>536</v>
      </c>
      <c r="H2920" s="1" t="str">
        <f ca="1">IFERROR(__xludf.DUMMYFUNCTION("""COMPUTED_VALUE"""),"MTLSZ000536A11")</f>
        <v>MTLSZ000536A11</v>
      </c>
      <c r="I2920" s="2">
        <f ca="1">IFERROR(__xludf.DUMMYFUNCTION("""COMPUTED_VALUE"""),40886)</f>
        <v>40886</v>
      </c>
      <c r="J2920" s="2">
        <f ca="1">IFERROR(__xludf.DUMMYFUNCTION("""COMPUTED_VALUE"""),41251)</f>
        <v>41251</v>
      </c>
    </row>
    <row r="2921" spans="1:10" x14ac:dyDescent="0.25">
      <c r="A2921" s="1" t="str">
        <f ca="1">IFERROR(__xludf.DUMMYFUNCTION("""COMPUTED_VALUE"""),"HZSE")</f>
        <v>HZSE</v>
      </c>
      <c r="B2921" s="1" t="str">
        <f ca="1">IFERROR(__xludf.DUMMYFUNCTION("""COMPUTED_VALUE"""),"Laskó Krisztina")</f>
        <v>Laskó Krisztina</v>
      </c>
      <c r="C2921" s="1"/>
      <c r="D2921" s="1" t="str">
        <f ca="1">IFERROR(__xludf.DUMMYFUNCTION("""COMPUTED_VALUE"""),"Nő")</f>
        <v>Nő</v>
      </c>
      <c r="E2921" s="1"/>
      <c r="F2921" s="1">
        <f ca="1">IFERROR(__xludf.DUMMYFUNCTION("""COMPUTED_VALUE"""),1983)</f>
        <v>1983</v>
      </c>
      <c r="G2921" s="1">
        <f ca="1">IFERROR(__xludf.DUMMYFUNCTION("""COMPUTED_VALUE"""),1245)</f>
        <v>1245</v>
      </c>
      <c r="H2921" s="1" t="str">
        <f ca="1">IFERROR(__xludf.DUMMYFUNCTION("""COMPUTED_VALUE"""),"MTLSZ001245A11")</f>
        <v>MTLSZ001245A11</v>
      </c>
      <c r="I2921" s="2">
        <f ca="1">IFERROR(__xludf.DUMMYFUNCTION("""COMPUTED_VALUE"""),40886)</f>
        <v>40886</v>
      </c>
      <c r="J2921" s="2">
        <f ca="1">IFERROR(__xludf.DUMMYFUNCTION("""COMPUTED_VALUE"""),41251)</f>
        <v>41251</v>
      </c>
    </row>
    <row r="2922" spans="1:10" x14ac:dyDescent="0.25">
      <c r="A2922" s="1" t="str">
        <f ca="1">IFERROR(__xludf.DUMMYFUNCTION("""COMPUTED_VALUE"""),"HZSE")</f>
        <v>HZSE</v>
      </c>
      <c r="B2922" s="1" t="str">
        <f ca="1">IFERROR(__xludf.DUMMYFUNCTION("""COMPUTED_VALUE"""),"Molnár Marietta")</f>
        <v>Molnár Marietta</v>
      </c>
      <c r="C2922" s="1"/>
      <c r="D2922" s="1" t="str">
        <f ca="1">IFERROR(__xludf.DUMMYFUNCTION("""COMPUTED_VALUE"""),"Nő")</f>
        <v>Nő</v>
      </c>
      <c r="E2922" s="1"/>
      <c r="F2922" s="1">
        <f ca="1">IFERROR(__xludf.DUMMYFUNCTION("""COMPUTED_VALUE"""),1979)</f>
        <v>1979</v>
      </c>
      <c r="G2922" s="1">
        <f ca="1">IFERROR(__xludf.DUMMYFUNCTION("""COMPUTED_VALUE"""),1470)</f>
        <v>1470</v>
      </c>
      <c r="H2922" s="1" t="str">
        <f ca="1">IFERROR(__xludf.DUMMYFUNCTION("""COMPUTED_VALUE"""),"MTLSZ001470A11")</f>
        <v>MTLSZ001470A11</v>
      </c>
      <c r="I2922" s="2">
        <f ca="1">IFERROR(__xludf.DUMMYFUNCTION("""COMPUTED_VALUE"""),40886)</f>
        <v>40886</v>
      </c>
      <c r="J2922" s="2">
        <f ca="1">IFERROR(__xludf.DUMMYFUNCTION("""COMPUTED_VALUE"""),41251)</f>
        <v>41251</v>
      </c>
    </row>
    <row r="2923" spans="1:10" x14ac:dyDescent="0.25">
      <c r="A2923" s="1" t="str">
        <f ca="1">IFERROR(__xludf.DUMMYFUNCTION("""COMPUTED_VALUE"""),"HZSE")</f>
        <v>HZSE</v>
      </c>
      <c r="B2923" s="1" t="str">
        <f ca="1">IFERROR(__xludf.DUMMYFUNCTION("""COMPUTED_VALUE"""),"Nagy Zsolt")</f>
        <v>Nagy Zsolt</v>
      </c>
      <c r="C2923" s="1"/>
      <c r="D2923" s="1" t="str">
        <f ca="1">IFERROR(__xludf.DUMMYFUNCTION("""COMPUTED_VALUE"""),"Férfi")</f>
        <v>Férfi</v>
      </c>
      <c r="E2923" s="1"/>
      <c r="F2923" s="1">
        <f ca="1">IFERROR(__xludf.DUMMYFUNCTION("""COMPUTED_VALUE"""),1987)</f>
        <v>1987</v>
      </c>
      <c r="G2923" s="1">
        <f ca="1">IFERROR(__xludf.DUMMYFUNCTION("""COMPUTED_VALUE"""),1351)</f>
        <v>1351</v>
      </c>
      <c r="H2923" s="1" t="str">
        <f ca="1">IFERROR(__xludf.DUMMYFUNCTION("""COMPUTED_VALUE"""),"MTLSZ001351A11")</f>
        <v>MTLSZ001351A11</v>
      </c>
      <c r="I2923" s="2">
        <f ca="1">IFERROR(__xludf.DUMMYFUNCTION("""COMPUTED_VALUE"""),40886)</f>
        <v>40886</v>
      </c>
      <c r="J2923" s="2">
        <f ca="1">IFERROR(__xludf.DUMMYFUNCTION("""COMPUTED_VALUE"""),41251)</f>
        <v>41251</v>
      </c>
    </row>
    <row r="2924" spans="1:10" x14ac:dyDescent="0.25">
      <c r="A2924" s="1" t="str">
        <f ca="1">IFERROR(__xludf.DUMMYFUNCTION("""COMPUTED_VALUE"""),"HZSE")</f>
        <v>HZSE</v>
      </c>
      <c r="B2924" s="1" t="str">
        <f ca="1">IFERROR(__xludf.DUMMYFUNCTION("""COMPUTED_VALUE"""),"Németh Katalin Dóra")</f>
        <v>Németh Katalin Dóra</v>
      </c>
      <c r="C2924" s="1"/>
      <c r="D2924" s="1" t="str">
        <f ca="1">IFERROR(__xludf.DUMMYFUNCTION("""COMPUTED_VALUE"""),"Nő")</f>
        <v>Nő</v>
      </c>
      <c r="E2924" s="1"/>
      <c r="F2924" s="1">
        <f ca="1">IFERROR(__xludf.DUMMYFUNCTION("""COMPUTED_VALUE"""),1974)</f>
        <v>1974</v>
      </c>
      <c r="G2924" s="1">
        <f ca="1">IFERROR(__xludf.DUMMYFUNCTION("""COMPUTED_VALUE"""),1269)</f>
        <v>1269</v>
      </c>
      <c r="H2924" s="1" t="str">
        <f ca="1">IFERROR(__xludf.DUMMYFUNCTION("""COMPUTED_VALUE"""),"MTLSZ001269A11")</f>
        <v>MTLSZ001269A11</v>
      </c>
      <c r="I2924" s="2">
        <f ca="1">IFERROR(__xludf.DUMMYFUNCTION("""COMPUTED_VALUE"""),40886)</f>
        <v>40886</v>
      </c>
      <c r="J2924" s="2">
        <f ca="1">IFERROR(__xludf.DUMMYFUNCTION("""COMPUTED_VALUE"""),41251)</f>
        <v>41251</v>
      </c>
    </row>
    <row r="2925" spans="1:10" x14ac:dyDescent="0.25">
      <c r="A2925" s="1" t="str">
        <f ca="1">IFERROR(__xludf.DUMMYFUNCTION("""COMPUTED_VALUE"""),"HZSE")</f>
        <v>HZSE</v>
      </c>
      <c r="B2925" s="1" t="str">
        <f ca="1">IFERROR(__xludf.DUMMYFUNCTION("""COMPUTED_VALUE"""),"Palóczi Zoltán")</f>
        <v>Palóczi Zoltán</v>
      </c>
      <c r="C2925" s="1"/>
      <c r="D2925" s="1" t="str">
        <f ca="1">IFERROR(__xludf.DUMMYFUNCTION("""COMPUTED_VALUE"""),"Férfi")</f>
        <v>Férfi</v>
      </c>
      <c r="E2925" s="1"/>
      <c r="F2925" s="1">
        <f ca="1">IFERROR(__xludf.DUMMYFUNCTION("""COMPUTED_VALUE"""),1988)</f>
        <v>1988</v>
      </c>
      <c r="G2925" s="1">
        <f ca="1">IFERROR(__xludf.DUMMYFUNCTION("""COMPUTED_VALUE"""),1719)</f>
        <v>1719</v>
      </c>
      <c r="H2925" s="1" t="str">
        <f ca="1">IFERROR(__xludf.DUMMYFUNCTION("""COMPUTED_VALUE"""),"MTLSZ001719A11")</f>
        <v>MTLSZ001719A11</v>
      </c>
      <c r="I2925" s="2">
        <f ca="1">IFERROR(__xludf.DUMMYFUNCTION("""COMPUTED_VALUE"""),40886)</f>
        <v>40886</v>
      </c>
      <c r="J2925" s="2">
        <f ca="1">IFERROR(__xludf.DUMMYFUNCTION("""COMPUTED_VALUE"""),41251)</f>
        <v>41251</v>
      </c>
    </row>
    <row r="2926" spans="1:10" x14ac:dyDescent="0.25">
      <c r="A2926" s="1" t="str">
        <f ca="1">IFERROR(__xludf.DUMMYFUNCTION("""COMPUTED_VALUE"""),"Segesi DE")</f>
        <v>Segesi DE</v>
      </c>
      <c r="B2926" s="1" t="str">
        <f ca="1">IFERROR(__xludf.DUMMYFUNCTION("""COMPUTED_VALUE"""),"Gyarmati Bianka")</f>
        <v>Gyarmati Bianka</v>
      </c>
      <c r="C2926" s="1"/>
      <c r="D2926" s="1" t="str">
        <f ca="1">IFERROR(__xludf.DUMMYFUNCTION("""COMPUTED_VALUE"""),"Nő")</f>
        <v>Nő</v>
      </c>
      <c r="E2926" s="1"/>
      <c r="F2926" s="1">
        <f ca="1">IFERROR(__xludf.DUMMYFUNCTION("""COMPUTED_VALUE"""),2001)</f>
        <v>2001</v>
      </c>
      <c r="G2926" s="1">
        <f ca="1">IFERROR(__xludf.DUMMYFUNCTION("""COMPUTED_VALUE"""),2198)</f>
        <v>2198</v>
      </c>
      <c r="H2926" s="1" t="str">
        <f ca="1">IFERROR(__xludf.DUMMYFUNCTION("""COMPUTED_VALUE"""),"MTLSZ002198A11")</f>
        <v>MTLSZ002198A11</v>
      </c>
      <c r="I2926" s="2">
        <f ca="1">IFERROR(__xludf.DUMMYFUNCTION("""COMPUTED_VALUE"""),40885)</f>
        <v>40885</v>
      </c>
      <c r="J2926" s="2">
        <f ca="1">IFERROR(__xludf.DUMMYFUNCTION("""COMPUTED_VALUE"""),41250)</f>
        <v>41250</v>
      </c>
    </row>
    <row r="2927" spans="1:10" x14ac:dyDescent="0.25">
      <c r="A2927" s="1" t="str">
        <f ca="1">IFERROR(__xludf.DUMMYFUNCTION("""COMPUTED_VALUE"""),"Segesi DE")</f>
        <v>Segesi DE</v>
      </c>
      <c r="B2927" s="1" t="str">
        <f ca="1">IFERROR(__xludf.DUMMYFUNCTION("""COMPUTED_VALUE"""),"Katona Patrik")</f>
        <v>Katona Patrik</v>
      </c>
      <c r="C2927" s="1"/>
      <c r="D2927" s="1" t="str">
        <f ca="1">IFERROR(__xludf.DUMMYFUNCTION("""COMPUTED_VALUE"""),"Férfi")</f>
        <v>Férfi</v>
      </c>
      <c r="E2927" s="1"/>
      <c r="F2927" s="1">
        <f ca="1">IFERROR(__xludf.DUMMYFUNCTION("""COMPUTED_VALUE"""),1999)</f>
        <v>1999</v>
      </c>
      <c r="G2927" s="1">
        <f ca="1">IFERROR(__xludf.DUMMYFUNCTION("""COMPUTED_VALUE"""),2236)</f>
        <v>2236</v>
      </c>
      <c r="H2927" s="1" t="str">
        <f ca="1">IFERROR(__xludf.DUMMYFUNCTION("""COMPUTED_VALUE"""),"MTLSZ002236A11")</f>
        <v>MTLSZ002236A11</v>
      </c>
      <c r="I2927" s="2">
        <f ca="1">IFERROR(__xludf.DUMMYFUNCTION("""COMPUTED_VALUE"""),40885)</f>
        <v>40885</v>
      </c>
      <c r="J2927" s="2">
        <f ca="1">IFERROR(__xludf.DUMMYFUNCTION("""COMPUTED_VALUE"""),41250)</f>
        <v>41250</v>
      </c>
    </row>
    <row r="2928" spans="1:10" x14ac:dyDescent="0.25">
      <c r="A2928" s="1" t="str">
        <f ca="1">IFERROR(__xludf.DUMMYFUNCTION("""COMPUTED_VALUE"""),"Segesi DE")</f>
        <v>Segesi DE</v>
      </c>
      <c r="B2928" s="1" t="str">
        <f ca="1">IFERROR(__xludf.DUMMYFUNCTION("""COMPUTED_VALUE"""),"Kollár Róbert")</f>
        <v>Kollár Róbert</v>
      </c>
      <c r="C2928" s="1"/>
      <c r="D2928" s="1" t="str">
        <f ca="1">IFERROR(__xludf.DUMMYFUNCTION("""COMPUTED_VALUE"""),"Férfi")</f>
        <v>Férfi</v>
      </c>
      <c r="E2928" s="1"/>
      <c r="F2928" s="1">
        <f ca="1">IFERROR(__xludf.DUMMYFUNCTION("""COMPUTED_VALUE"""),1998)</f>
        <v>1998</v>
      </c>
      <c r="G2928" s="1">
        <f ca="1">IFERROR(__xludf.DUMMYFUNCTION("""COMPUTED_VALUE"""),1970)</f>
        <v>1970</v>
      </c>
      <c r="H2928" s="1" t="str">
        <f ca="1">IFERROR(__xludf.DUMMYFUNCTION("""COMPUTED_VALUE"""),"MTLSZ001970A11")</f>
        <v>MTLSZ001970A11</v>
      </c>
      <c r="I2928" s="2">
        <f ca="1">IFERROR(__xludf.DUMMYFUNCTION("""COMPUTED_VALUE"""),40885)</f>
        <v>40885</v>
      </c>
      <c r="J2928" s="2">
        <f ca="1">IFERROR(__xludf.DUMMYFUNCTION("""COMPUTED_VALUE"""),41250)</f>
        <v>41250</v>
      </c>
    </row>
    <row r="2929" spans="1:10" x14ac:dyDescent="0.25">
      <c r="A2929" s="1" t="str">
        <f ca="1">IFERROR(__xludf.DUMMYFUNCTION("""COMPUTED_VALUE"""),"DSK")</f>
        <v>DSK</v>
      </c>
      <c r="B2929" s="1" t="str">
        <f ca="1">IFERROR(__xludf.DUMMYFUNCTION("""COMPUTED_VALUE"""),"Szellő Roland")</f>
        <v>Szellő Roland</v>
      </c>
      <c r="C2929" s="1"/>
      <c r="D2929" s="1" t="str">
        <f ca="1">IFERROR(__xludf.DUMMYFUNCTION("""COMPUTED_VALUE"""),"Férfi")</f>
        <v>Férfi</v>
      </c>
      <c r="E2929" s="1"/>
      <c r="F2929" s="1">
        <f ca="1">IFERROR(__xludf.DUMMYFUNCTION("""COMPUTED_VALUE"""),1994)</f>
        <v>1994</v>
      </c>
      <c r="G2929" s="1">
        <f ca="1">IFERROR(__xludf.DUMMYFUNCTION("""COMPUTED_VALUE"""),1879)</f>
        <v>1879</v>
      </c>
      <c r="H2929" s="1" t="str">
        <f ca="1">IFERROR(__xludf.DUMMYFUNCTION("""COMPUTED_VALUE"""),"MTLSZ001879A11")</f>
        <v>MTLSZ001879A11</v>
      </c>
      <c r="I2929" s="2">
        <f ca="1">IFERROR(__xludf.DUMMYFUNCTION("""COMPUTED_VALUE"""),40865)</f>
        <v>40865</v>
      </c>
      <c r="J2929" s="2">
        <f ca="1">IFERROR(__xludf.DUMMYFUNCTION("""COMPUTED_VALUE"""),41230)</f>
        <v>41230</v>
      </c>
    </row>
    <row r="2930" spans="1:10" x14ac:dyDescent="0.25">
      <c r="A2930" s="1" t="str">
        <f ca="1">IFERROR(__xludf.DUMMYFUNCTION("""COMPUTED_VALUE"""),"Segesi DE")</f>
        <v>Segesi DE</v>
      </c>
      <c r="B2930" s="1" t="str">
        <f ca="1">IFERROR(__xludf.DUMMYFUNCTION("""COMPUTED_VALUE"""),"Leskó Mariann")</f>
        <v>Leskó Mariann</v>
      </c>
      <c r="C2930" s="1"/>
      <c r="D2930" s="1" t="str">
        <f ca="1">IFERROR(__xludf.DUMMYFUNCTION("""COMPUTED_VALUE"""),"Nő")</f>
        <v>Nő</v>
      </c>
      <c r="E2930" s="1"/>
      <c r="F2930" s="1">
        <f ca="1">IFERROR(__xludf.DUMMYFUNCTION("""COMPUTED_VALUE"""),1994)</f>
        <v>1994</v>
      </c>
      <c r="G2930" s="1">
        <f ca="1">IFERROR(__xludf.DUMMYFUNCTION("""COMPUTED_VALUE"""),1393)</f>
        <v>1393</v>
      </c>
      <c r="H2930" s="1" t="str">
        <f ca="1">IFERROR(__xludf.DUMMYFUNCTION("""COMPUTED_VALUE"""),"MTLSZ001393A11")</f>
        <v>MTLSZ001393A11</v>
      </c>
      <c r="I2930" s="2">
        <f ca="1">IFERROR(__xludf.DUMMYFUNCTION("""COMPUTED_VALUE"""),40865)</f>
        <v>40865</v>
      </c>
      <c r="J2930" s="2">
        <f ca="1">IFERROR(__xludf.DUMMYFUNCTION("""COMPUTED_VALUE"""),41230)</f>
        <v>41230</v>
      </c>
    </row>
    <row r="2931" spans="1:10" x14ac:dyDescent="0.25">
      <c r="A2931" s="1" t="str">
        <f ca="1">IFERROR(__xludf.DUMMYFUNCTION("""COMPUTED_VALUE"""),"HZSE")</f>
        <v>HZSE</v>
      </c>
      <c r="B2931" s="1" t="str">
        <f ca="1">IFERROR(__xludf.DUMMYFUNCTION("""COMPUTED_VALUE"""),"Csabai Anna")</f>
        <v>Csabai Anna</v>
      </c>
      <c r="C2931" s="1"/>
      <c r="D2931" s="1" t="str">
        <f ca="1">IFERROR(__xludf.DUMMYFUNCTION("""COMPUTED_VALUE"""),"Nő")</f>
        <v>Nő</v>
      </c>
      <c r="E2931" s="1"/>
      <c r="F2931" s="1">
        <f ca="1">IFERROR(__xludf.DUMMYFUNCTION("""COMPUTED_VALUE"""),1998)</f>
        <v>1998</v>
      </c>
      <c r="G2931" s="1">
        <f ca="1">IFERROR(__xludf.DUMMYFUNCTION("""COMPUTED_VALUE"""),2337)</f>
        <v>2337</v>
      </c>
      <c r="H2931" s="1" t="str">
        <f ca="1">IFERROR(__xludf.DUMMYFUNCTION("""COMPUTED_VALUE"""),"MTLSZ002337A11")</f>
        <v>MTLSZ002337A11</v>
      </c>
      <c r="I2931" s="2">
        <f ca="1">IFERROR(__xludf.DUMMYFUNCTION("""COMPUTED_VALUE"""),40869)</f>
        <v>40869</v>
      </c>
      <c r="J2931" s="2">
        <f ca="1">IFERROR(__xludf.DUMMYFUNCTION("""COMPUTED_VALUE"""),41229)</f>
        <v>41229</v>
      </c>
    </row>
    <row r="2932" spans="1:10" x14ac:dyDescent="0.25">
      <c r="A2932" s="1" t="str">
        <f ca="1">IFERROR(__xludf.DUMMYFUNCTION("""COMPUTED_VALUE"""),"HZSE")</f>
        <v>HZSE</v>
      </c>
      <c r="B2932" s="1" t="str">
        <f ca="1">IFERROR(__xludf.DUMMYFUNCTION("""COMPUTED_VALUE"""),"Goldschmid Regina")</f>
        <v>Goldschmid Regina</v>
      </c>
      <c r="C2932" s="1"/>
      <c r="D2932" s="1" t="str">
        <f ca="1">IFERROR(__xludf.DUMMYFUNCTION("""COMPUTED_VALUE"""),"Nő")</f>
        <v>Nő</v>
      </c>
      <c r="E2932" s="1"/>
      <c r="F2932" s="1">
        <f ca="1">IFERROR(__xludf.DUMMYFUNCTION("""COMPUTED_VALUE"""),2001)</f>
        <v>2001</v>
      </c>
      <c r="G2932" s="1">
        <f ca="1">IFERROR(__xludf.DUMMYFUNCTION("""COMPUTED_VALUE"""),2334)</f>
        <v>2334</v>
      </c>
      <c r="H2932" s="1" t="str">
        <f ca="1">IFERROR(__xludf.DUMMYFUNCTION("""COMPUTED_VALUE"""),"MTLSZ002334A11")</f>
        <v>MTLSZ002334A11</v>
      </c>
      <c r="I2932" s="2">
        <f ca="1">IFERROR(__xludf.DUMMYFUNCTION("""COMPUTED_VALUE"""),40864)</f>
        <v>40864</v>
      </c>
      <c r="J2932" s="2">
        <f ca="1">IFERROR(__xludf.DUMMYFUNCTION("""COMPUTED_VALUE"""),41229)</f>
        <v>41229</v>
      </c>
    </row>
    <row r="2933" spans="1:10" x14ac:dyDescent="0.25">
      <c r="A2933" s="1" t="str">
        <f ca="1">IFERROR(__xludf.DUMMYFUNCTION("""COMPUTED_VALUE"""),"HZSE")</f>
        <v>HZSE</v>
      </c>
      <c r="B2933" s="1" t="str">
        <f ca="1">IFERROR(__xludf.DUMMYFUNCTION("""COMPUTED_VALUE"""),"Hámori Tamás")</f>
        <v>Hámori Tamás</v>
      </c>
      <c r="C2933" s="1"/>
      <c r="D2933" s="1" t="str">
        <f ca="1">IFERROR(__xludf.DUMMYFUNCTION("""COMPUTED_VALUE"""),"Férfi")</f>
        <v>Férfi</v>
      </c>
      <c r="E2933" s="1"/>
      <c r="F2933" s="1">
        <f ca="1">IFERROR(__xludf.DUMMYFUNCTION("""COMPUTED_VALUE"""),1999)</f>
        <v>1999</v>
      </c>
      <c r="G2933" s="1">
        <f ca="1">IFERROR(__xludf.DUMMYFUNCTION("""COMPUTED_VALUE"""),2335)</f>
        <v>2335</v>
      </c>
      <c r="H2933" s="1" t="str">
        <f ca="1">IFERROR(__xludf.DUMMYFUNCTION("""COMPUTED_VALUE"""),"MTLSZ002335A11")</f>
        <v>MTLSZ002335A11</v>
      </c>
      <c r="I2933" s="2">
        <f ca="1">IFERROR(__xludf.DUMMYFUNCTION("""COMPUTED_VALUE"""),40868)</f>
        <v>40868</v>
      </c>
      <c r="J2933" s="2">
        <f ca="1">IFERROR(__xludf.DUMMYFUNCTION("""COMPUTED_VALUE"""),41229)</f>
        <v>41229</v>
      </c>
    </row>
    <row r="2934" spans="1:10" x14ac:dyDescent="0.25">
      <c r="A2934" s="1" t="str">
        <f ca="1">IFERROR(__xludf.DUMMYFUNCTION("""COMPUTED_VALUE"""),"HZSE")</f>
        <v>HZSE</v>
      </c>
      <c r="B2934" s="1" t="str">
        <f ca="1">IFERROR(__xludf.DUMMYFUNCTION("""COMPUTED_VALUE"""),"Sinkovicz Adél")</f>
        <v>Sinkovicz Adél</v>
      </c>
      <c r="C2934" s="1"/>
      <c r="D2934" s="1" t="str">
        <f ca="1">IFERROR(__xludf.DUMMYFUNCTION("""COMPUTED_VALUE"""),"Nő")</f>
        <v>Nő</v>
      </c>
      <c r="E2934" s="1"/>
      <c r="F2934" s="1">
        <f ca="1">IFERROR(__xludf.DUMMYFUNCTION("""COMPUTED_VALUE"""),1998)</f>
        <v>1998</v>
      </c>
      <c r="G2934" s="1">
        <f ca="1">IFERROR(__xludf.DUMMYFUNCTION("""COMPUTED_VALUE"""),2336)</f>
        <v>2336</v>
      </c>
      <c r="H2934" s="1" t="str">
        <f ca="1">IFERROR(__xludf.DUMMYFUNCTION("""COMPUTED_VALUE"""),"MTLSZ002336A11")</f>
        <v>MTLSZ002336A11</v>
      </c>
      <c r="I2934" s="2">
        <f ca="1">IFERROR(__xludf.DUMMYFUNCTION("""COMPUTED_VALUE"""),40868)</f>
        <v>40868</v>
      </c>
      <c r="J2934" s="2">
        <f ca="1">IFERROR(__xludf.DUMMYFUNCTION("""COMPUTED_VALUE"""),41229)</f>
        <v>41229</v>
      </c>
    </row>
    <row r="2935" spans="1:10" x14ac:dyDescent="0.25">
      <c r="A2935" s="1" t="str">
        <f ca="1">IFERROR(__xludf.DUMMYFUNCTION("""COMPUTED_VALUE"""),"Kilián Iskola DSE")</f>
        <v>Kilián Iskola DSE</v>
      </c>
      <c r="B2935" s="1" t="str">
        <f ca="1">IFERROR(__xludf.DUMMYFUNCTION("""COMPUTED_VALUE"""),"Kovács Bálint")</f>
        <v>Kovács Bálint</v>
      </c>
      <c r="C2935" s="1"/>
      <c r="D2935" s="1" t="str">
        <f ca="1">IFERROR(__xludf.DUMMYFUNCTION("""COMPUTED_VALUE"""),"Férfi")</f>
        <v>Férfi</v>
      </c>
      <c r="E2935" s="1"/>
      <c r="F2935" s="1">
        <f ca="1">IFERROR(__xludf.DUMMYFUNCTION("""COMPUTED_VALUE"""),1994)</f>
        <v>1994</v>
      </c>
      <c r="G2935" s="1">
        <f ca="1">IFERROR(__xludf.DUMMYFUNCTION("""COMPUTED_VALUE"""),2144)</f>
        <v>2144</v>
      </c>
      <c r="H2935" s="1" t="str">
        <f ca="1">IFERROR(__xludf.DUMMYFUNCTION("""COMPUTED_VALUE"""),"MTLSZ002144A11")</f>
        <v>MTLSZ002144A11</v>
      </c>
      <c r="I2935" s="2">
        <f ca="1">IFERROR(__xludf.DUMMYFUNCTION("""COMPUTED_VALUE"""),40864)</f>
        <v>40864</v>
      </c>
      <c r="J2935" s="2">
        <f ca="1">IFERROR(__xludf.DUMMYFUNCTION("""COMPUTED_VALUE"""),41229)</f>
        <v>41229</v>
      </c>
    </row>
    <row r="2936" spans="1:10" x14ac:dyDescent="0.25">
      <c r="A2936" s="1" t="str">
        <f ca="1">IFERROR(__xludf.DUMMYFUNCTION("""COMPUTED_VALUE"""),"Kilián Iskola DSE")</f>
        <v>Kilián Iskola DSE</v>
      </c>
      <c r="B2936" s="1" t="str">
        <f ca="1">IFERROR(__xludf.DUMMYFUNCTION("""COMPUTED_VALUE"""),"Kovács Dorottya")</f>
        <v>Kovács Dorottya</v>
      </c>
      <c r="C2936" s="1"/>
      <c r="D2936" s="1" t="str">
        <f ca="1">IFERROR(__xludf.DUMMYFUNCTION("""COMPUTED_VALUE"""),"Nő")</f>
        <v>Nő</v>
      </c>
      <c r="E2936" s="1"/>
      <c r="F2936" s="1">
        <f ca="1">IFERROR(__xludf.DUMMYFUNCTION("""COMPUTED_VALUE"""),1999)</f>
        <v>1999</v>
      </c>
      <c r="G2936" s="1">
        <f ca="1">IFERROR(__xludf.DUMMYFUNCTION("""COMPUTED_VALUE"""),2145)</f>
        <v>2145</v>
      </c>
      <c r="H2936" s="1" t="str">
        <f ca="1">IFERROR(__xludf.DUMMYFUNCTION("""COMPUTED_VALUE"""),"MTLSZ002145A11")</f>
        <v>MTLSZ002145A11</v>
      </c>
      <c r="I2936" s="2">
        <f ca="1">IFERROR(__xludf.DUMMYFUNCTION("""COMPUTED_VALUE"""),40864)</f>
        <v>40864</v>
      </c>
      <c r="J2936" s="2">
        <f ca="1">IFERROR(__xludf.DUMMYFUNCTION("""COMPUTED_VALUE"""),41229)</f>
        <v>41229</v>
      </c>
    </row>
    <row r="2937" spans="1:10" x14ac:dyDescent="0.25">
      <c r="A2937" s="1" t="str">
        <f ca="1">IFERROR(__xludf.DUMMYFUNCTION("""COMPUTED_VALUE"""),"Kilián Iskola DSE")</f>
        <v>Kilián Iskola DSE</v>
      </c>
      <c r="B2937" s="1" t="str">
        <f ca="1">IFERROR(__xludf.DUMMYFUNCTION("""COMPUTED_VALUE"""),"Németh Gréta")</f>
        <v>Németh Gréta</v>
      </c>
      <c r="C2937" s="1"/>
      <c r="D2937" s="1" t="str">
        <f ca="1">IFERROR(__xludf.DUMMYFUNCTION("""COMPUTED_VALUE"""),"Nő")</f>
        <v>Nő</v>
      </c>
      <c r="E2937" s="1"/>
      <c r="F2937" s="1">
        <f ca="1">IFERROR(__xludf.DUMMYFUNCTION("""COMPUTED_VALUE"""),1999)</f>
        <v>1999</v>
      </c>
      <c r="G2937" s="1">
        <f ca="1">IFERROR(__xludf.DUMMYFUNCTION("""COMPUTED_VALUE"""),2150)</f>
        <v>2150</v>
      </c>
      <c r="H2937" s="1" t="str">
        <f ca="1">IFERROR(__xludf.DUMMYFUNCTION("""COMPUTED_VALUE"""),"MTLSZ002150A11")</f>
        <v>MTLSZ002150A11</v>
      </c>
      <c r="I2937" s="2">
        <f ca="1">IFERROR(__xludf.DUMMYFUNCTION("""COMPUTED_VALUE"""),40864)</f>
        <v>40864</v>
      </c>
      <c r="J2937" s="2">
        <f ca="1">IFERROR(__xludf.DUMMYFUNCTION("""COMPUTED_VALUE"""),41229)</f>
        <v>41229</v>
      </c>
    </row>
    <row r="2938" spans="1:10" x14ac:dyDescent="0.25">
      <c r="A2938" s="1" t="str">
        <f ca="1">IFERROR(__xludf.DUMMYFUNCTION("""COMPUTED_VALUE"""),"BTBK")</f>
        <v>BTBK</v>
      </c>
      <c r="B2938" s="1" t="str">
        <f ca="1">IFERROR(__xludf.DUMMYFUNCTION("""COMPUTED_VALUE"""),"Karaffa Károly")</f>
        <v>Karaffa Károly</v>
      </c>
      <c r="C2938" s="1"/>
      <c r="D2938" s="1" t="str">
        <f ca="1">IFERROR(__xludf.DUMMYFUNCTION("""COMPUTED_VALUE"""),"Férfi")</f>
        <v>Férfi</v>
      </c>
      <c r="E2938" s="1"/>
      <c r="F2938" s="1">
        <f ca="1">IFERROR(__xludf.DUMMYFUNCTION("""COMPUTED_VALUE"""),1957)</f>
        <v>1957</v>
      </c>
      <c r="G2938" s="1">
        <f ca="1">IFERROR(__xludf.DUMMYFUNCTION("""COMPUTED_VALUE"""),1795)</f>
        <v>1795</v>
      </c>
      <c r="H2938" s="1" t="str">
        <f ca="1">IFERROR(__xludf.DUMMYFUNCTION("""COMPUTED_VALUE"""),"MTLSZ001795A11")</f>
        <v>MTLSZ001795A11</v>
      </c>
      <c r="I2938" s="2">
        <f ca="1">IFERROR(__xludf.DUMMYFUNCTION("""COMPUTED_VALUE"""),40863)</f>
        <v>40863</v>
      </c>
      <c r="J2938" s="2">
        <f ca="1">IFERROR(__xludf.DUMMYFUNCTION("""COMPUTED_VALUE"""),41228)</f>
        <v>41228</v>
      </c>
    </row>
    <row r="2939" spans="1:10" x14ac:dyDescent="0.25">
      <c r="A2939" s="1" t="str">
        <f ca="1">IFERROR(__xludf.DUMMYFUNCTION("""COMPUTED_VALUE"""),"BTBK")</f>
        <v>BTBK</v>
      </c>
      <c r="B2939" s="1" t="str">
        <f ca="1">IFERROR(__xludf.DUMMYFUNCTION("""COMPUTED_VALUE"""),"Kiss Zoltán")</f>
        <v>Kiss Zoltán</v>
      </c>
      <c r="C2939" s="1"/>
      <c r="D2939" s="1" t="str">
        <f ca="1">IFERROR(__xludf.DUMMYFUNCTION("""COMPUTED_VALUE"""),"Férfi")</f>
        <v>Férfi</v>
      </c>
      <c r="E2939" s="1"/>
      <c r="F2939" s="1">
        <f ca="1">IFERROR(__xludf.DUMMYFUNCTION("""COMPUTED_VALUE"""),1965)</f>
        <v>1965</v>
      </c>
      <c r="G2939" s="1">
        <f ca="1">IFERROR(__xludf.DUMMYFUNCTION("""COMPUTED_VALUE"""),494)</f>
        <v>494</v>
      </c>
      <c r="H2939" s="1" t="str">
        <f ca="1">IFERROR(__xludf.DUMMYFUNCTION("""COMPUTED_VALUE"""),"MTLSZ000494A11")</f>
        <v>MTLSZ000494A11</v>
      </c>
      <c r="I2939" s="2">
        <f ca="1">IFERROR(__xludf.DUMMYFUNCTION("""COMPUTED_VALUE"""),40863)</f>
        <v>40863</v>
      </c>
      <c r="J2939" s="2">
        <f ca="1">IFERROR(__xludf.DUMMYFUNCTION("""COMPUTED_VALUE"""),41228)</f>
        <v>41228</v>
      </c>
    </row>
    <row r="2940" spans="1:10" x14ac:dyDescent="0.25">
      <c r="A2940" s="1" t="str">
        <f ca="1">IFERROR(__xludf.DUMMYFUNCTION("""COMPUTED_VALUE"""),"Veszprémi Sasok BC")</f>
        <v>Veszprémi Sasok BC</v>
      </c>
      <c r="B2940" s="1" t="str">
        <f ca="1">IFERROR(__xludf.DUMMYFUNCTION("""COMPUTED_VALUE"""),"Gazdag Gábor")</f>
        <v>Gazdag Gábor</v>
      </c>
      <c r="C2940" s="1"/>
      <c r="D2940" s="1" t="str">
        <f ca="1">IFERROR(__xludf.DUMMYFUNCTION("""COMPUTED_VALUE"""),"Férfi")</f>
        <v>Férfi</v>
      </c>
      <c r="E2940" s="1"/>
      <c r="F2940" s="1">
        <f ca="1">IFERROR(__xludf.DUMMYFUNCTION("""COMPUTED_VALUE"""),1961)</f>
        <v>1961</v>
      </c>
      <c r="G2940" s="1">
        <f ca="1">IFERROR(__xludf.DUMMYFUNCTION("""COMPUTED_VALUE"""),287)</f>
        <v>287</v>
      </c>
      <c r="H2940" s="1" t="str">
        <f ca="1">IFERROR(__xludf.DUMMYFUNCTION("""COMPUTED_VALUE"""),"MTLSZ000287A11")</f>
        <v>MTLSZ000287A11</v>
      </c>
      <c r="I2940" s="2">
        <f ca="1">IFERROR(__xludf.DUMMYFUNCTION("""COMPUTED_VALUE"""),40863)</f>
        <v>40863</v>
      </c>
      <c r="J2940" s="2">
        <f ca="1">IFERROR(__xludf.DUMMYFUNCTION("""COMPUTED_VALUE"""),41228)</f>
        <v>41228</v>
      </c>
    </row>
    <row r="2941" spans="1:10" x14ac:dyDescent="0.25">
      <c r="A2941" s="1" t="str">
        <f ca="1">IFERROR(__xludf.DUMMYFUNCTION("""COMPUTED_VALUE"""),"HZSE")</f>
        <v>HZSE</v>
      </c>
      <c r="B2941" s="1" t="str">
        <f ca="1">IFERROR(__xludf.DUMMYFUNCTION("""COMPUTED_VALUE"""),"Balázs Barnabás")</f>
        <v>Balázs Barnabás</v>
      </c>
      <c r="C2941" s="1"/>
      <c r="D2941" s="1" t="str">
        <f ca="1">IFERROR(__xludf.DUMMYFUNCTION("""COMPUTED_VALUE"""),"Férfi")</f>
        <v>Férfi</v>
      </c>
      <c r="E2941" s="1"/>
      <c r="F2941" s="1">
        <f ca="1">IFERROR(__xludf.DUMMYFUNCTION("""COMPUTED_VALUE"""),1999)</f>
        <v>1999</v>
      </c>
      <c r="G2941" s="1">
        <f ca="1">IFERROR(__xludf.DUMMYFUNCTION("""COMPUTED_VALUE"""),2322)</f>
        <v>2322</v>
      </c>
      <c r="H2941" s="1" t="str">
        <f ca="1">IFERROR(__xludf.DUMMYFUNCTION("""COMPUTED_VALUE"""),"MTLSZ002322A11")</f>
        <v>MTLSZ002322A11</v>
      </c>
      <c r="I2941" s="2">
        <f ca="1">IFERROR(__xludf.DUMMYFUNCTION("""COMPUTED_VALUE"""),40862)</f>
        <v>40862</v>
      </c>
      <c r="J2941" s="2">
        <f ca="1">IFERROR(__xludf.DUMMYFUNCTION("""COMPUTED_VALUE"""),41227)</f>
        <v>41227</v>
      </c>
    </row>
    <row r="2942" spans="1:10" x14ac:dyDescent="0.25">
      <c r="A2942" s="1" t="str">
        <f ca="1">IFERROR(__xludf.DUMMYFUNCTION("""COMPUTED_VALUE"""),"HZSE")</f>
        <v>HZSE</v>
      </c>
      <c r="B2942" s="1" t="str">
        <f ca="1">IFERROR(__xludf.DUMMYFUNCTION("""COMPUTED_VALUE"""),"Bellák Dániel")</f>
        <v>Bellák Dániel</v>
      </c>
      <c r="C2942" s="1"/>
      <c r="D2942" s="1" t="str">
        <f ca="1">IFERROR(__xludf.DUMMYFUNCTION("""COMPUTED_VALUE"""),"Férfi")</f>
        <v>Férfi</v>
      </c>
      <c r="E2942" s="1"/>
      <c r="F2942" s="1">
        <f ca="1">IFERROR(__xludf.DUMMYFUNCTION("""COMPUTED_VALUE"""),2000)</f>
        <v>2000</v>
      </c>
      <c r="G2942" s="1">
        <f ca="1">IFERROR(__xludf.DUMMYFUNCTION("""COMPUTED_VALUE"""),2323)</f>
        <v>2323</v>
      </c>
      <c r="H2942" s="1" t="str">
        <f ca="1">IFERROR(__xludf.DUMMYFUNCTION("""COMPUTED_VALUE"""),"MTLSZ002323A11")</f>
        <v>MTLSZ002323A11</v>
      </c>
      <c r="I2942" s="2">
        <f ca="1">IFERROR(__xludf.DUMMYFUNCTION("""COMPUTED_VALUE"""),40862)</f>
        <v>40862</v>
      </c>
      <c r="J2942" s="2">
        <f ca="1">IFERROR(__xludf.DUMMYFUNCTION("""COMPUTED_VALUE"""),41227)</f>
        <v>41227</v>
      </c>
    </row>
    <row r="2943" spans="1:10" x14ac:dyDescent="0.25">
      <c r="A2943" s="1" t="str">
        <f ca="1">IFERROR(__xludf.DUMMYFUNCTION("""COMPUTED_VALUE"""),"HZSE")</f>
        <v>HZSE</v>
      </c>
      <c r="B2943" s="1" t="str">
        <f ca="1">IFERROR(__xludf.DUMMYFUNCTION("""COMPUTED_VALUE"""),"Bőjthe Péter")</f>
        <v>Bőjthe Péter</v>
      </c>
      <c r="C2943" s="1"/>
      <c r="D2943" s="1" t="str">
        <f ca="1">IFERROR(__xludf.DUMMYFUNCTION("""COMPUTED_VALUE"""),"Férfi")</f>
        <v>Férfi</v>
      </c>
      <c r="E2943" s="1"/>
      <c r="F2943" s="1">
        <f ca="1">IFERROR(__xludf.DUMMYFUNCTION("""COMPUTED_VALUE"""),1994)</f>
        <v>1994</v>
      </c>
      <c r="G2943" s="1">
        <f ca="1">IFERROR(__xludf.DUMMYFUNCTION("""COMPUTED_VALUE"""),2320)</f>
        <v>2320</v>
      </c>
      <c r="H2943" s="1" t="str">
        <f ca="1">IFERROR(__xludf.DUMMYFUNCTION("""COMPUTED_VALUE"""),"MTLSZ002320A11")</f>
        <v>MTLSZ002320A11</v>
      </c>
      <c r="I2943" s="2">
        <f ca="1">IFERROR(__xludf.DUMMYFUNCTION("""COMPUTED_VALUE"""),40862)</f>
        <v>40862</v>
      </c>
      <c r="J2943" s="2">
        <f ca="1">IFERROR(__xludf.DUMMYFUNCTION("""COMPUTED_VALUE"""),41227)</f>
        <v>41227</v>
      </c>
    </row>
    <row r="2944" spans="1:10" x14ac:dyDescent="0.25">
      <c r="A2944" s="1" t="str">
        <f ca="1">IFERROR(__xludf.DUMMYFUNCTION("""COMPUTED_VALUE"""),"NYVSC")</f>
        <v>NYVSC</v>
      </c>
      <c r="B2944" s="1" t="str">
        <f ca="1">IFERROR(__xludf.DUMMYFUNCTION("""COMPUTED_VALUE"""),"László Leon Márk")</f>
        <v>László Leon Márk</v>
      </c>
      <c r="C2944" s="1"/>
      <c r="D2944" s="1" t="str">
        <f ca="1">IFERROR(__xludf.DUMMYFUNCTION("""COMPUTED_VALUE"""),"Férfi")</f>
        <v>Férfi</v>
      </c>
      <c r="E2944" s="1"/>
      <c r="F2944" s="1">
        <f ca="1">IFERROR(__xludf.DUMMYFUNCTION("""COMPUTED_VALUE"""),1996)</f>
        <v>1996</v>
      </c>
      <c r="G2944" s="1">
        <f ca="1">IFERROR(__xludf.DUMMYFUNCTION("""COMPUTED_VALUE"""),2044)</f>
        <v>2044</v>
      </c>
      <c r="H2944" s="1" t="str">
        <f ca="1">IFERROR(__xludf.DUMMYFUNCTION("""COMPUTED_VALUE"""),"MTLSZ002044A11")</f>
        <v>MTLSZ002044A11</v>
      </c>
      <c r="I2944" s="2">
        <f ca="1">IFERROR(__xludf.DUMMYFUNCTION("""COMPUTED_VALUE"""),40862)</f>
        <v>40862</v>
      </c>
      <c r="J2944" s="2">
        <f ca="1">IFERROR(__xludf.DUMMYFUNCTION("""COMPUTED_VALUE"""),41227)</f>
        <v>41227</v>
      </c>
    </row>
    <row r="2945" spans="1:10" x14ac:dyDescent="0.25">
      <c r="A2945" s="1" t="str">
        <f ca="1">IFERROR(__xludf.DUMMYFUNCTION("""COMPUTED_VALUE"""),"Óvártoll TE")</f>
        <v>Óvártoll TE</v>
      </c>
      <c r="B2945" s="1" t="str">
        <f ca="1">IFERROR(__xludf.DUMMYFUNCTION("""COMPUTED_VALUE"""),"Steiner Tamás Mátyás")</f>
        <v>Steiner Tamás Mátyás</v>
      </c>
      <c r="C2945" s="1"/>
      <c r="D2945" s="1" t="str">
        <f ca="1">IFERROR(__xludf.DUMMYFUNCTION("""COMPUTED_VALUE"""),"Férfi")</f>
        <v>Férfi</v>
      </c>
      <c r="E2945" s="1"/>
      <c r="F2945" s="1">
        <f ca="1">IFERROR(__xludf.DUMMYFUNCTION("""COMPUTED_VALUE"""),2001)</f>
        <v>2001</v>
      </c>
      <c r="G2945" s="1">
        <f ca="1">IFERROR(__xludf.DUMMYFUNCTION("""COMPUTED_VALUE"""),2318)</f>
        <v>2318</v>
      </c>
      <c r="H2945" s="1" t="str">
        <f ca="1">IFERROR(__xludf.DUMMYFUNCTION("""COMPUTED_VALUE"""),"MTLSZ002318A11")</f>
        <v>MTLSZ002318A11</v>
      </c>
      <c r="I2945" s="2">
        <f ca="1">IFERROR(__xludf.DUMMYFUNCTION("""COMPUTED_VALUE"""),40862)</f>
        <v>40862</v>
      </c>
      <c r="J2945" s="2">
        <f ca="1">IFERROR(__xludf.DUMMYFUNCTION("""COMPUTED_VALUE"""),41227)</f>
        <v>41227</v>
      </c>
    </row>
    <row r="2946" spans="1:10" x14ac:dyDescent="0.25">
      <c r="A2946" s="1" t="str">
        <f ca="1">IFERROR(__xludf.DUMMYFUNCTION("""COMPUTED_VALUE"""),"HZSE")</f>
        <v>HZSE</v>
      </c>
      <c r="B2946" s="1" t="str">
        <f ca="1">IFERROR(__xludf.DUMMYFUNCTION("""COMPUTED_VALUE"""),"Székely Ferenc")</f>
        <v>Székely Ferenc</v>
      </c>
      <c r="C2946" s="1"/>
      <c r="D2946" s="1" t="str">
        <f ca="1">IFERROR(__xludf.DUMMYFUNCTION("""COMPUTED_VALUE"""),"Férfi")</f>
        <v>Férfi</v>
      </c>
      <c r="E2946" s="1"/>
      <c r="F2946" s="1">
        <f ca="1">IFERROR(__xludf.DUMMYFUNCTION("""COMPUTED_VALUE"""),1982)</f>
        <v>1982</v>
      </c>
      <c r="G2946" s="1">
        <f ca="1">IFERROR(__xludf.DUMMYFUNCTION("""COMPUTED_VALUE"""),926)</f>
        <v>926</v>
      </c>
      <c r="H2946" s="1" t="str">
        <f ca="1">IFERROR(__xludf.DUMMYFUNCTION("""COMPUTED_VALUE"""),"MTLSZ000926A11")</f>
        <v>MTLSZ000926A11</v>
      </c>
      <c r="I2946" s="2">
        <f ca="1">IFERROR(__xludf.DUMMYFUNCTION("""COMPUTED_VALUE"""),40858)</f>
        <v>40858</v>
      </c>
      <c r="J2946" s="2">
        <f ca="1">IFERROR(__xludf.DUMMYFUNCTION("""COMPUTED_VALUE"""),41223)</f>
        <v>41223</v>
      </c>
    </row>
    <row r="2947" spans="1:10" x14ac:dyDescent="0.25">
      <c r="A2947" s="1" t="str">
        <f ca="1">IFERROR(__xludf.DUMMYFUNCTION("""COMPUTED_VALUE"""),"Klébi DSE")</f>
        <v>Klébi DSE</v>
      </c>
      <c r="B2947" s="1" t="str">
        <f ca="1">IFERROR(__xludf.DUMMYFUNCTION("""COMPUTED_VALUE"""),"Farkas György")</f>
        <v>Farkas György</v>
      </c>
      <c r="C2947" s="1"/>
      <c r="D2947" s="1" t="str">
        <f ca="1">IFERROR(__xludf.DUMMYFUNCTION("""COMPUTED_VALUE"""),"Férfi")</f>
        <v>Férfi</v>
      </c>
      <c r="E2947" s="1"/>
      <c r="F2947" s="1">
        <f ca="1">IFERROR(__xludf.DUMMYFUNCTION("""COMPUTED_VALUE"""),1997)</f>
        <v>1997</v>
      </c>
      <c r="G2947" s="1">
        <f ca="1">IFERROR(__xludf.DUMMYFUNCTION("""COMPUTED_VALUE"""),2315)</f>
        <v>2315</v>
      </c>
      <c r="H2947" s="1" t="str">
        <f ca="1">IFERROR(__xludf.DUMMYFUNCTION("""COMPUTED_VALUE"""),"MTLSZ002315A11")</f>
        <v>MTLSZ002315A11</v>
      </c>
      <c r="I2947" s="2">
        <f ca="1">IFERROR(__xludf.DUMMYFUNCTION("""COMPUTED_VALUE"""),40837)</f>
        <v>40837</v>
      </c>
      <c r="J2947" s="2">
        <f ca="1">IFERROR(__xludf.DUMMYFUNCTION("""COMPUTED_VALUE"""),41202)</f>
        <v>41202</v>
      </c>
    </row>
    <row r="2948" spans="1:10" x14ac:dyDescent="0.25">
      <c r="A2948" s="1" t="str">
        <f ca="1">IFERROR(__xludf.DUMMYFUNCTION("""COMPUTED_VALUE"""),"Klébi DSE")</f>
        <v>Klébi DSE</v>
      </c>
      <c r="B2948" s="1" t="str">
        <f ca="1">IFERROR(__xludf.DUMMYFUNCTION("""COMPUTED_VALUE"""),"Stodulka András")</f>
        <v>Stodulka András</v>
      </c>
      <c r="C2948" s="1"/>
      <c r="D2948" s="1" t="str">
        <f ca="1">IFERROR(__xludf.DUMMYFUNCTION("""COMPUTED_VALUE"""),"Férfi")</f>
        <v>Férfi</v>
      </c>
      <c r="E2948" s="1"/>
      <c r="F2948" s="1">
        <f ca="1">IFERROR(__xludf.DUMMYFUNCTION("""COMPUTED_VALUE"""),2000)</f>
        <v>2000</v>
      </c>
      <c r="G2948" s="1">
        <f ca="1">IFERROR(__xludf.DUMMYFUNCTION("""COMPUTED_VALUE"""),2311)</f>
        <v>2311</v>
      </c>
      <c r="H2948" s="1" t="str">
        <f ca="1">IFERROR(__xludf.DUMMYFUNCTION("""COMPUTED_VALUE"""),"MTLSZ002311A11")</f>
        <v>MTLSZ002311A11</v>
      </c>
      <c r="I2948" s="2">
        <f ca="1">IFERROR(__xludf.DUMMYFUNCTION("""COMPUTED_VALUE"""),40837)</f>
        <v>40837</v>
      </c>
      <c r="J2948" s="2">
        <f ca="1">IFERROR(__xludf.DUMMYFUNCTION("""COMPUTED_VALUE"""),41202)</f>
        <v>41202</v>
      </c>
    </row>
    <row r="2949" spans="1:10" x14ac:dyDescent="0.25">
      <c r="A2949" s="1" t="str">
        <f ca="1">IFERROR(__xludf.DUMMYFUNCTION("""COMPUTED_VALUE"""),"Klébi DSE")</f>
        <v>Klébi DSE</v>
      </c>
      <c r="B2949" s="1" t="str">
        <f ca="1">IFERROR(__xludf.DUMMYFUNCTION("""COMPUTED_VALUE"""),"Stodulka Máté")</f>
        <v>Stodulka Máté</v>
      </c>
      <c r="C2949" s="1"/>
      <c r="D2949" s="1" t="str">
        <f ca="1">IFERROR(__xludf.DUMMYFUNCTION("""COMPUTED_VALUE"""),"Férfi")</f>
        <v>Férfi</v>
      </c>
      <c r="E2949" s="1"/>
      <c r="F2949" s="1">
        <f ca="1">IFERROR(__xludf.DUMMYFUNCTION("""COMPUTED_VALUE"""),1998)</f>
        <v>1998</v>
      </c>
      <c r="G2949" s="1">
        <f ca="1">IFERROR(__xludf.DUMMYFUNCTION("""COMPUTED_VALUE"""),2313)</f>
        <v>2313</v>
      </c>
      <c r="H2949" s="1" t="str">
        <f ca="1">IFERROR(__xludf.DUMMYFUNCTION("""COMPUTED_VALUE"""),"MTLSZ002313A11")</f>
        <v>MTLSZ002313A11</v>
      </c>
      <c r="I2949" s="2">
        <f ca="1">IFERROR(__xludf.DUMMYFUNCTION("""COMPUTED_VALUE"""),40837)</f>
        <v>40837</v>
      </c>
      <c r="J2949" s="2">
        <f ca="1">IFERROR(__xludf.DUMMYFUNCTION("""COMPUTED_VALUE"""),41202)</f>
        <v>41202</v>
      </c>
    </row>
    <row r="2950" spans="1:10" x14ac:dyDescent="0.25">
      <c r="A2950" s="1" t="str">
        <f ca="1">IFERROR(__xludf.DUMMYFUNCTION("""COMPUTED_VALUE"""),"Klébi DSE")</f>
        <v>Klébi DSE</v>
      </c>
      <c r="B2950" s="1" t="str">
        <f ca="1">IFERROR(__xludf.DUMMYFUNCTION("""COMPUTED_VALUE"""),"Tamási András")</f>
        <v>Tamási András</v>
      </c>
      <c r="C2950" s="1"/>
      <c r="D2950" s="1" t="str">
        <f ca="1">IFERROR(__xludf.DUMMYFUNCTION("""COMPUTED_VALUE"""),"Férfi")</f>
        <v>Férfi</v>
      </c>
      <c r="E2950" s="1"/>
      <c r="F2950" s="1">
        <f ca="1">IFERROR(__xludf.DUMMYFUNCTION("""COMPUTED_VALUE"""),2000)</f>
        <v>2000</v>
      </c>
      <c r="G2950" s="1">
        <f ca="1">IFERROR(__xludf.DUMMYFUNCTION("""COMPUTED_VALUE"""),2314)</f>
        <v>2314</v>
      </c>
      <c r="H2950" s="1" t="str">
        <f ca="1">IFERROR(__xludf.DUMMYFUNCTION("""COMPUTED_VALUE"""),"MTLSZ002314A11")</f>
        <v>MTLSZ002314A11</v>
      </c>
      <c r="I2950" s="2">
        <f ca="1">IFERROR(__xludf.DUMMYFUNCTION("""COMPUTED_VALUE"""),40837)</f>
        <v>40837</v>
      </c>
      <c r="J2950" s="2">
        <f ca="1">IFERROR(__xludf.DUMMYFUNCTION("""COMPUTED_VALUE"""),41202)</f>
        <v>41202</v>
      </c>
    </row>
    <row r="2951" spans="1:10" x14ac:dyDescent="0.25">
      <c r="A2951" s="1" t="str">
        <f ca="1">IFERROR(__xludf.DUMMYFUNCTION("""COMPUTED_VALUE"""),"Multi Alarm SE")</f>
        <v>Multi Alarm SE</v>
      </c>
      <c r="B2951" s="1" t="str">
        <f ca="1">IFERROR(__xludf.DUMMYFUNCTION("""COMPUTED_VALUE"""),"Gradwohl Eszter")</f>
        <v>Gradwohl Eszter</v>
      </c>
      <c r="C2951" s="1"/>
      <c r="D2951" s="1" t="str">
        <f ca="1">IFERROR(__xludf.DUMMYFUNCTION("""COMPUTED_VALUE"""),"Nő")</f>
        <v>Nő</v>
      </c>
      <c r="E2951" s="1"/>
      <c r="F2951" s="1">
        <f ca="1">IFERROR(__xludf.DUMMYFUNCTION("""COMPUTED_VALUE"""),1996)</f>
        <v>1996</v>
      </c>
      <c r="G2951" s="1">
        <f ca="1">IFERROR(__xludf.DUMMYFUNCTION("""COMPUTED_VALUE"""),2053)</f>
        <v>2053</v>
      </c>
      <c r="H2951" s="1" t="str">
        <f ca="1">IFERROR(__xludf.DUMMYFUNCTION("""COMPUTED_VALUE"""),"MTLSZ002053A11")</f>
        <v>MTLSZ002053A11</v>
      </c>
      <c r="I2951" s="2">
        <f ca="1">IFERROR(__xludf.DUMMYFUNCTION("""COMPUTED_VALUE"""),40837)</f>
        <v>40837</v>
      </c>
      <c r="J2951" s="2">
        <f ca="1">IFERROR(__xludf.DUMMYFUNCTION("""COMPUTED_VALUE"""),41202)</f>
        <v>41202</v>
      </c>
    </row>
    <row r="2952" spans="1:10" x14ac:dyDescent="0.25">
      <c r="A2952" s="1" t="str">
        <f ca="1">IFERROR(__xludf.DUMMYFUNCTION("""COMPUTED_VALUE"""),"DSC-SI")</f>
        <v>DSC-SI</v>
      </c>
      <c r="B2952" s="1" t="str">
        <f ca="1">IFERROR(__xludf.DUMMYFUNCTION("""COMPUTED_VALUE"""),"Toh Ni Lee")</f>
        <v>Toh Ni Lee</v>
      </c>
      <c r="C2952" s="1"/>
      <c r="D2952" s="1" t="str">
        <f ca="1">IFERROR(__xludf.DUMMYFUNCTION("""COMPUTED_VALUE"""),"Férfi")</f>
        <v>Férfi</v>
      </c>
      <c r="E2952" s="1"/>
      <c r="F2952" s="1">
        <f ca="1">IFERROR(__xludf.DUMMYFUNCTION("""COMPUTED_VALUE"""),1979)</f>
        <v>1979</v>
      </c>
      <c r="G2952" s="1">
        <f ca="1">IFERROR(__xludf.DUMMYFUNCTION("""COMPUTED_VALUE"""),2292)</f>
        <v>2292</v>
      </c>
      <c r="H2952" s="1" t="str">
        <f ca="1">IFERROR(__xludf.DUMMYFUNCTION("""COMPUTED_VALUE"""),"MTLSZ002292A11")</f>
        <v>MTLSZ002292A11</v>
      </c>
      <c r="I2952" s="2">
        <f ca="1">IFERROR(__xludf.DUMMYFUNCTION("""COMPUTED_VALUE"""),40834)</f>
        <v>40834</v>
      </c>
      <c r="J2952" s="2">
        <f ca="1">IFERROR(__xludf.DUMMYFUNCTION("""COMPUTED_VALUE"""),41199)</f>
        <v>41199</v>
      </c>
    </row>
    <row r="2953" spans="1:10" x14ac:dyDescent="0.25">
      <c r="A2953" s="1" t="str">
        <f ca="1">IFERROR(__xludf.DUMMYFUNCTION("""COMPUTED_VALUE"""),"NYVSC")</f>
        <v>NYVSC</v>
      </c>
      <c r="B2953" s="1" t="str">
        <f ca="1">IFERROR(__xludf.DUMMYFUNCTION("""COMPUTED_VALUE"""),"Diczkó Botond")</f>
        <v>Diczkó Botond</v>
      </c>
      <c r="C2953" s="1"/>
      <c r="D2953" s="1" t="str">
        <f ca="1">IFERROR(__xludf.DUMMYFUNCTION("""COMPUTED_VALUE"""),"Férfi")</f>
        <v>Férfi</v>
      </c>
      <c r="E2953" s="1"/>
      <c r="F2953" s="1">
        <f ca="1">IFERROR(__xludf.DUMMYFUNCTION("""COMPUTED_VALUE"""),2001)</f>
        <v>2001</v>
      </c>
      <c r="G2953" s="1">
        <f ca="1">IFERROR(__xludf.DUMMYFUNCTION("""COMPUTED_VALUE"""),2221)</f>
        <v>2221</v>
      </c>
      <c r="H2953" s="1" t="str">
        <f ca="1">IFERROR(__xludf.DUMMYFUNCTION("""COMPUTED_VALUE"""),"MTLSZ002221H11")</f>
        <v>MTLSZ002221H11</v>
      </c>
      <c r="I2953" s="2">
        <f ca="1">IFERROR(__xludf.DUMMYFUNCTION("""COMPUTED_VALUE"""),40834)</f>
        <v>40834</v>
      </c>
      <c r="J2953" s="2">
        <f ca="1">IFERROR(__xludf.DUMMYFUNCTION("""COMPUTED_VALUE"""),41199)</f>
        <v>41199</v>
      </c>
    </row>
    <row r="2954" spans="1:10" x14ac:dyDescent="0.25">
      <c r="A2954" s="1" t="str">
        <f ca="1">IFERROR(__xludf.DUMMYFUNCTION("""COMPUTED_VALUE"""),"NYVSC")</f>
        <v>NYVSC</v>
      </c>
      <c r="B2954" s="1" t="str">
        <f ca="1">IFERROR(__xludf.DUMMYFUNCTION("""COMPUTED_VALUE"""),"Hidas Máté")</f>
        <v>Hidas Máté</v>
      </c>
      <c r="C2954" s="1"/>
      <c r="D2954" s="1" t="str">
        <f ca="1">IFERROR(__xludf.DUMMYFUNCTION("""COMPUTED_VALUE"""),"Férfi")</f>
        <v>Férfi</v>
      </c>
      <c r="E2954" s="1"/>
      <c r="F2954" s="1">
        <f ca="1">IFERROR(__xludf.DUMMYFUNCTION("""COMPUTED_VALUE"""),1997)</f>
        <v>1997</v>
      </c>
      <c r="G2954" s="1">
        <f ca="1">IFERROR(__xludf.DUMMYFUNCTION("""COMPUTED_VALUE"""),2083)</f>
        <v>2083</v>
      </c>
      <c r="H2954" s="1" t="str">
        <f ca="1">IFERROR(__xludf.DUMMYFUNCTION("""COMPUTED_VALUE"""),"MTLSZ002083A11")</f>
        <v>MTLSZ002083A11</v>
      </c>
      <c r="I2954" s="2">
        <f ca="1">IFERROR(__xludf.DUMMYFUNCTION("""COMPUTED_VALUE"""),40834)</f>
        <v>40834</v>
      </c>
      <c r="J2954" s="2">
        <f ca="1">IFERROR(__xludf.DUMMYFUNCTION("""COMPUTED_VALUE"""),41199)</f>
        <v>41199</v>
      </c>
    </row>
    <row r="2955" spans="1:10" x14ac:dyDescent="0.25">
      <c r="A2955" s="1" t="str">
        <f ca="1">IFERROR(__xludf.DUMMYFUNCTION("""COMPUTED_VALUE"""),"NYVSC")</f>
        <v>NYVSC</v>
      </c>
      <c r="B2955" s="1" t="str">
        <f ca="1">IFERROR(__xludf.DUMMYFUNCTION("""COMPUTED_VALUE"""),"Kovács Bence")</f>
        <v>Kovács Bence</v>
      </c>
      <c r="C2955" s="1"/>
      <c r="D2955" s="1" t="str">
        <f ca="1">IFERROR(__xludf.DUMMYFUNCTION("""COMPUTED_VALUE"""),"Férfi")</f>
        <v>Férfi</v>
      </c>
      <c r="E2955" s="1"/>
      <c r="F2955" s="1">
        <f ca="1">IFERROR(__xludf.DUMMYFUNCTION("""COMPUTED_VALUE"""),1998)</f>
        <v>1998</v>
      </c>
      <c r="G2955" s="1">
        <f ca="1">IFERROR(__xludf.DUMMYFUNCTION("""COMPUTED_VALUE"""),2084)</f>
        <v>2084</v>
      </c>
      <c r="H2955" s="1" t="str">
        <f ca="1">IFERROR(__xludf.DUMMYFUNCTION("""COMPUTED_VALUE"""),"MTLSZ002084A11")</f>
        <v>MTLSZ002084A11</v>
      </c>
      <c r="I2955" s="2">
        <f ca="1">IFERROR(__xludf.DUMMYFUNCTION("""COMPUTED_VALUE"""),40834)</f>
        <v>40834</v>
      </c>
      <c r="J2955" s="2">
        <f ca="1">IFERROR(__xludf.DUMMYFUNCTION("""COMPUTED_VALUE"""),41199)</f>
        <v>41199</v>
      </c>
    </row>
    <row r="2956" spans="1:10" x14ac:dyDescent="0.25">
      <c r="A2956" s="1" t="str">
        <f ca="1">IFERROR(__xludf.DUMMYFUNCTION("""COMPUTED_VALUE"""),"NYVSC")</f>
        <v>NYVSC</v>
      </c>
      <c r="B2956" s="1" t="str">
        <f ca="1">IFERROR(__xludf.DUMMYFUNCTION("""COMPUTED_VALUE"""),"Tanyik Dániel")</f>
        <v>Tanyik Dániel</v>
      </c>
      <c r="C2956" s="1"/>
      <c r="D2956" s="1" t="str">
        <f ca="1">IFERROR(__xludf.DUMMYFUNCTION("""COMPUTED_VALUE"""),"Férfi")</f>
        <v>Férfi</v>
      </c>
      <c r="E2956" s="1"/>
      <c r="F2956" s="1">
        <f ca="1">IFERROR(__xludf.DUMMYFUNCTION("""COMPUTED_VALUE"""),1996)</f>
        <v>1996</v>
      </c>
      <c r="G2956" s="1">
        <f ca="1">IFERROR(__xludf.DUMMYFUNCTION("""COMPUTED_VALUE"""),2086)</f>
        <v>2086</v>
      </c>
      <c r="H2956" s="1" t="str">
        <f ca="1">IFERROR(__xludf.DUMMYFUNCTION("""COMPUTED_VALUE"""),"MTLSZ002086A11")</f>
        <v>MTLSZ002086A11</v>
      </c>
      <c r="I2956" s="2">
        <f ca="1">IFERROR(__xludf.DUMMYFUNCTION("""COMPUTED_VALUE"""),40834)</f>
        <v>40834</v>
      </c>
      <c r="J2956" s="2">
        <f ca="1">IFERROR(__xludf.DUMMYFUNCTION("""COMPUTED_VALUE"""),41199)</f>
        <v>41199</v>
      </c>
    </row>
    <row r="2957" spans="1:10" x14ac:dyDescent="0.25">
      <c r="A2957" s="1" t="str">
        <f ca="1">IFERROR(__xludf.DUMMYFUNCTION("""COMPUTED_VALUE"""),"Ságvári DSE")</f>
        <v>Ságvári DSE</v>
      </c>
      <c r="B2957" s="1" t="str">
        <f ca="1">IFERROR(__xludf.DUMMYFUNCTION("""COMPUTED_VALUE"""),"Ihász István")</f>
        <v>Ihász István</v>
      </c>
      <c r="C2957" s="1"/>
      <c r="D2957" s="1" t="str">
        <f ca="1">IFERROR(__xludf.DUMMYFUNCTION("""COMPUTED_VALUE"""),"Férfi")</f>
        <v>Férfi</v>
      </c>
      <c r="E2957" s="1"/>
      <c r="F2957" s="1">
        <f ca="1">IFERROR(__xludf.DUMMYFUNCTION("""COMPUTED_VALUE"""),1996)</f>
        <v>1996</v>
      </c>
      <c r="G2957" s="1">
        <f ca="1">IFERROR(__xludf.DUMMYFUNCTION("""COMPUTED_VALUE"""),2298)</f>
        <v>2298</v>
      </c>
      <c r="H2957" s="1" t="str">
        <f ca="1">IFERROR(__xludf.DUMMYFUNCTION("""COMPUTED_VALUE"""),"MTLSZ002298A11")</f>
        <v>MTLSZ002298A11</v>
      </c>
      <c r="I2957" s="2">
        <f ca="1">IFERROR(__xludf.DUMMYFUNCTION("""COMPUTED_VALUE"""),40834)</f>
        <v>40834</v>
      </c>
      <c r="J2957" s="2">
        <f ca="1">IFERROR(__xludf.DUMMYFUNCTION("""COMPUTED_VALUE"""),41199)</f>
        <v>41199</v>
      </c>
    </row>
    <row r="2958" spans="1:10" x14ac:dyDescent="0.25">
      <c r="A2958" s="1" t="str">
        <f ca="1">IFERROR(__xludf.DUMMYFUNCTION("""COMPUTED_VALUE"""),"MAFC")</f>
        <v>MAFC</v>
      </c>
      <c r="B2958" s="1" t="str">
        <f ca="1">IFERROR(__xludf.DUMMYFUNCTION("""COMPUTED_VALUE"""),"Koós Ágnes Éva")</f>
        <v>Koós Ágnes Éva</v>
      </c>
      <c r="C2958" s="1"/>
      <c r="D2958" s="1" t="str">
        <f ca="1">IFERROR(__xludf.DUMMYFUNCTION("""COMPUTED_VALUE"""),"Nő")</f>
        <v>Nő</v>
      </c>
      <c r="E2958" s="1"/>
      <c r="F2958" s="1">
        <f ca="1">IFERROR(__xludf.DUMMYFUNCTION("""COMPUTED_VALUE"""),1981)</f>
        <v>1981</v>
      </c>
      <c r="G2958" s="1">
        <f ca="1">IFERROR(__xludf.DUMMYFUNCTION("""COMPUTED_VALUE"""),1856)</f>
        <v>1856</v>
      </c>
      <c r="H2958" s="1" t="str">
        <f ca="1">IFERROR(__xludf.DUMMYFUNCTION("""COMPUTED_VALUE"""),"MTLSZ001856A11")</f>
        <v>MTLSZ001856A11</v>
      </c>
      <c r="I2958" s="2">
        <f ca="1">IFERROR(__xludf.DUMMYFUNCTION("""COMPUTED_VALUE"""),40827)</f>
        <v>40827</v>
      </c>
      <c r="J2958" s="2">
        <f ca="1">IFERROR(__xludf.DUMMYFUNCTION("""COMPUTED_VALUE"""),41192)</f>
        <v>41192</v>
      </c>
    </row>
    <row r="2959" spans="1:10" x14ac:dyDescent="0.25">
      <c r="A2959" s="1" t="str">
        <f ca="1">IFERROR(__xludf.DUMMYFUNCTION("""COMPUTED_VALUE"""),"MAFC")</f>
        <v>MAFC</v>
      </c>
      <c r="B2959" s="1" t="str">
        <f ca="1">IFERROR(__xludf.DUMMYFUNCTION("""COMPUTED_VALUE"""),"Serfőző Péter")</f>
        <v>Serfőző Péter</v>
      </c>
      <c r="C2959" s="1"/>
      <c r="D2959" s="1" t="str">
        <f ca="1">IFERROR(__xludf.DUMMYFUNCTION("""COMPUTED_VALUE"""),"Férfi")</f>
        <v>Férfi</v>
      </c>
      <c r="E2959" s="1"/>
      <c r="F2959" s="1">
        <f ca="1">IFERROR(__xludf.DUMMYFUNCTION("""COMPUTED_VALUE"""),1994)</f>
        <v>1994</v>
      </c>
      <c r="G2959" s="1">
        <f ca="1">IFERROR(__xludf.DUMMYFUNCTION("""COMPUTED_VALUE"""),2294)</f>
        <v>2294</v>
      </c>
      <c r="H2959" s="1" t="str">
        <f ca="1">IFERROR(__xludf.DUMMYFUNCTION("""COMPUTED_VALUE"""),"MTLSZ002294A11")</f>
        <v>MTLSZ002294A11</v>
      </c>
      <c r="I2959" s="2">
        <f ca="1">IFERROR(__xludf.DUMMYFUNCTION("""COMPUTED_VALUE"""),40827)</f>
        <v>40827</v>
      </c>
      <c r="J2959" s="2">
        <f ca="1">IFERROR(__xludf.DUMMYFUNCTION("""COMPUTED_VALUE"""),41192)</f>
        <v>41192</v>
      </c>
    </row>
    <row r="2960" spans="1:10" x14ac:dyDescent="0.25">
      <c r="A2960" s="1" t="str">
        <f ca="1">IFERROR(__xludf.DUMMYFUNCTION("""COMPUTED_VALUE"""),"MAFC")</f>
        <v>MAFC</v>
      </c>
      <c r="B2960" s="1" t="str">
        <f ca="1">IFERROR(__xludf.DUMMYFUNCTION("""COMPUTED_VALUE"""),"Vályi Gábor")</f>
        <v>Vályi Gábor</v>
      </c>
      <c r="C2960" s="1"/>
      <c r="D2960" s="1" t="str">
        <f ca="1">IFERROR(__xludf.DUMMYFUNCTION("""COMPUTED_VALUE"""),"Férfi")</f>
        <v>Férfi</v>
      </c>
      <c r="E2960" s="1"/>
      <c r="F2960" s="1">
        <f ca="1">IFERROR(__xludf.DUMMYFUNCTION("""COMPUTED_VALUE"""),1975)</f>
        <v>1975</v>
      </c>
      <c r="G2960" s="1">
        <f ca="1">IFERROR(__xludf.DUMMYFUNCTION("""COMPUTED_VALUE"""),2293)</f>
        <v>2293</v>
      </c>
      <c r="H2960" s="1" t="str">
        <f ca="1">IFERROR(__xludf.DUMMYFUNCTION("""COMPUTED_VALUE"""),"MTLSZ002293A11")</f>
        <v>MTLSZ002293A11</v>
      </c>
      <c r="I2960" s="2">
        <f ca="1">IFERROR(__xludf.DUMMYFUNCTION("""COMPUTED_VALUE"""),40826)</f>
        <v>40826</v>
      </c>
      <c r="J2960" s="2">
        <f ca="1">IFERROR(__xludf.DUMMYFUNCTION("""COMPUTED_VALUE"""),41191)</f>
        <v>41191</v>
      </c>
    </row>
    <row r="2961" spans="1:10" x14ac:dyDescent="0.25">
      <c r="A2961" s="1" t="str">
        <f ca="1">IFERROR(__xludf.DUMMYFUNCTION("""COMPUTED_VALUE"""),"DSC-SI")</f>
        <v>DSC-SI</v>
      </c>
      <c r="B2961" s="1" t="str">
        <f ca="1">IFERROR(__xludf.DUMMYFUNCTION("""COMPUTED_VALUE"""),"Dalmi Dóra")</f>
        <v>Dalmi Dóra</v>
      </c>
      <c r="C2961" s="1"/>
      <c r="D2961" s="1" t="str">
        <f ca="1">IFERROR(__xludf.DUMMYFUNCTION("""COMPUTED_VALUE"""),"Nő")</f>
        <v>Nő</v>
      </c>
      <c r="E2961" s="1"/>
      <c r="F2961" s="1">
        <f ca="1">IFERROR(__xludf.DUMMYFUNCTION("""COMPUTED_VALUE"""),1997)</f>
        <v>1997</v>
      </c>
      <c r="G2961" s="1">
        <f ca="1">IFERROR(__xludf.DUMMYFUNCTION("""COMPUTED_VALUE"""),2290)</f>
        <v>2290</v>
      </c>
      <c r="H2961" s="1" t="str">
        <f ca="1">IFERROR(__xludf.DUMMYFUNCTION("""COMPUTED_VALUE"""),"MTLSZ002290A11")</f>
        <v>MTLSZ002290A11</v>
      </c>
      <c r="I2961" s="2">
        <f ca="1">IFERROR(__xludf.DUMMYFUNCTION("""COMPUTED_VALUE"""),40822)</f>
        <v>40822</v>
      </c>
      <c r="J2961" s="2">
        <f ca="1">IFERROR(__xludf.DUMMYFUNCTION("""COMPUTED_VALUE"""),41187)</f>
        <v>41187</v>
      </c>
    </row>
    <row r="2962" spans="1:10" x14ac:dyDescent="0.25">
      <c r="A2962" s="1" t="str">
        <f ca="1">IFERROR(__xludf.DUMMYFUNCTION("""COMPUTED_VALUE"""),"DSC-SI")</f>
        <v>DSC-SI</v>
      </c>
      <c r="B2962" s="1" t="str">
        <f ca="1">IFERROR(__xludf.DUMMYFUNCTION("""COMPUTED_VALUE"""),"Kovács Ákos")</f>
        <v>Kovács Ákos</v>
      </c>
      <c r="C2962" s="1"/>
      <c r="D2962" s="1" t="str">
        <f ca="1">IFERROR(__xludf.DUMMYFUNCTION("""COMPUTED_VALUE"""),"Férfi")</f>
        <v>Férfi</v>
      </c>
      <c r="E2962" s="1"/>
      <c r="F2962" s="1">
        <f ca="1">IFERROR(__xludf.DUMMYFUNCTION("""COMPUTED_VALUE"""),1996)</f>
        <v>1996</v>
      </c>
      <c r="G2962" s="1">
        <f ca="1">IFERROR(__xludf.DUMMYFUNCTION("""COMPUTED_VALUE"""),2286)</f>
        <v>2286</v>
      </c>
      <c r="H2962" s="1" t="str">
        <f ca="1">IFERROR(__xludf.DUMMYFUNCTION("""COMPUTED_VALUE"""),"MTLSZ002286A11")</f>
        <v>MTLSZ002286A11</v>
      </c>
      <c r="I2962" s="2">
        <f ca="1">IFERROR(__xludf.DUMMYFUNCTION("""COMPUTED_VALUE"""),40822)</f>
        <v>40822</v>
      </c>
      <c r="J2962" s="2">
        <f ca="1">IFERROR(__xludf.DUMMYFUNCTION("""COMPUTED_VALUE"""),41187)</f>
        <v>41187</v>
      </c>
    </row>
    <row r="2963" spans="1:10" x14ac:dyDescent="0.25">
      <c r="A2963" s="1" t="str">
        <f ca="1">IFERROR(__xludf.DUMMYFUNCTION("""COMPUTED_VALUE"""),"Talentum TSE")</f>
        <v>Talentum TSE</v>
      </c>
      <c r="B2963" s="1" t="str">
        <f ca="1">IFERROR(__xludf.DUMMYFUNCTION("""COMPUTED_VALUE"""),"Strommer Adrienn")</f>
        <v>Strommer Adrienn</v>
      </c>
      <c r="C2963" s="1"/>
      <c r="D2963" s="1" t="str">
        <f ca="1">IFERROR(__xludf.DUMMYFUNCTION("""COMPUTED_VALUE"""),"Nő")</f>
        <v>Nő</v>
      </c>
      <c r="E2963" s="1"/>
      <c r="F2963" s="1">
        <f ca="1">IFERROR(__xludf.DUMMYFUNCTION("""COMPUTED_VALUE"""),2000)</f>
        <v>2000</v>
      </c>
      <c r="G2963" s="1">
        <f ca="1">IFERROR(__xludf.DUMMYFUNCTION("""COMPUTED_VALUE"""),2041)</f>
        <v>2041</v>
      </c>
      <c r="H2963" s="1" t="str">
        <f ca="1">IFERROR(__xludf.DUMMYFUNCTION("""COMPUTED_VALUE"""),"MTLSZ002041A11")</f>
        <v>MTLSZ002041A11</v>
      </c>
      <c r="I2963" s="2">
        <f ca="1">IFERROR(__xludf.DUMMYFUNCTION("""COMPUTED_VALUE"""),40815)</f>
        <v>40815</v>
      </c>
      <c r="J2963" s="2">
        <f ca="1">IFERROR(__xludf.DUMMYFUNCTION("""COMPUTED_VALUE"""),41180)</f>
        <v>41180</v>
      </c>
    </row>
    <row r="2964" spans="1:10" x14ac:dyDescent="0.25">
      <c r="A2964" s="1" t="str">
        <f ca="1">IFERROR(__xludf.DUMMYFUNCTION("""COMPUTED_VALUE"""),"Seregélyesi PDSE")</f>
        <v>Seregélyesi PDSE</v>
      </c>
      <c r="B2964" s="1" t="str">
        <f ca="1">IFERROR(__xludf.DUMMYFUNCTION("""COMPUTED_VALUE"""),"Ispán Máté")</f>
        <v>Ispán Máté</v>
      </c>
      <c r="C2964" s="1"/>
      <c r="D2964" s="1" t="str">
        <f ca="1">IFERROR(__xludf.DUMMYFUNCTION("""COMPUTED_VALUE"""),"Férfi")</f>
        <v>Férfi</v>
      </c>
      <c r="E2964" s="1"/>
      <c r="F2964" s="1">
        <f ca="1">IFERROR(__xludf.DUMMYFUNCTION("""COMPUTED_VALUE"""),1996)</f>
        <v>1996</v>
      </c>
      <c r="G2964" s="1">
        <f ca="1">IFERROR(__xludf.DUMMYFUNCTION("""COMPUTED_VALUE"""),1863)</f>
        <v>1863</v>
      </c>
      <c r="H2964" s="1" t="str">
        <f ca="1">IFERROR(__xludf.DUMMYFUNCTION("""COMPUTED_VALUE"""),"MTLSZ001863A11")</f>
        <v>MTLSZ001863A11</v>
      </c>
      <c r="I2964" s="2">
        <f ca="1">IFERROR(__xludf.DUMMYFUNCTION("""COMPUTED_VALUE"""),40813)</f>
        <v>40813</v>
      </c>
      <c r="J2964" s="2">
        <f ca="1">IFERROR(__xludf.DUMMYFUNCTION("""COMPUTED_VALUE"""),41178)</f>
        <v>41178</v>
      </c>
    </row>
    <row r="2965" spans="1:10" x14ac:dyDescent="0.25">
      <c r="A2965" s="1" t="str">
        <f ca="1">IFERROR(__xludf.DUMMYFUNCTION("""COMPUTED_VALUE"""),"OSC")</f>
        <v>OSC</v>
      </c>
      <c r="B2965" s="1" t="str">
        <f ca="1">IFERROR(__xludf.DUMMYFUNCTION("""COMPUTED_VALUE"""),"Halmi Edina")</f>
        <v>Halmi Edina</v>
      </c>
      <c r="C2965" s="1"/>
      <c r="D2965" s="1" t="str">
        <f ca="1">IFERROR(__xludf.DUMMYFUNCTION("""COMPUTED_VALUE"""),"Nő")</f>
        <v>Nő</v>
      </c>
      <c r="E2965" s="1"/>
      <c r="F2965" s="1">
        <f ca="1">IFERROR(__xludf.DUMMYFUNCTION("""COMPUTED_VALUE"""),2000)</f>
        <v>2000</v>
      </c>
      <c r="G2965" s="1">
        <f ca="1">IFERROR(__xludf.DUMMYFUNCTION("""COMPUTED_VALUE"""),2088)</f>
        <v>2088</v>
      </c>
      <c r="H2965" s="1" t="str">
        <f ca="1">IFERROR(__xludf.DUMMYFUNCTION("""COMPUTED_VALUE"""),"MTLSZ002088A11")</f>
        <v>MTLSZ002088A11</v>
      </c>
      <c r="I2965" s="2">
        <f ca="1">IFERROR(__xludf.DUMMYFUNCTION("""COMPUTED_VALUE"""),40809)</f>
        <v>40809</v>
      </c>
      <c r="J2965" s="2">
        <f ca="1">IFERROR(__xludf.DUMMYFUNCTION("""COMPUTED_VALUE"""),41174)</f>
        <v>41174</v>
      </c>
    </row>
    <row r="2966" spans="1:10" x14ac:dyDescent="0.25">
      <c r="A2966" s="1" t="str">
        <f ca="1">IFERROR(__xludf.DUMMYFUNCTION("""COMPUTED_VALUE"""),"DSK")</f>
        <v>DSK</v>
      </c>
      <c r="B2966" s="1" t="str">
        <f ca="1">IFERROR(__xludf.DUMMYFUNCTION("""COMPUTED_VALUE"""),"Ádám Tamás")</f>
        <v>Ádám Tamás</v>
      </c>
      <c r="C2966" s="1"/>
      <c r="D2966" s="1" t="str">
        <f ca="1">IFERROR(__xludf.DUMMYFUNCTION("""COMPUTED_VALUE"""),"Férfi")</f>
        <v>Férfi</v>
      </c>
      <c r="E2966" s="1"/>
      <c r="F2966" s="1">
        <f ca="1">IFERROR(__xludf.DUMMYFUNCTION("""COMPUTED_VALUE"""),1989)</f>
        <v>1989</v>
      </c>
      <c r="G2966" s="1">
        <f ca="1">IFERROR(__xludf.DUMMYFUNCTION("""COMPUTED_VALUE"""),11)</f>
        <v>11</v>
      </c>
      <c r="H2966" s="1" t="str">
        <f ca="1">IFERROR(__xludf.DUMMYFUNCTION("""COMPUTED_VALUE"""),"MTLSZ000011A11")</f>
        <v>MTLSZ000011A11</v>
      </c>
      <c r="I2966" s="2">
        <f ca="1">IFERROR(__xludf.DUMMYFUNCTION("""COMPUTED_VALUE"""),40807)</f>
        <v>40807</v>
      </c>
      <c r="J2966" s="2">
        <f ca="1">IFERROR(__xludf.DUMMYFUNCTION("""COMPUTED_VALUE"""),41172)</f>
        <v>41172</v>
      </c>
    </row>
    <row r="2967" spans="1:10" x14ac:dyDescent="0.25">
      <c r="A2967" s="1" t="str">
        <f ca="1">IFERROR(__xludf.DUMMYFUNCTION("""COMPUTED_VALUE"""),"Tisza TSE")</f>
        <v>Tisza TSE</v>
      </c>
      <c r="B2967" s="1" t="str">
        <f ca="1">IFERROR(__xludf.DUMMYFUNCTION("""COMPUTED_VALUE"""),"Horváth Emőke")</f>
        <v>Horváth Emőke</v>
      </c>
      <c r="C2967" s="1"/>
      <c r="D2967" s="1" t="str">
        <f ca="1">IFERROR(__xludf.DUMMYFUNCTION("""COMPUTED_VALUE"""),"Nő")</f>
        <v>Nő</v>
      </c>
      <c r="E2967" s="1"/>
      <c r="F2967" s="1">
        <f ca="1">IFERROR(__xludf.DUMMYFUNCTION("""COMPUTED_VALUE"""),1976)</f>
        <v>1976</v>
      </c>
      <c r="G2967" s="1">
        <f ca="1">IFERROR(__xludf.DUMMYFUNCTION("""COMPUTED_VALUE"""),371)</f>
        <v>371</v>
      </c>
      <c r="H2967" s="1" t="str">
        <f ca="1">IFERROR(__xludf.DUMMYFUNCTION("""COMPUTED_VALUE"""),"MTLSZ000371A11")</f>
        <v>MTLSZ000371A11</v>
      </c>
      <c r="I2967" s="2">
        <f ca="1">IFERROR(__xludf.DUMMYFUNCTION("""COMPUTED_VALUE"""),40806)</f>
        <v>40806</v>
      </c>
      <c r="J2967" s="2">
        <f ca="1">IFERROR(__xludf.DUMMYFUNCTION("""COMPUTED_VALUE"""),41171)</f>
        <v>41171</v>
      </c>
    </row>
    <row r="2968" spans="1:10" x14ac:dyDescent="0.25">
      <c r="A2968" s="1" t="str">
        <f ca="1">IFERROR(__xludf.DUMMYFUNCTION("""COMPUTED_VALUE"""),"Tisza TSE")</f>
        <v>Tisza TSE</v>
      </c>
      <c r="B2968" s="1" t="str">
        <f ca="1">IFERROR(__xludf.DUMMYFUNCTION("""COMPUTED_VALUE"""),"Varjas Csenge")</f>
        <v>Varjas Csenge</v>
      </c>
      <c r="C2968" s="1"/>
      <c r="D2968" s="1" t="str">
        <f ca="1">IFERROR(__xludf.DUMMYFUNCTION("""COMPUTED_VALUE"""),"Nő")</f>
        <v>Nő</v>
      </c>
      <c r="E2968" s="1"/>
      <c r="F2968" s="1">
        <f ca="1">IFERROR(__xludf.DUMMYFUNCTION("""COMPUTED_VALUE"""),1991)</f>
        <v>1991</v>
      </c>
      <c r="G2968" s="1">
        <f ca="1">IFERROR(__xludf.DUMMYFUNCTION("""COMPUTED_VALUE"""),1955)</f>
        <v>1955</v>
      </c>
      <c r="H2968" s="1" t="str">
        <f ca="1">IFERROR(__xludf.DUMMYFUNCTION("""COMPUTED_VALUE"""),"MTLSZ001955A11")</f>
        <v>MTLSZ001955A11</v>
      </c>
      <c r="I2968" s="2">
        <f ca="1">IFERROR(__xludf.DUMMYFUNCTION("""COMPUTED_VALUE"""),40806)</f>
        <v>40806</v>
      </c>
      <c r="J2968" s="2">
        <f ca="1">IFERROR(__xludf.DUMMYFUNCTION("""COMPUTED_VALUE"""),41171)</f>
        <v>41171</v>
      </c>
    </row>
    <row r="2969" spans="1:10" x14ac:dyDescent="0.25">
      <c r="A2969" s="1" t="str">
        <f ca="1">IFERROR(__xludf.DUMMYFUNCTION("""COMPUTED_VALUE"""),"HZSE")</f>
        <v>HZSE</v>
      </c>
      <c r="B2969" s="1" t="str">
        <f ca="1">IFERROR(__xludf.DUMMYFUNCTION("""COMPUTED_VALUE"""),"Miskei Zoltán")</f>
        <v>Miskei Zoltán</v>
      </c>
      <c r="C2969" s="1"/>
      <c r="D2969" s="1" t="str">
        <f ca="1">IFERROR(__xludf.DUMMYFUNCTION("""COMPUTED_VALUE"""),"Férfi")</f>
        <v>Férfi</v>
      </c>
      <c r="E2969" s="1"/>
      <c r="F2969" s="1">
        <f ca="1">IFERROR(__xludf.DUMMYFUNCTION("""COMPUTED_VALUE"""),1974)</f>
        <v>1974</v>
      </c>
      <c r="G2969" s="1">
        <f ca="1">IFERROR(__xludf.DUMMYFUNCTION("""COMPUTED_VALUE"""),652)</f>
        <v>652</v>
      </c>
      <c r="H2969" s="1" t="str">
        <f ca="1">IFERROR(__xludf.DUMMYFUNCTION("""COMPUTED_VALUE"""),"MTLSZ000652A11")</f>
        <v>MTLSZ000652A11</v>
      </c>
      <c r="I2969" s="2">
        <f ca="1">IFERROR(__xludf.DUMMYFUNCTION("""COMPUTED_VALUE"""),40801)</f>
        <v>40801</v>
      </c>
      <c r="J2969" s="2">
        <f ca="1">IFERROR(__xludf.DUMMYFUNCTION("""COMPUTED_VALUE"""),41166)</f>
        <v>41166</v>
      </c>
    </row>
    <row r="2970" spans="1:10" x14ac:dyDescent="0.25">
      <c r="A2970" s="1" t="str">
        <f ca="1">IFERROR(__xludf.DUMMYFUNCTION("""COMPUTED_VALUE"""),"Multi Alarm SE")</f>
        <v>Multi Alarm SE</v>
      </c>
      <c r="B2970" s="1" t="str">
        <f ca="1">IFERROR(__xludf.DUMMYFUNCTION("""COMPUTED_VALUE"""),"Zsolnai Richárd")</f>
        <v>Zsolnai Richárd</v>
      </c>
      <c r="C2970" s="1"/>
      <c r="D2970" s="1" t="str">
        <f ca="1">IFERROR(__xludf.DUMMYFUNCTION("""COMPUTED_VALUE"""),"Férfi")</f>
        <v>Férfi</v>
      </c>
      <c r="E2970" s="1"/>
      <c r="F2970" s="1">
        <f ca="1">IFERROR(__xludf.DUMMYFUNCTION("""COMPUTED_VALUE"""),1994)</f>
        <v>1994</v>
      </c>
      <c r="G2970" s="1">
        <f ca="1">IFERROR(__xludf.DUMMYFUNCTION("""COMPUTED_VALUE"""),2059)</f>
        <v>2059</v>
      </c>
      <c r="H2970" s="1" t="str">
        <f ca="1">IFERROR(__xludf.DUMMYFUNCTION("""COMPUTED_VALUE"""),"MTLSZ002059A11")</f>
        <v>MTLSZ002059A11</v>
      </c>
      <c r="I2970" s="2">
        <f ca="1">IFERROR(__xludf.DUMMYFUNCTION("""COMPUTED_VALUE"""),40800)</f>
        <v>40800</v>
      </c>
      <c r="J2970" s="2">
        <f ca="1">IFERROR(__xludf.DUMMYFUNCTION("""COMPUTED_VALUE"""),41165)</f>
        <v>41165</v>
      </c>
    </row>
    <row r="2971" spans="1:10" x14ac:dyDescent="0.25">
      <c r="A2971" s="1" t="str">
        <f ca="1">IFERROR(__xludf.DUMMYFUNCTION("""COMPUTED_VALUE"""),"DSC-SI")</f>
        <v>DSC-SI</v>
      </c>
      <c r="B2971" s="1" t="str">
        <f ca="1">IFERROR(__xludf.DUMMYFUNCTION("""COMPUTED_VALUE"""),"Bánhidi Richárd")</f>
        <v>Bánhidi Richárd</v>
      </c>
      <c r="C2971" s="1"/>
      <c r="D2971" s="1" t="str">
        <f ca="1">IFERROR(__xludf.DUMMYFUNCTION("""COMPUTED_VALUE"""),"Férfi")</f>
        <v>Férfi</v>
      </c>
      <c r="E2971" s="1"/>
      <c r="F2971" s="1">
        <f ca="1">IFERROR(__xludf.DUMMYFUNCTION("""COMPUTED_VALUE"""),1973)</f>
        <v>1973</v>
      </c>
      <c r="G2971" s="1">
        <f ca="1">IFERROR(__xludf.DUMMYFUNCTION("""COMPUTED_VALUE"""),53)</f>
        <v>53</v>
      </c>
      <c r="H2971" s="1" t="str">
        <f ca="1">IFERROR(__xludf.DUMMYFUNCTION("""COMPUTED_VALUE"""),"MTLSZ000053A11")</f>
        <v>MTLSZ000053A11</v>
      </c>
      <c r="I2971" s="2">
        <f ca="1">IFERROR(__xludf.DUMMYFUNCTION("""COMPUTED_VALUE"""),40791)</f>
        <v>40791</v>
      </c>
      <c r="J2971" s="2">
        <f ca="1">IFERROR(__xludf.DUMMYFUNCTION("""COMPUTED_VALUE"""),41156)</f>
        <v>41156</v>
      </c>
    </row>
    <row r="2972" spans="1:10" x14ac:dyDescent="0.25">
      <c r="A2972" s="1" t="str">
        <f ca="1">IFERROR(__xludf.DUMMYFUNCTION("""COMPUTED_VALUE"""),"DSC-SI")</f>
        <v>DSC-SI</v>
      </c>
      <c r="B2972" s="1" t="str">
        <f ca="1">IFERROR(__xludf.DUMMYFUNCTION("""COMPUTED_VALUE"""),"Nagy Ádám")</f>
        <v>Nagy Ádám</v>
      </c>
      <c r="C2972" s="1"/>
      <c r="D2972" s="1" t="str">
        <f ca="1">IFERROR(__xludf.DUMMYFUNCTION("""COMPUTED_VALUE"""),"Férfi")</f>
        <v>Férfi</v>
      </c>
      <c r="E2972" s="1"/>
      <c r="F2972" s="1">
        <f ca="1">IFERROR(__xludf.DUMMYFUNCTION("""COMPUTED_VALUE"""),1993)</f>
        <v>1993</v>
      </c>
      <c r="G2972" s="1">
        <f ca="1">IFERROR(__xludf.DUMMYFUNCTION("""COMPUTED_VALUE"""),1227)</f>
        <v>1227</v>
      </c>
      <c r="H2972" s="1" t="str">
        <f ca="1">IFERROR(__xludf.DUMMYFUNCTION("""COMPUTED_VALUE"""),"MTLSZ001227A11")</f>
        <v>MTLSZ001227A11</v>
      </c>
      <c r="I2972" s="2">
        <f ca="1">IFERROR(__xludf.DUMMYFUNCTION("""COMPUTED_VALUE"""),40791)</f>
        <v>40791</v>
      </c>
      <c r="J2972" s="2">
        <f ca="1">IFERROR(__xludf.DUMMYFUNCTION("""COMPUTED_VALUE"""),41156)</f>
        <v>41156</v>
      </c>
    </row>
    <row r="2973" spans="1:10" x14ac:dyDescent="0.25">
      <c r="A2973" s="1" t="str">
        <f ca="1">IFERROR(__xludf.DUMMYFUNCTION("""COMPUTED_VALUE"""),"DSC-SI")</f>
        <v>DSC-SI</v>
      </c>
      <c r="B2973" s="1" t="str">
        <f ca="1">IFERROR(__xludf.DUMMYFUNCTION("""COMPUTED_VALUE"""),"Szabó Gábor")</f>
        <v>Szabó Gábor</v>
      </c>
      <c r="C2973" s="1"/>
      <c r="D2973" s="1" t="str">
        <f ca="1">IFERROR(__xludf.DUMMYFUNCTION("""COMPUTED_VALUE"""),"Férfi")</f>
        <v>Férfi</v>
      </c>
      <c r="E2973" s="1"/>
      <c r="F2973" s="1">
        <f ca="1">IFERROR(__xludf.DUMMYFUNCTION("""COMPUTED_VALUE"""),1985)</f>
        <v>1985</v>
      </c>
      <c r="G2973" s="1">
        <f ca="1">IFERROR(__xludf.DUMMYFUNCTION("""COMPUTED_VALUE"""),890)</f>
        <v>890</v>
      </c>
      <c r="H2973" s="1" t="str">
        <f ca="1">IFERROR(__xludf.DUMMYFUNCTION("""COMPUTED_VALUE"""),"MTLSZ000890A11")</f>
        <v>MTLSZ000890A11</v>
      </c>
      <c r="I2973" s="2">
        <f ca="1">IFERROR(__xludf.DUMMYFUNCTION("""COMPUTED_VALUE"""),40791)</f>
        <v>40791</v>
      </c>
      <c r="J2973" s="2">
        <f ca="1">IFERROR(__xludf.DUMMYFUNCTION("""COMPUTED_VALUE"""),41156)</f>
        <v>41156</v>
      </c>
    </row>
    <row r="2974" spans="1:10" x14ac:dyDescent="0.25">
      <c r="A2974" s="1" t="str">
        <f ca="1">IFERROR(__xludf.DUMMYFUNCTION("""COMPUTED_VALUE"""),"DSC-SI")</f>
        <v>DSC-SI</v>
      </c>
      <c r="B2974" s="1" t="str">
        <f ca="1">IFERROR(__xludf.DUMMYFUNCTION("""COMPUTED_VALUE"""),"Zsigmond Regina")</f>
        <v>Zsigmond Regina</v>
      </c>
      <c r="C2974" s="1"/>
      <c r="D2974" s="1" t="str">
        <f ca="1">IFERROR(__xludf.DUMMYFUNCTION("""COMPUTED_VALUE"""),"Nő")</f>
        <v>Nő</v>
      </c>
      <c r="E2974" s="1"/>
      <c r="F2974" s="1">
        <f ca="1">IFERROR(__xludf.DUMMYFUNCTION("""COMPUTED_VALUE"""),1992)</f>
        <v>1992</v>
      </c>
      <c r="G2974" s="1">
        <f ca="1">IFERROR(__xludf.DUMMYFUNCTION("""COMPUTED_VALUE"""),1150)</f>
        <v>1150</v>
      </c>
      <c r="H2974" s="1" t="str">
        <f ca="1">IFERROR(__xludf.DUMMYFUNCTION("""COMPUTED_VALUE"""),"MTLSZ001150A11")</f>
        <v>MTLSZ001150A11</v>
      </c>
      <c r="I2974" s="2">
        <f ca="1">IFERROR(__xludf.DUMMYFUNCTION("""COMPUTED_VALUE"""),40791)</f>
        <v>40791</v>
      </c>
      <c r="J2974" s="2">
        <f ca="1">IFERROR(__xludf.DUMMYFUNCTION("""COMPUTED_VALUE"""),41156)</f>
        <v>41156</v>
      </c>
    </row>
    <row r="2975" spans="1:10" x14ac:dyDescent="0.25">
      <c r="A2975" s="1" t="str">
        <f ca="1">IFERROR(__xludf.DUMMYFUNCTION("""COMPUTED_VALUE"""),"Kilián Iskola DSE")</f>
        <v>Kilián Iskola DSE</v>
      </c>
      <c r="B2975" s="1" t="str">
        <f ca="1">IFERROR(__xludf.DUMMYFUNCTION("""COMPUTED_VALUE"""),"Horváth Zsófia")</f>
        <v>Horváth Zsófia</v>
      </c>
      <c r="C2975" s="1"/>
      <c r="D2975" s="1" t="str">
        <f ca="1">IFERROR(__xludf.DUMMYFUNCTION("""COMPUTED_VALUE"""),"Nő")</f>
        <v>Nő</v>
      </c>
      <c r="E2975" s="1"/>
      <c r="F2975" s="1">
        <f ca="1">IFERROR(__xludf.DUMMYFUNCTION("""COMPUTED_VALUE"""),1989)</f>
        <v>1989</v>
      </c>
      <c r="G2975" s="1">
        <f ca="1">IFERROR(__xludf.DUMMYFUNCTION("""COMPUTED_VALUE"""),384)</f>
        <v>384</v>
      </c>
      <c r="H2975" s="1" t="str">
        <f ca="1">IFERROR(__xludf.DUMMYFUNCTION("""COMPUTED_VALUE"""),"MTLSZ000384A11")</f>
        <v>MTLSZ000384A11</v>
      </c>
      <c r="I2975" s="2">
        <f ca="1">IFERROR(__xludf.DUMMYFUNCTION("""COMPUTED_VALUE"""),40791)</f>
        <v>40791</v>
      </c>
      <c r="J2975" s="2">
        <f ca="1">IFERROR(__xludf.DUMMYFUNCTION("""COMPUTED_VALUE"""),41156)</f>
        <v>41156</v>
      </c>
    </row>
    <row r="2976" spans="1:10" x14ac:dyDescent="0.25">
      <c r="A2976" s="1" t="str">
        <f ca="1">IFERROR(__xludf.DUMMYFUNCTION("""COMPUTED_VALUE"""),"Multi Alarm SE")</f>
        <v>Multi Alarm SE</v>
      </c>
      <c r="B2976" s="1" t="str">
        <f ca="1">IFERROR(__xludf.DUMMYFUNCTION("""COMPUTED_VALUE"""),"Csorba Ágnes")</f>
        <v>Csorba Ágnes</v>
      </c>
      <c r="C2976" s="1"/>
      <c r="D2976" s="1" t="str">
        <f ca="1">IFERROR(__xludf.DUMMYFUNCTION("""COMPUTED_VALUE"""),"Nő")</f>
        <v>Nő</v>
      </c>
      <c r="E2976" s="1"/>
      <c r="F2976" s="1">
        <f ca="1">IFERROR(__xludf.DUMMYFUNCTION("""COMPUTED_VALUE"""),1986)</f>
        <v>1986</v>
      </c>
      <c r="G2976" s="1">
        <f ca="1">IFERROR(__xludf.DUMMYFUNCTION("""COMPUTED_VALUE"""),154)</f>
        <v>154</v>
      </c>
      <c r="H2976" s="1" t="str">
        <f ca="1">IFERROR(__xludf.DUMMYFUNCTION("""COMPUTED_VALUE"""),"MTLSZ000154A11")</f>
        <v>MTLSZ000154A11</v>
      </c>
      <c r="I2976" s="2">
        <f ca="1">IFERROR(__xludf.DUMMYFUNCTION("""COMPUTED_VALUE"""),40791)</f>
        <v>40791</v>
      </c>
      <c r="J2976" s="2">
        <f ca="1">IFERROR(__xludf.DUMMYFUNCTION("""COMPUTED_VALUE"""),41156)</f>
        <v>41156</v>
      </c>
    </row>
    <row r="2977" spans="1:10" x14ac:dyDescent="0.25">
      <c r="A2977" s="1" t="str">
        <f ca="1">IFERROR(__xludf.DUMMYFUNCTION("""COMPUTED_VALUE"""),"MAFC")</f>
        <v>MAFC</v>
      </c>
      <c r="B2977" s="1" t="str">
        <f ca="1">IFERROR(__xludf.DUMMYFUNCTION("""COMPUTED_VALUE"""),"Stogicza Ákos")</f>
        <v>Stogicza Ákos</v>
      </c>
      <c r="C2977" s="1"/>
      <c r="D2977" s="1" t="str">
        <f ca="1">IFERROR(__xludf.DUMMYFUNCTION("""COMPUTED_VALUE"""),"Férfi")</f>
        <v>Férfi</v>
      </c>
      <c r="E2977" s="1"/>
      <c r="F2977" s="1">
        <f ca="1">IFERROR(__xludf.DUMMYFUNCTION("""COMPUTED_VALUE"""),1983)</f>
        <v>1983</v>
      </c>
      <c r="G2977" s="1">
        <f ca="1">IFERROR(__xludf.DUMMYFUNCTION("""COMPUTED_VALUE"""),2264)</f>
        <v>2264</v>
      </c>
      <c r="H2977" s="1" t="str">
        <f ca="1">IFERROR(__xludf.DUMMYFUNCTION("""COMPUTED_VALUE"""),"MTLSZ002264A11")</f>
        <v>MTLSZ002264A11</v>
      </c>
      <c r="I2977" s="2">
        <f ca="1">IFERROR(__xludf.DUMMYFUNCTION("""COMPUTED_VALUE"""),40751)</f>
        <v>40751</v>
      </c>
      <c r="J2977" s="2">
        <f ca="1">IFERROR(__xludf.DUMMYFUNCTION("""COMPUTED_VALUE"""),41116)</f>
        <v>41116</v>
      </c>
    </row>
    <row r="2978" spans="1:10" x14ac:dyDescent="0.25">
      <c r="A2978" s="1" t="str">
        <f ca="1">IFERROR(__xludf.DUMMYFUNCTION("""COMPUTED_VALUE"""),"HZSE")</f>
        <v>HZSE</v>
      </c>
      <c r="B2978" s="1" t="str">
        <f ca="1">IFERROR(__xludf.DUMMYFUNCTION("""COMPUTED_VALUE"""),"Allan De Leon")</f>
        <v>Allan De Leon</v>
      </c>
      <c r="C2978" s="1"/>
      <c r="D2978" s="1" t="str">
        <f ca="1">IFERROR(__xludf.DUMMYFUNCTION("""COMPUTED_VALUE"""),"Férfi")</f>
        <v>Férfi</v>
      </c>
      <c r="E2978" s="1"/>
      <c r="F2978" s="1">
        <f ca="1">IFERROR(__xludf.DUMMYFUNCTION("""COMPUTED_VALUE"""),1972)</f>
        <v>1972</v>
      </c>
      <c r="G2978" s="1">
        <f ca="1">IFERROR(__xludf.DUMMYFUNCTION("""COMPUTED_VALUE"""),2370)</f>
        <v>2370</v>
      </c>
      <c r="H2978" s="1" t="str">
        <f ca="1">IFERROR(__xludf.DUMMYFUNCTION("""COMPUTED_VALUE"""),"MTLSZ002370A12")</f>
        <v>MTLSZ002370A12</v>
      </c>
      <c r="I2978" s="2">
        <f ca="1">IFERROR(__xludf.DUMMYFUNCTION("""COMPUTED_VALUE"""),41053)</f>
        <v>41053</v>
      </c>
      <c r="J2978" s="2">
        <f ca="1">IFERROR(__xludf.DUMMYFUNCTION("""COMPUTED_VALUE"""),41056)</f>
        <v>41056</v>
      </c>
    </row>
    <row r="2979" spans="1:10" x14ac:dyDescent="0.25">
      <c r="A2979" s="1" t="str">
        <f ca="1">IFERROR(__xludf.DUMMYFUNCTION("""COMPUTED_VALUE"""),"Danubius KSE")</f>
        <v>Danubius KSE</v>
      </c>
      <c r="B2979" s="1" t="str">
        <f ca="1">IFERROR(__xludf.DUMMYFUNCTION("""COMPUTED_VALUE"""),"Fekete Tamás")</f>
        <v>Fekete Tamás</v>
      </c>
      <c r="C2979" s="1"/>
      <c r="D2979" s="1" t="str">
        <f ca="1">IFERROR(__xludf.DUMMYFUNCTION("""COMPUTED_VALUE"""),"Férfi")</f>
        <v>Férfi</v>
      </c>
      <c r="E2979" s="1"/>
      <c r="F2979" s="1">
        <f ca="1">IFERROR(__xludf.DUMMYFUNCTION("""COMPUTED_VALUE"""),1965)</f>
        <v>1965</v>
      </c>
      <c r="G2979" s="1">
        <f ca="1">IFERROR(__xludf.DUMMYFUNCTION("""COMPUTED_VALUE"""),1948)</f>
        <v>1948</v>
      </c>
      <c r="H2979" s="1" t="str">
        <f ca="1">IFERROR(__xludf.DUMMYFUNCTION("""COMPUTED_VALUE"""),"MTLSZ001948A11")</f>
        <v>MTLSZ001948A11</v>
      </c>
      <c r="I2979" s="2">
        <f ca="1">IFERROR(__xludf.DUMMYFUNCTION("""COMPUTED_VALUE"""),40682)</f>
        <v>40682</v>
      </c>
      <c r="J2979" s="2">
        <f ca="1">IFERROR(__xludf.DUMMYFUNCTION("""COMPUTED_VALUE"""),41047)</f>
        <v>41047</v>
      </c>
    </row>
    <row r="2980" spans="1:10" x14ac:dyDescent="0.25">
      <c r="A2980" s="1" t="str">
        <f ca="1">IFERROR(__xludf.DUMMYFUNCTION("""COMPUTED_VALUE"""),"Ludovika SE")</f>
        <v>Ludovika SE</v>
      </c>
      <c r="B2980" s="1" t="str">
        <f ca="1">IFERROR(__xludf.DUMMYFUNCTION("""COMPUTED_VALUE"""),"Goetter Antal")</f>
        <v>Goetter Antal</v>
      </c>
      <c r="C2980" s="1"/>
      <c r="D2980" s="1" t="str">
        <f ca="1">IFERROR(__xludf.DUMMYFUNCTION("""COMPUTED_VALUE"""),"Férfi")</f>
        <v>Férfi</v>
      </c>
      <c r="E2980" s="1"/>
      <c r="F2980" s="1">
        <f ca="1">IFERROR(__xludf.DUMMYFUNCTION("""COMPUTED_VALUE"""),1975)</f>
        <v>1975</v>
      </c>
      <c r="G2980" s="1">
        <f ca="1">IFERROR(__xludf.DUMMYFUNCTION("""COMPUTED_VALUE"""),298)</f>
        <v>298</v>
      </c>
      <c r="H2980" s="1" t="str">
        <f ca="1">IFERROR(__xludf.DUMMYFUNCTION("""COMPUTED_VALUE"""),"MTLSZ000298A12")</f>
        <v>MTLSZ000298A12</v>
      </c>
      <c r="I2980" s="2">
        <f ca="1">IFERROR(__xludf.DUMMYFUNCTION("""COMPUTED_VALUE"""),41019)</f>
        <v>41019</v>
      </c>
      <c r="J2980" s="2">
        <f ca="1">IFERROR(__xludf.DUMMYFUNCTION("""COMPUTED_VALUE"""),41028)</f>
        <v>41028</v>
      </c>
    </row>
    <row r="2981" spans="1:10" x14ac:dyDescent="0.25">
      <c r="A2981" s="1" t="str">
        <f ca="1">IFERROR(__xludf.DUMMYFUNCTION("""COMPUTED_VALUE"""),"HZSE")</f>
        <v>HZSE</v>
      </c>
      <c r="B2981" s="1" t="str">
        <f ca="1">IFERROR(__xludf.DUMMYFUNCTION("""COMPUTED_VALUE"""),"Varga Sarolta")</f>
        <v>Varga Sarolta</v>
      </c>
      <c r="C2981" s="1"/>
      <c r="D2981" s="1" t="str">
        <f ca="1">IFERROR(__xludf.DUMMYFUNCTION("""COMPUTED_VALUE"""),"Nő")</f>
        <v>Nő</v>
      </c>
      <c r="E2981" s="1"/>
      <c r="F2981" s="1">
        <f ca="1">IFERROR(__xludf.DUMMYFUNCTION("""COMPUTED_VALUE"""),1983)</f>
        <v>1983</v>
      </c>
      <c r="G2981" s="1">
        <f ca="1">IFERROR(__xludf.DUMMYFUNCTION("""COMPUTED_VALUE"""),1097)</f>
        <v>1097</v>
      </c>
      <c r="H2981" s="1" t="str">
        <f ca="1">IFERROR(__xludf.DUMMYFUNCTION("""COMPUTED_VALUE"""),"MTLSZ001097A11")</f>
        <v>MTLSZ001097A11</v>
      </c>
      <c r="I2981" s="2">
        <f ca="1">IFERROR(__xludf.DUMMYFUNCTION("""COMPUTED_VALUE"""),40660)</f>
        <v>40660</v>
      </c>
      <c r="J2981" s="2">
        <f ca="1">IFERROR(__xludf.DUMMYFUNCTION("""COMPUTED_VALUE"""),41025)</f>
        <v>41025</v>
      </c>
    </row>
    <row r="2982" spans="1:10" x14ac:dyDescent="0.25">
      <c r="A2982" s="1" t="str">
        <f ca="1">IFERROR(__xludf.DUMMYFUNCTION("""COMPUTED_VALUE"""),"Multi Alarm SE")</f>
        <v>Multi Alarm SE</v>
      </c>
      <c r="B2982" s="1" t="str">
        <f ca="1">IFERROR(__xludf.DUMMYFUNCTION("""COMPUTED_VALUE"""),"Kotsy Gergely")</f>
        <v>Kotsy Gergely</v>
      </c>
      <c r="C2982" s="1"/>
      <c r="D2982" s="1" t="str">
        <f ca="1">IFERROR(__xludf.DUMMYFUNCTION("""COMPUTED_VALUE"""),"Férfi")</f>
        <v>Férfi</v>
      </c>
      <c r="E2982" s="1"/>
      <c r="F2982" s="1">
        <f ca="1">IFERROR(__xludf.DUMMYFUNCTION("""COMPUTED_VALUE"""),1997)</f>
        <v>1997</v>
      </c>
      <c r="G2982" s="1">
        <f ca="1">IFERROR(__xludf.DUMMYFUNCTION("""COMPUTED_VALUE"""),2057)</f>
        <v>2057</v>
      </c>
      <c r="H2982" s="1" t="str">
        <f ca="1">IFERROR(__xludf.DUMMYFUNCTION("""COMPUTED_VALUE"""),"MTLSZ002057A11")</f>
        <v>MTLSZ002057A11</v>
      </c>
      <c r="I2982" s="2">
        <f ca="1">IFERROR(__xludf.DUMMYFUNCTION("""COMPUTED_VALUE"""),40640)</f>
        <v>40640</v>
      </c>
      <c r="J2982" s="2">
        <f ca="1">IFERROR(__xludf.DUMMYFUNCTION("""COMPUTED_VALUE"""),41005)</f>
        <v>41005</v>
      </c>
    </row>
    <row r="2983" spans="1:10" x14ac:dyDescent="0.25">
      <c r="A2983" s="1" t="str">
        <f ca="1">IFERROR(__xludf.DUMMYFUNCTION("""COMPUTED_VALUE"""),"Multi Alarm SE")</f>
        <v>Multi Alarm SE</v>
      </c>
      <c r="B2983" s="1" t="str">
        <f ca="1">IFERROR(__xludf.DUMMYFUNCTION("""COMPUTED_VALUE"""),"Wesz Roland")</f>
        <v>Wesz Roland</v>
      </c>
      <c r="C2983" s="1"/>
      <c r="D2983" s="1" t="str">
        <f ca="1">IFERROR(__xludf.DUMMYFUNCTION("""COMPUTED_VALUE"""),"Férfi")</f>
        <v>Férfi</v>
      </c>
      <c r="E2983" s="1"/>
      <c r="F2983" s="1">
        <f ca="1">IFERROR(__xludf.DUMMYFUNCTION("""COMPUTED_VALUE"""),1996)</f>
        <v>1996</v>
      </c>
      <c r="G2983" s="1">
        <f ca="1">IFERROR(__xludf.DUMMYFUNCTION("""COMPUTED_VALUE"""),2055)</f>
        <v>2055</v>
      </c>
      <c r="H2983" s="1" t="str">
        <f ca="1">IFERROR(__xludf.DUMMYFUNCTION("""COMPUTED_VALUE"""),"MTLSZ002055A11")</f>
        <v>MTLSZ002055A11</v>
      </c>
      <c r="I2983" s="2">
        <f ca="1">IFERROR(__xludf.DUMMYFUNCTION("""COMPUTED_VALUE"""),40640)</f>
        <v>40640</v>
      </c>
      <c r="J2983" s="2">
        <f ca="1">IFERROR(__xludf.DUMMYFUNCTION("""COMPUTED_VALUE"""),41005)</f>
        <v>41005</v>
      </c>
    </row>
    <row r="2984" spans="1:10" x14ac:dyDescent="0.25">
      <c r="A2984" s="1" t="str">
        <f ca="1">IFERROR(__xludf.DUMMYFUNCTION("""COMPUTED_VALUE"""),"OSC")</f>
        <v>OSC</v>
      </c>
      <c r="B2984" s="1" t="str">
        <f ca="1">IFERROR(__xludf.DUMMYFUNCTION("""COMPUTED_VALUE"""),"Kovács Debóra")</f>
        <v>Kovács Debóra</v>
      </c>
      <c r="C2984" s="1"/>
      <c r="D2984" s="1" t="str">
        <f ca="1">IFERROR(__xludf.DUMMYFUNCTION("""COMPUTED_VALUE"""),"Nő")</f>
        <v>Nő</v>
      </c>
      <c r="E2984" s="1"/>
      <c r="F2984" s="1">
        <f ca="1">IFERROR(__xludf.DUMMYFUNCTION("""COMPUTED_VALUE"""),2000)</f>
        <v>2000</v>
      </c>
      <c r="G2984" s="1">
        <f ca="1">IFERROR(__xludf.DUMMYFUNCTION("""COMPUTED_VALUE"""),2090)</f>
        <v>2090</v>
      </c>
      <c r="H2984" s="1" t="str">
        <f ca="1">IFERROR(__xludf.DUMMYFUNCTION("""COMPUTED_VALUE"""),"MTLSZ002090A11")</f>
        <v>MTLSZ002090A11</v>
      </c>
      <c r="I2984" s="2">
        <f ca="1">IFERROR(__xludf.DUMMYFUNCTION("""COMPUTED_VALUE"""),40638)</f>
        <v>40638</v>
      </c>
      <c r="J2984" s="2">
        <f ca="1">IFERROR(__xludf.DUMMYFUNCTION("""COMPUTED_VALUE"""),41003)</f>
        <v>41003</v>
      </c>
    </row>
    <row r="2985" spans="1:10" x14ac:dyDescent="0.25">
      <c r="A2985" s="1" t="str">
        <f ca="1">IFERROR(__xludf.DUMMYFUNCTION("""COMPUTED_VALUE"""),"#N/A")</f>
        <v>#N/A</v>
      </c>
      <c r="B2985" s="1" t="str">
        <f ca="1">IFERROR(__xludf.DUMMYFUNCTION("""COMPUTED_VALUE"""),"Budavári Szabolcs")</f>
        <v>Budavári Szabolcs</v>
      </c>
      <c r="C2985" s="1"/>
      <c r="D2985" s="1" t="str">
        <f ca="1">IFERROR(__xludf.DUMMYFUNCTION("""COMPUTED_VALUE"""),"Férfi")</f>
        <v>Férfi</v>
      </c>
      <c r="E2985" s="1"/>
      <c r="F2985" s="1">
        <f ca="1">IFERROR(__xludf.DUMMYFUNCTION("""COMPUTED_VALUE"""),1985)</f>
        <v>1985</v>
      </c>
      <c r="G2985" s="1">
        <f ca="1">IFERROR(__xludf.DUMMYFUNCTION("""COMPUTED_VALUE"""),118)</f>
        <v>118</v>
      </c>
      <c r="H2985" s="1" t="str">
        <f ca="1">IFERROR(__xludf.DUMMYFUNCTION("""COMPUTED_VALUE"""),"MTLSZ000118A11")</f>
        <v>MTLSZ000118A11</v>
      </c>
      <c r="I2985" s="2">
        <f ca="1">IFERROR(__xludf.DUMMYFUNCTION("""COMPUTED_VALUE"""),40609)</f>
        <v>40609</v>
      </c>
      <c r="J2985" s="2">
        <f ca="1">IFERROR(__xludf.DUMMYFUNCTION("""COMPUTED_VALUE"""),40974)</f>
        <v>40974</v>
      </c>
    </row>
    <row r="2986" spans="1:10" x14ac:dyDescent="0.25">
      <c r="A2986" s="1" t="str">
        <f ca="1">IFERROR(__xludf.DUMMYFUNCTION("""COMPUTED_VALUE"""),"HZSE")</f>
        <v>HZSE</v>
      </c>
      <c r="B2986" s="1" t="str">
        <f ca="1">IFERROR(__xludf.DUMMYFUNCTION("""COMPUTED_VALUE"""),"Révész Richárd")</f>
        <v>Révész Richárd</v>
      </c>
      <c r="C2986" s="1"/>
      <c r="D2986" s="1" t="str">
        <f ca="1">IFERROR(__xludf.DUMMYFUNCTION("""COMPUTED_VALUE"""),"Férfi")</f>
        <v>Férfi</v>
      </c>
      <c r="E2986" s="1"/>
      <c r="F2986" s="1">
        <f ca="1">IFERROR(__xludf.DUMMYFUNCTION("""COMPUTED_VALUE"""),1987)</f>
        <v>1987</v>
      </c>
      <c r="G2986" s="1">
        <f ca="1">IFERROR(__xludf.DUMMYFUNCTION("""COMPUTED_VALUE"""),2200)</f>
        <v>2200</v>
      </c>
      <c r="H2986" s="1" t="str">
        <f ca="1">IFERROR(__xludf.DUMMYFUNCTION("""COMPUTED_VALUE"""),"MTLSZ002200A11")</f>
        <v>MTLSZ002200A11</v>
      </c>
      <c r="I2986" s="2">
        <f ca="1">IFERROR(__xludf.DUMMYFUNCTION("""COMPUTED_VALUE"""),40609)</f>
        <v>40609</v>
      </c>
      <c r="J2986" s="2">
        <f ca="1">IFERROR(__xludf.DUMMYFUNCTION("""COMPUTED_VALUE"""),40974)</f>
        <v>40974</v>
      </c>
    </row>
    <row r="2987" spans="1:10" x14ac:dyDescent="0.25">
      <c r="A2987" s="1" t="str">
        <f ca="1">IFERROR(__xludf.DUMMYFUNCTION("""COMPUTED_VALUE"""),"ZKSE")</f>
        <v>ZKSE</v>
      </c>
      <c r="B2987" s="1" t="str">
        <f ca="1">IFERROR(__xludf.DUMMYFUNCTION("""COMPUTED_VALUE"""),"Kispál Judit")</f>
        <v>Kispál Judit</v>
      </c>
      <c r="C2987" s="1"/>
      <c r="D2987" s="1" t="str">
        <f ca="1">IFERROR(__xludf.DUMMYFUNCTION("""COMPUTED_VALUE"""),"Nő")</f>
        <v>Nő</v>
      </c>
      <c r="E2987" s="1"/>
      <c r="F2987" s="1">
        <f ca="1">IFERROR(__xludf.DUMMYFUNCTION("""COMPUTED_VALUE"""),1993)</f>
        <v>1993</v>
      </c>
      <c r="G2987" s="1">
        <f ca="1">IFERROR(__xludf.DUMMYFUNCTION("""COMPUTED_VALUE"""),1331)</f>
        <v>1331</v>
      </c>
      <c r="H2987" s="1" t="str">
        <f ca="1">IFERROR(__xludf.DUMMYFUNCTION("""COMPUTED_VALUE"""),"MTLSZ001331A11")</f>
        <v>MTLSZ001331A11</v>
      </c>
      <c r="I2987" s="2">
        <f ca="1">IFERROR(__xludf.DUMMYFUNCTION("""COMPUTED_VALUE"""),40609)</f>
        <v>40609</v>
      </c>
      <c r="J2987" s="2">
        <f ca="1">IFERROR(__xludf.DUMMYFUNCTION("""COMPUTED_VALUE"""),40974)</f>
        <v>40974</v>
      </c>
    </row>
    <row r="2988" spans="1:10" x14ac:dyDescent="0.25">
      <c r="A2988" s="1" t="str">
        <f ca="1">IFERROR(__xludf.DUMMYFUNCTION("""COMPUTED_VALUE"""),"ZKSE")</f>
        <v>ZKSE</v>
      </c>
      <c r="B2988" s="1" t="str">
        <f ca="1">IFERROR(__xludf.DUMMYFUNCTION("""COMPUTED_VALUE"""),"Kispál Zsófia")</f>
        <v>Kispál Zsófia</v>
      </c>
      <c r="C2988" s="1"/>
      <c r="D2988" s="1" t="str">
        <f ca="1">IFERROR(__xludf.DUMMYFUNCTION("""COMPUTED_VALUE"""),"Nő")</f>
        <v>Nő</v>
      </c>
      <c r="E2988" s="1"/>
      <c r="F2988" s="1">
        <f ca="1">IFERROR(__xludf.DUMMYFUNCTION("""COMPUTED_VALUE"""),1993)</f>
        <v>1993</v>
      </c>
      <c r="G2988" s="1">
        <f ca="1">IFERROR(__xludf.DUMMYFUNCTION("""COMPUTED_VALUE"""),1329)</f>
        <v>1329</v>
      </c>
      <c r="H2988" s="1" t="str">
        <f ca="1">IFERROR(__xludf.DUMMYFUNCTION("""COMPUTED_VALUE"""),"MTLSZ001329A11")</f>
        <v>MTLSZ001329A11</v>
      </c>
      <c r="I2988" s="2">
        <f ca="1">IFERROR(__xludf.DUMMYFUNCTION("""COMPUTED_VALUE"""),40609)</f>
        <v>40609</v>
      </c>
      <c r="J2988" s="2">
        <f ca="1">IFERROR(__xludf.DUMMYFUNCTION("""COMPUTED_VALUE"""),40974)</f>
        <v>40974</v>
      </c>
    </row>
    <row r="2989" spans="1:10" x14ac:dyDescent="0.25">
      <c r="A2989" s="1" t="str">
        <f ca="1">IFERROR(__xludf.DUMMYFUNCTION("""COMPUTED_VALUE"""),"Multi Alarm SE")</f>
        <v>Multi Alarm SE</v>
      </c>
      <c r="B2989" s="1" t="str">
        <f ca="1">IFERROR(__xludf.DUMMYFUNCTION("""COMPUTED_VALUE"""),"Setiani Hanny")</f>
        <v>Setiani Hanny</v>
      </c>
      <c r="C2989" s="1"/>
      <c r="D2989" s="1" t="str">
        <f ca="1">IFERROR(__xludf.DUMMYFUNCTION("""COMPUTED_VALUE"""),"Nő")</f>
        <v>Nő</v>
      </c>
      <c r="E2989" s="1"/>
      <c r="F2989" s="1">
        <f ca="1">IFERROR(__xludf.DUMMYFUNCTION("""COMPUTED_VALUE"""),1979)</f>
        <v>1979</v>
      </c>
      <c r="G2989" s="1">
        <f ca="1">IFERROR(__xludf.DUMMYFUNCTION("""COMPUTED_VALUE"""),1905)</f>
        <v>1905</v>
      </c>
      <c r="H2989" s="1" t="str">
        <f ca="1">IFERROR(__xludf.DUMMYFUNCTION("""COMPUTED_VALUE"""),"MTLSZ001905A11")</f>
        <v>MTLSZ001905A11</v>
      </c>
      <c r="I2989" s="2">
        <f ca="1">IFERROR(__xludf.DUMMYFUNCTION("""COMPUTED_VALUE"""),40591)</f>
        <v>40591</v>
      </c>
      <c r="J2989" s="2">
        <f ca="1">IFERROR(__xludf.DUMMYFUNCTION("""COMPUTED_VALUE"""),40955)</f>
        <v>40955</v>
      </c>
    </row>
    <row r="2990" spans="1:10" x14ac:dyDescent="0.25">
      <c r="A2990" s="1" t="str">
        <f ca="1">IFERROR(__xludf.DUMMYFUNCTION("""COMPUTED_VALUE"""),"Alba-Toll SE")</f>
        <v>Alba-Toll SE</v>
      </c>
      <c r="B2990" s="1" t="str">
        <f ca="1">IFERROR(__xludf.DUMMYFUNCTION("""COMPUTED_VALUE"""),"Bánhegyi Zita")</f>
        <v>Bánhegyi Zita</v>
      </c>
      <c r="C2990" s="1"/>
      <c r="D2990" s="1" t="str">
        <f ca="1">IFERROR(__xludf.DUMMYFUNCTION("""COMPUTED_VALUE"""),"Nő")</f>
        <v>Nő</v>
      </c>
      <c r="E2990" s="1"/>
      <c r="F2990" s="1">
        <f ca="1">IFERROR(__xludf.DUMMYFUNCTION("""COMPUTED_VALUE"""),1989)</f>
        <v>1989</v>
      </c>
      <c r="G2990" s="1">
        <f ca="1">IFERROR(__xludf.DUMMYFUNCTION("""COMPUTED_VALUE"""),52)</f>
        <v>52</v>
      </c>
      <c r="H2990" s="1" t="str">
        <f ca="1">IFERROR(__xludf.DUMMYFUNCTION("""COMPUTED_VALUE"""),"MTLSZ000052A11")</f>
        <v>MTLSZ000052A11</v>
      </c>
      <c r="I2990" s="2">
        <f ca="1">IFERROR(__xludf.DUMMYFUNCTION("""COMPUTED_VALUE"""),40561)</f>
        <v>40561</v>
      </c>
      <c r="J2990" s="2">
        <f ca="1">IFERROR(__xludf.DUMMYFUNCTION("""COMPUTED_VALUE"""),40925)</f>
        <v>40925</v>
      </c>
    </row>
    <row r="2991" spans="1:10" x14ac:dyDescent="0.25">
      <c r="A2991" s="1" t="str">
        <f ca="1">IFERROR(__xludf.DUMMYFUNCTION("""COMPUTED_VALUE"""),"Gyöngyösoroszi SK")</f>
        <v>Gyöngyösoroszi SK</v>
      </c>
      <c r="B2991" s="1" t="str">
        <f ca="1">IFERROR(__xludf.DUMMYFUNCTION("""COMPUTED_VALUE"""),"Bagi Andrea")</f>
        <v>Bagi Andrea</v>
      </c>
      <c r="C2991" s="1"/>
      <c r="D2991" s="1" t="str">
        <f ca="1">IFERROR(__xludf.DUMMYFUNCTION("""COMPUTED_VALUE"""),"Nő")</f>
        <v>Nő</v>
      </c>
      <c r="E2991" s="1"/>
      <c r="F2991" s="1">
        <f ca="1">IFERROR(__xludf.DUMMYFUNCTION("""COMPUTED_VALUE"""),1988)</f>
        <v>1988</v>
      </c>
      <c r="G2991" s="1">
        <f ca="1">IFERROR(__xludf.DUMMYFUNCTION("""COMPUTED_VALUE"""),25)</f>
        <v>25</v>
      </c>
      <c r="H2991" s="1" t="str">
        <f ca="1">IFERROR(__xludf.DUMMYFUNCTION("""COMPUTED_VALUE"""),"MTLSZ000025A10")</f>
        <v>MTLSZ000025A10</v>
      </c>
      <c r="I2991" s="2">
        <f ca="1">IFERROR(__xludf.DUMMYFUNCTION("""COMPUTED_VALUE"""),40540)</f>
        <v>40540</v>
      </c>
      <c r="J2991" s="2">
        <f ca="1">IFERROR(__xludf.DUMMYFUNCTION("""COMPUTED_VALUE"""),40904)</f>
        <v>40904</v>
      </c>
    </row>
    <row r="2992" spans="1:10" x14ac:dyDescent="0.25">
      <c r="A2992" s="1" t="str">
        <f ca="1">IFERROR(__xludf.DUMMYFUNCTION("""COMPUTED_VALUE"""),"Gyöngyösoroszi SK")</f>
        <v>Gyöngyösoroszi SK</v>
      </c>
      <c r="B2992" s="1" t="str">
        <f ca="1">IFERROR(__xludf.DUMMYFUNCTION("""COMPUTED_VALUE"""),"Bárány Diana")</f>
        <v>Bárány Diana</v>
      </c>
      <c r="C2992" s="1"/>
      <c r="D2992" s="1" t="str">
        <f ca="1">IFERROR(__xludf.DUMMYFUNCTION("""COMPUTED_VALUE"""),"Nő")</f>
        <v>Nő</v>
      </c>
      <c r="E2992" s="1"/>
      <c r="F2992" s="1">
        <f ca="1">IFERROR(__xludf.DUMMYFUNCTION("""COMPUTED_VALUE"""),1989)</f>
        <v>1989</v>
      </c>
      <c r="G2992" s="1">
        <f ca="1">IFERROR(__xludf.DUMMYFUNCTION("""COMPUTED_VALUE"""),57)</f>
        <v>57</v>
      </c>
      <c r="H2992" s="1" t="str">
        <f ca="1">IFERROR(__xludf.DUMMYFUNCTION("""COMPUTED_VALUE"""),"MTLSZ000057A10")</f>
        <v>MTLSZ000057A10</v>
      </c>
      <c r="I2992" s="2">
        <f ca="1">IFERROR(__xludf.DUMMYFUNCTION("""COMPUTED_VALUE"""),40540)</f>
        <v>40540</v>
      </c>
      <c r="J2992" s="2">
        <f ca="1">IFERROR(__xludf.DUMMYFUNCTION("""COMPUTED_VALUE"""),40904)</f>
        <v>40904</v>
      </c>
    </row>
    <row r="2993" spans="1:10" x14ac:dyDescent="0.25">
      <c r="A2993" s="1" t="str">
        <f ca="1">IFERROR(__xludf.DUMMYFUNCTION("""COMPUTED_VALUE"""),"Gyöngyösoroszi SK")</f>
        <v>Gyöngyösoroszi SK</v>
      </c>
      <c r="B2993" s="1" t="str">
        <f ca="1">IFERROR(__xludf.DUMMYFUNCTION("""COMPUTED_VALUE"""),"Baranyi Mózes")</f>
        <v>Baranyi Mózes</v>
      </c>
      <c r="C2993" s="1"/>
      <c r="D2993" s="1" t="str">
        <f ca="1">IFERROR(__xludf.DUMMYFUNCTION("""COMPUTED_VALUE"""),"Férfi")</f>
        <v>Férfi</v>
      </c>
      <c r="E2993" s="1"/>
      <c r="F2993" s="1">
        <f ca="1">IFERROR(__xludf.DUMMYFUNCTION("""COMPUTED_VALUE"""),1996)</f>
        <v>1996</v>
      </c>
      <c r="G2993" s="1">
        <f ca="1">IFERROR(__xludf.DUMMYFUNCTION("""COMPUTED_VALUE"""),1762)</f>
        <v>1762</v>
      </c>
      <c r="H2993" s="1" t="str">
        <f ca="1">IFERROR(__xludf.DUMMYFUNCTION("""COMPUTED_VALUE"""),"MTLSZ001762A10")</f>
        <v>MTLSZ001762A10</v>
      </c>
      <c r="I2993" s="2">
        <f ca="1">IFERROR(__xludf.DUMMYFUNCTION("""COMPUTED_VALUE"""),40540)</f>
        <v>40540</v>
      </c>
      <c r="J2993" s="2">
        <f ca="1">IFERROR(__xludf.DUMMYFUNCTION("""COMPUTED_VALUE"""),40904)</f>
        <v>40904</v>
      </c>
    </row>
    <row r="2994" spans="1:10" x14ac:dyDescent="0.25">
      <c r="A2994" s="1" t="str">
        <f ca="1">IFERROR(__xludf.DUMMYFUNCTION("""COMPUTED_VALUE"""),"Gyöngyösoroszi SK")</f>
        <v>Gyöngyösoroszi SK</v>
      </c>
      <c r="B2994" s="1" t="str">
        <f ca="1">IFERROR(__xludf.DUMMYFUNCTION("""COMPUTED_VALUE"""),"Besenyei Viktor")</f>
        <v>Besenyei Viktor</v>
      </c>
      <c r="C2994" s="1"/>
      <c r="D2994" s="1" t="str">
        <f ca="1">IFERROR(__xludf.DUMMYFUNCTION("""COMPUTED_VALUE"""),"Férfi")</f>
        <v>Férfi</v>
      </c>
      <c r="E2994" s="1"/>
      <c r="F2994" s="1">
        <f ca="1">IFERROR(__xludf.DUMMYFUNCTION("""COMPUTED_VALUE"""),1983)</f>
        <v>1983</v>
      </c>
      <c r="G2994" s="1">
        <f ca="1">IFERROR(__xludf.DUMMYFUNCTION("""COMPUTED_VALUE"""),84)</f>
        <v>84</v>
      </c>
      <c r="H2994" s="1" t="str">
        <f ca="1">IFERROR(__xludf.DUMMYFUNCTION("""COMPUTED_VALUE"""),"MTLSZ000084A10")</f>
        <v>MTLSZ000084A10</v>
      </c>
      <c r="I2994" s="2">
        <f ca="1">IFERROR(__xludf.DUMMYFUNCTION("""COMPUTED_VALUE"""),40540)</f>
        <v>40540</v>
      </c>
      <c r="J2994" s="2">
        <f ca="1">IFERROR(__xludf.DUMMYFUNCTION("""COMPUTED_VALUE"""),40904)</f>
        <v>40904</v>
      </c>
    </row>
    <row r="2995" spans="1:10" x14ac:dyDescent="0.25">
      <c r="A2995" s="1" t="str">
        <f ca="1">IFERROR(__xludf.DUMMYFUNCTION("""COMPUTED_VALUE"""),"Gyöngyösoroszi SK")</f>
        <v>Gyöngyösoroszi SK</v>
      </c>
      <c r="B2995" s="1" t="str">
        <f ca="1">IFERROR(__xludf.DUMMYFUNCTION("""COMPUTED_VALUE"""),"Bessenyei Balázs")</f>
        <v>Bessenyei Balázs</v>
      </c>
      <c r="C2995" s="1"/>
      <c r="D2995" s="1" t="str">
        <f ca="1">IFERROR(__xludf.DUMMYFUNCTION("""COMPUTED_VALUE"""),"Férfi")</f>
        <v>Férfi</v>
      </c>
      <c r="E2995" s="1"/>
      <c r="F2995" s="1">
        <f ca="1">IFERROR(__xludf.DUMMYFUNCTION("""COMPUTED_VALUE"""),1985)</f>
        <v>1985</v>
      </c>
      <c r="G2995" s="1">
        <f ca="1">IFERROR(__xludf.DUMMYFUNCTION("""COMPUTED_VALUE"""),86)</f>
        <v>86</v>
      </c>
      <c r="H2995" s="1" t="str">
        <f ca="1">IFERROR(__xludf.DUMMYFUNCTION("""COMPUTED_VALUE"""),"MTLSZ000086A10")</f>
        <v>MTLSZ000086A10</v>
      </c>
      <c r="I2995" s="2">
        <f ca="1">IFERROR(__xludf.DUMMYFUNCTION("""COMPUTED_VALUE"""),40540)</f>
        <v>40540</v>
      </c>
      <c r="J2995" s="2">
        <f ca="1">IFERROR(__xludf.DUMMYFUNCTION("""COMPUTED_VALUE"""),40904)</f>
        <v>40904</v>
      </c>
    </row>
    <row r="2996" spans="1:10" x14ac:dyDescent="0.25">
      <c r="A2996" s="1" t="str">
        <f ca="1">IFERROR(__xludf.DUMMYFUNCTION("""COMPUTED_VALUE"""),"Gyöngyösoroszi SK")</f>
        <v>Gyöngyösoroszi SK</v>
      </c>
      <c r="B2996" s="1" t="str">
        <f ca="1">IFERROR(__xludf.DUMMYFUNCTION("""COMPUTED_VALUE"""),"Botos Kitti")</f>
        <v>Botos Kitti</v>
      </c>
      <c r="C2996" s="1"/>
      <c r="D2996" s="1" t="str">
        <f ca="1">IFERROR(__xludf.DUMMYFUNCTION("""COMPUTED_VALUE"""),"Nő")</f>
        <v>Nő</v>
      </c>
      <c r="E2996" s="1"/>
      <c r="F2996" s="1">
        <f ca="1">IFERROR(__xludf.DUMMYFUNCTION("""COMPUTED_VALUE"""),2000)</f>
        <v>2000</v>
      </c>
      <c r="G2996" s="1">
        <f ca="1">IFERROR(__xludf.DUMMYFUNCTION("""COMPUTED_VALUE"""),111)</f>
        <v>111</v>
      </c>
      <c r="H2996" s="1" t="str">
        <f ca="1">IFERROR(__xludf.DUMMYFUNCTION("""COMPUTED_VALUE"""),"MTLSZ000111A10")</f>
        <v>MTLSZ000111A10</v>
      </c>
      <c r="I2996" s="2">
        <f ca="1">IFERROR(__xludf.DUMMYFUNCTION("""COMPUTED_VALUE"""),40540)</f>
        <v>40540</v>
      </c>
      <c r="J2996" s="2">
        <f ca="1">IFERROR(__xludf.DUMMYFUNCTION("""COMPUTED_VALUE"""),40904)</f>
        <v>40904</v>
      </c>
    </row>
    <row r="2997" spans="1:10" x14ac:dyDescent="0.25">
      <c r="A2997" s="1" t="str">
        <f ca="1">IFERROR(__xludf.DUMMYFUNCTION("""COMPUTED_VALUE"""),"Gyöngyösoroszi SK")</f>
        <v>Gyöngyösoroszi SK</v>
      </c>
      <c r="B2997" s="1" t="str">
        <f ca="1">IFERROR(__xludf.DUMMYFUNCTION("""COMPUTED_VALUE"""),"Botos Klára")</f>
        <v>Botos Klára</v>
      </c>
      <c r="C2997" s="1"/>
      <c r="D2997" s="1" t="str">
        <f ca="1">IFERROR(__xludf.DUMMYFUNCTION("""COMPUTED_VALUE"""),"Nő")</f>
        <v>Nő</v>
      </c>
      <c r="E2997" s="1"/>
      <c r="F2997" s="1">
        <f ca="1">IFERROR(__xludf.DUMMYFUNCTION("""COMPUTED_VALUE"""),1989)</f>
        <v>1989</v>
      </c>
      <c r="G2997" s="1">
        <f ca="1">IFERROR(__xludf.DUMMYFUNCTION("""COMPUTED_VALUE"""),112)</f>
        <v>112</v>
      </c>
      <c r="H2997" s="1" t="str">
        <f ca="1">IFERROR(__xludf.DUMMYFUNCTION("""COMPUTED_VALUE"""),"MTLSZ000112A10")</f>
        <v>MTLSZ000112A10</v>
      </c>
      <c r="I2997" s="2">
        <f ca="1">IFERROR(__xludf.DUMMYFUNCTION("""COMPUTED_VALUE"""),40540)</f>
        <v>40540</v>
      </c>
      <c r="J2997" s="2">
        <f ca="1">IFERROR(__xludf.DUMMYFUNCTION("""COMPUTED_VALUE"""),40904)</f>
        <v>40904</v>
      </c>
    </row>
    <row r="2998" spans="1:10" x14ac:dyDescent="0.25">
      <c r="A2998" s="1" t="str">
        <f ca="1">IFERROR(__xludf.DUMMYFUNCTION("""COMPUTED_VALUE"""),"Gyöngyösoroszi SK")</f>
        <v>Gyöngyösoroszi SK</v>
      </c>
      <c r="B2998" s="1" t="str">
        <f ca="1">IFERROR(__xludf.DUMMYFUNCTION("""COMPUTED_VALUE"""),"Csendes Klaudia")</f>
        <v>Csendes Klaudia</v>
      </c>
      <c r="C2998" s="1"/>
      <c r="D2998" s="1" t="str">
        <f ca="1">IFERROR(__xludf.DUMMYFUNCTION("""COMPUTED_VALUE"""),"Nő")</f>
        <v>Nő</v>
      </c>
      <c r="E2998" s="1"/>
      <c r="F2998" s="1">
        <f ca="1">IFERROR(__xludf.DUMMYFUNCTION("""COMPUTED_VALUE"""),1997)</f>
        <v>1997</v>
      </c>
      <c r="G2998" s="1">
        <f ca="1">IFERROR(__xludf.DUMMYFUNCTION("""COMPUTED_VALUE"""),1891)</f>
        <v>1891</v>
      </c>
      <c r="H2998" s="1" t="str">
        <f ca="1">IFERROR(__xludf.DUMMYFUNCTION("""COMPUTED_VALUE"""),"MTLSZ001891A10")</f>
        <v>MTLSZ001891A10</v>
      </c>
      <c r="I2998" s="2">
        <f ca="1">IFERROR(__xludf.DUMMYFUNCTION("""COMPUTED_VALUE"""),40540)</f>
        <v>40540</v>
      </c>
      <c r="J2998" s="2">
        <f ca="1">IFERROR(__xludf.DUMMYFUNCTION("""COMPUTED_VALUE"""),40904)</f>
        <v>40904</v>
      </c>
    </row>
    <row r="2999" spans="1:10" x14ac:dyDescent="0.25">
      <c r="A2999" s="1" t="str">
        <f ca="1">IFERROR(__xludf.DUMMYFUNCTION("""COMPUTED_VALUE"""),"Veszprémi Sasok BC")</f>
        <v>Veszprémi Sasok BC</v>
      </c>
      <c r="B2999" s="1" t="str">
        <f ca="1">IFERROR(__xludf.DUMMYFUNCTION("""COMPUTED_VALUE"""),"Andreas Johansson")</f>
        <v>Andreas Johansson</v>
      </c>
      <c r="C2999" s="1"/>
      <c r="D2999" s="1" t="str">
        <f ca="1">IFERROR(__xludf.DUMMYFUNCTION("""COMPUTED_VALUE"""),"Férfi")</f>
        <v>Férfi</v>
      </c>
      <c r="E2999" s="1"/>
      <c r="F2999" s="1">
        <f ca="1">IFERROR(__xludf.DUMMYFUNCTION("""COMPUTED_VALUE"""),1981)</f>
        <v>1981</v>
      </c>
      <c r="G2999" s="1">
        <f ca="1">IFERROR(__xludf.DUMMYFUNCTION("""COMPUTED_VALUE"""),1996)</f>
        <v>1996</v>
      </c>
      <c r="H2999" s="1" t="str">
        <f ca="1">IFERROR(__xludf.DUMMYFUNCTION("""COMPUTED_VALUE"""),"MTLSZ001996A10")</f>
        <v>MTLSZ001996A10</v>
      </c>
      <c r="I2999" s="2">
        <f ca="1">IFERROR(__xludf.DUMMYFUNCTION("""COMPUTED_VALUE"""),40540)</f>
        <v>40540</v>
      </c>
      <c r="J2999" s="2">
        <f ca="1">IFERROR(__xludf.DUMMYFUNCTION("""COMPUTED_VALUE"""),40904)</f>
        <v>40904</v>
      </c>
    </row>
    <row r="3000" spans="1:10" x14ac:dyDescent="0.25">
      <c r="A3000" s="1" t="str">
        <f ca="1">IFERROR(__xludf.DUMMYFUNCTION("""COMPUTED_VALUE"""),"Veszprémi Sasok BC")</f>
        <v>Veszprémi Sasok BC</v>
      </c>
      <c r="B3000" s="1" t="str">
        <f ca="1">IFERROR(__xludf.DUMMYFUNCTION("""COMPUTED_VALUE"""),"Auer Melinda")</f>
        <v>Auer Melinda</v>
      </c>
      <c r="C3000" s="1"/>
      <c r="D3000" s="1" t="str">
        <f ca="1">IFERROR(__xludf.DUMMYFUNCTION("""COMPUTED_VALUE"""),"Nő")</f>
        <v>Nő</v>
      </c>
      <c r="E3000" s="1"/>
      <c r="F3000" s="1">
        <f ca="1">IFERROR(__xludf.DUMMYFUNCTION("""COMPUTED_VALUE"""),1985)</f>
        <v>1985</v>
      </c>
      <c r="G3000" s="1">
        <f ca="1">IFERROR(__xludf.DUMMYFUNCTION("""COMPUTED_VALUE"""),21)</f>
        <v>21</v>
      </c>
      <c r="H3000" s="1" t="str">
        <f ca="1">IFERROR(__xludf.DUMMYFUNCTION("""COMPUTED_VALUE"""),"MTLSZ000021A10")</f>
        <v>MTLSZ000021A10</v>
      </c>
      <c r="I3000" s="2">
        <f ca="1">IFERROR(__xludf.DUMMYFUNCTION("""COMPUTED_VALUE"""),40540)</f>
        <v>40540</v>
      </c>
      <c r="J3000" s="2">
        <f ca="1">IFERROR(__xludf.DUMMYFUNCTION("""COMPUTED_VALUE"""),40904)</f>
        <v>40904</v>
      </c>
    </row>
    <row r="3001" spans="1:10" x14ac:dyDescent="0.25">
      <c r="A3001" s="1" t="str">
        <f ca="1">IFERROR(__xludf.DUMMYFUNCTION("""COMPUTED_VALUE"""),"Veszprémi Sasok BC")</f>
        <v>Veszprémi Sasok BC</v>
      </c>
      <c r="B3001" s="1" t="str">
        <f ca="1">IFERROR(__xludf.DUMMYFUNCTION("""COMPUTED_VALUE"""),"Bálint Norbert")</f>
        <v>Bálint Norbert</v>
      </c>
      <c r="C3001" s="1"/>
      <c r="D3001" s="1" t="str">
        <f ca="1">IFERROR(__xludf.DUMMYFUNCTION("""COMPUTED_VALUE"""),"Férfi")</f>
        <v>Férfi</v>
      </c>
      <c r="E3001" s="1"/>
      <c r="F3001" s="1">
        <f ca="1">IFERROR(__xludf.DUMMYFUNCTION("""COMPUTED_VALUE"""),1973)</f>
        <v>1973</v>
      </c>
      <c r="G3001" s="1">
        <f ca="1">IFERROR(__xludf.DUMMYFUNCTION("""COMPUTED_VALUE"""),32)</f>
        <v>32</v>
      </c>
      <c r="H3001" s="1" t="str">
        <f ca="1">IFERROR(__xludf.DUMMYFUNCTION("""COMPUTED_VALUE"""),"MTLSZ000032A10")</f>
        <v>MTLSZ000032A10</v>
      </c>
      <c r="I3001" s="2">
        <f ca="1">IFERROR(__xludf.DUMMYFUNCTION("""COMPUTED_VALUE"""),40540)</f>
        <v>40540</v>
      </c>
      <c r="J3001" s="2">
        <f ca="1">IFERROR(__xludf.DUMMYFUNCTION("""COMPUTED_VALUE"""),40904)</f>
        <v>40904</v>
      </c>
    </row>
    <row r="3002" spans="1:10" x14ac:dyDescent="0.25">
      <c r="A3002" s="1" t="str">
        <f ca="1">IFERROR(__xludf.DUMMYFUNCTION("""COMPUTED_VALUE"""),"Veszprémi Sasok BC")</f>
        <v>Veszprémi Sasok BC</v>
      </c>
      <c r="B3002" s="1" t="str">
        <f ca="1">IFERROR(__xludf.DUMMYFUNCTION("""COMPUTED_VALUE"""),"Balog Tamás")</f>
        <v>Balog Tamás</v>
      </c>
      <c r="C3002" s="1"/>
      <c r="D3002" s="1" t="str">
        <f ca="1">IFERROR(__xludf.DUMMYFUNCTION("""COMPUTED_VALUE"""),"Férfi")</f>
        <v>Férfi</v>
      </c>
      <c r="E3002" s="1"/>
      <c r="F3002" s="1">
        <f ca="1">IFERROR(__xludf.DUMMYFUNCTION("""COMPUTED_VALUE"""),1986)</f>
        <v>1986</v>
      </c>
      <c r="G3002" s="1">
        <f ca="1">IFERROR(__xludf.DUMMYFUNCTION("""COMPUTED_VALUE"""),40)</f>
        <v>40</v>
      </c>
      <c r="H3002" s="1" t="str">
        <f ca="1">IFERROR(__xludf.DUMMYFUNCTION("""COMPUTED_VALUE"""),"MTLSZ000040A10")</f>
        <v>MTLSZ000040A10</v>
      </c>
      <c r="I3002" s="2">
        <f ca="1">IFERROR(__xludf.DUMMYFUNCTION("""COMPUTED_VALUE"""),40540)</f>
        <v>40540</v>
      </c>
      <c r="J3002" s="2">
        <f ca="1">IFERROR(__xludf.DUMMYFUNCTION("""COMPUTED_VALUE"""),40904)</f>
        <v>40904</v>
      </c>
    </row>
    <row r="3003" spans="1:10" x14ac:dyDescent="0.25">
      <c r="A3003" s="1" t="str">
        <f ca="1">IFERROR(__xludf.DUMMYFUNCTION("""COMPUTED_VALUE"""),"Veszprémi Sasok BC")</f>
        <v>Veszprémi Sasok BC</v>
      </c>
      <c r="B3003" s="1" t="str">
        <f ca="1">IFERROR(__xludf.DUMMYFUNCTION("""COMPUTED_VALUE"""),"Barics Tamás")</f>
        <v>Barics Tamás</v>
      </c>
      <c r="C3003" s="1"/>
      <c r="D3003" s="1" t="str">
        <f ca="1">IFERROR(__xludf.DUMMYFUNCTION("""COMPUTED_VALUE"""),"Férfi")</f>
        <v>Férfi</v>
      </c>
      <c r="E3003" s="1"/>
      <c r="F3003" s="1">
        <f ca="1">IFERROR(__xludf.DUMMYFUNCTION("""COMPUTED_VALUE"""),1979)</f>
        <v>1979</v>
      </c>
      <c r="G3003" s="1">
        <f ca="1">IFERROR(__xludf.DUMMYFUNCTION("""COMPUTED_VALUE"""),2082)</f>
        <v>2082</v>
      </c>
      <c r="H3003" s="1" t="str">
        <f ca="1">IFERROR(__xludf.DUMMYFUNCTION("""COMPUTED_VALUE"""),"MTLSZ002082A10")</f>
        <v>MTLSZ002082A10</v>
      </c>
      <c r="I3003" s="2">
        <f ca="1">IFERROR(__xludf.DUMMYFUNCTION("""COMPUTED_VALUE"""),40540)</f>
        <v>40540</v>
      </c>
      <c r="J3003" s="2">
        <f ca="1">IFERROR(__xludf.DUMMYFUNCTION("""COMPUTED_VALUE"""),40904)</f>
        <v>40904</v>
      </c>
    </row>
    <row r="3004" spans="1:10" x14ac:dyDescent="0.25">
      <c r="A3004" s="1" t="str">
        <f ca="1">IFERROR(__xludf.DUMMYFUNCTION("""COMPUTED_VALUE"""),"Veszprémi Sasok BC")</f>
        <v>Veszprémi Sasok BC</v>
      </c>
      <c r="B3004" s="1" t="str">
        <f ca="1">IFERROR(__xludf.DUMMYFUNCTION("""COMPUTED_VALUE"""),"Bognár Csilla 88")</f>
        <v>Bognár Csilla 88</v>
      </c>
      <c r="C3004" s="1"/>
      <c r="D3004" s="1" t="str">
        <f ca="1">IFERROR(__xludf.DUMMYFUNCTION("""COMPUTED_VALUE"""),"Nő")</f>
        <v>Nő</v>
      </c>
      <c r="E3004" s="1"/>
      <c r="F3004" s="1">
        <f ca="1">IFERROR(__xludf.DUMMYFUNCTION("""COMPUTED_VALUE"""),1988)</f>
        <v>1988</v>
      </c>
      <c r="G3004" s="1">
        <f ca="1">IFERROR(__xludf.DUMMYFUNCTION("""COMPUTED_VALUE"""),97)</f>
        <v>97</v>
      </c>
      <c r="H3004" s="1" t="str">
        <f ca="1">IFERROR(__xludf.DUMMYFUNCTION("""COMPUTED_VALUE"""),"MTLSZ000097A10")</f>
        <v>MTLSZ000097A10</v>
      </c>
      <c r="I3004" s="2">
        <f ca="1">IFERROR(__xludf.DUMMYFUNCTION("""COMPUTED_VALUE"""),40540)</f>
        <v>40540</v>
      </c>
      <c r="J3004" s="2">
        <f ca="1">IFERROR(__xludf.DUMMYFUNCTION("""COMPUTED_VALUE"""),40904)</f>
        <v>40904</v>
      </c>
    </row>
    <row r="3005" spans="1:10" x14ac:dyDescent="0.25">
      <c r="A3005" s="1" t="str">
        <f ca="1">IFERROR(__xludf.DUMMYFUNCTION("""COMPUTED_VALUE"""),"Veszprémi Sasok BC")</f>
        <v>Veszprémi Sasok BC</v>
      </c>
      <c r="B3005" s="1" t="str">
        <f ca="1">IFERROR(__xludf.DUMMYFUNCTION("""COMPUTED_VALUE"""),"Bognár Tamás")</f>
        <v>Bognár Tamás</v>
      </c>
      <c r="C3005" s="1"/>
      <c r="D3005" s="1" t="str">
        <f ca="1">IFERROR(__xludf.DUMMYFUNCTION("""COMPUTED_VALUE"""),"Férfi")</f>
        <v>Férfi</v>
      </c>
      <c r="E3005" s="1"/>
      <c r="F3005" s="1">
        <f ca="1">IFERROR(__xludf.DUMMYFUNCTION("""COMPUTED_VALUE"""),1986)</f>
        <v>1986</v>
      </c>
      <c r="G3005" s="1">
        <f ca="1">IFERROR(__xludf.DUMMYFUNCTION("""COMPUTED_VALUE"""),98)</f>
        <v>98</v>
      </c>
      <c r="H3005" s="1" t="str">
        <f ca="1">IFERROR(__xludf.DUMMYFUNCTION("""COMPUTED_VALUE"""),"MTLSZ000098A10")</f>
        <v>MTLSZ000098A10</v>
      </c>
      <c r="I3005" s="2">
        <f ca="1">IFERROR(__xludf.DUMMYFUNCTION("""COMPUTED_VALUE"""),40540)</f>
        <v>40540</v>
      </c>
      <c r="J3005" s="2">
        <f ca="1">IFERROR(__xludf.DUMMYFUNCTION("""COMPUTED_VALUE"""),40904)</f>
        <v>40904</v>
      </c>
    </row>
    <row r="3006" spans="1:10" x14ac:dyDescent="0.25">
      <c r="A3006" s="1" t="str">
        <f ca="1">IFERROR(__xludf.DUMMYFUNCTION("""COMPUTED_VALUE"""),"Veszprémi Sasok BC")</f>
        <v>Veszprémi Sasok BC</v>
      </c>
      <c r="B3006" s="1" t="str">
        <f ca="1">IFERROR(__xludf.DUMMYFUNCTION("""COMPUTED_VALUE"""),"Borbély Krisztián")</f>
        <v>Borbély Krisztián</v>
      </c>
      <c r="C3006" s="1"/>
      <c r="D3006" s="1" t="str">
        <f ca="1">IFERROR(__xludf.DUMMYFUNCTION("""COMPUTED_VALUE"""),"Férfi")</f>
        <v>Férfi</v>
      </c>
      <c r="E3006" s="1"/>
      <c r="F3006" s="1">
        <f ca="1">IFERROR(__xludf.DUMMYFUNCTION("""COMPUTED_VALUE"""),1974)</f>
        <v>1974</v>
      </c>
      <c r="G3006" s="1">
        <f ca="1">IFERROR(__xludf.DUMMYFUNCTION("""COMPUTED_VALUE"""),101)</f>
        <v>101</v>
      </c>
      <c r="H3006" s="1" t="str">
        <f ca="1">IFERROR(__xludf.DUMMYFUNCTION("""COMPUTED_VALUE"""),"MTLSZ000101A10")</f>
        <v>MTLSZ000101A10</v>
      </c>
      <c r="I3006" s="2">
        <f ca="1">IFERROR(__xludf.DUMMYFUNCTION("""COMPUTED_VALUE"""),40540)</f>
        <v>40540</v>
      </c>
      <c r="J3006" s="2">
        <f ca="1">IFERROR(__xludf.DUMMYFUNCTION("""COMPUTED_VALUE"""),40904)</f>
        <v>40904</v>
      </c>
    </row>
    <row r="3007" spans="1:10" x14ac:dyDescent="0.25">
      <c r="A3007" s="1" t="str">
        <f ca="1">IFERROR(__xludf.DUMMYFUNCTION("""COMPUTED_VALUE"""),"Veszprémi Sasok BC")</f>
        <v>Veszprémi Sasok BC</v>
      </c>
      <c r="B3007" s="1" t="str">
        <f ca="1">IFERROR(__xludf.DUMMYFUNCTION("""COMPUTED_VALUE"""),"Csekes Dusán")</f>
        <v>Csekes Dusán</v>
      </c>
      <c r="C3007" s="1"/>
      <c r="D3007" s="1" t="str">
        <f ca="1">IFERROR(__xludf.DUMMYFUNCTION("""COMPUTED_VALUE"""),"Férfi")</f>
        <v>Férfi</v>
      </c>
      <c r="E3007" s="1"/>
      <c r="F3007" s="1">
        <f ca="1">IFERROR(__xludf.DUMMYFUNCTION("""COMPUTED_VALUE"""),1970)</f>
        <v>1970</v>
      </c>
      <c r="G3007" s="1">
        <f ca="1">IFERROR(__xludf.DUMMYFUNCTION("""COMPUTED_VALUE"""),2081)</f>
        <v>2081</v>
      </c>
      <c r="H3007" s="1" t="str">
        <f ca="1">IFERROR(__xludf.DUMMYFUNCTION("""COMPUTED_VALUE"""),"MTLSZ002081A10")</f>
        <v>MTLSZ002081A10</v>
      </c>
      <c r="I3007" s="2">
        <f ca="1">IFERROR(__xludf.DUMMYFUNCTION("""COMPUTED_VALUE"""),40540)</f>
        <v>40540</v>
      </c>
      <c r="J3007" s="2">
        <f ca="1">IFERROR(__xludf.DUMMYFUNCTION("""COMPUTED_VALUE"""),40904)</f>
        <v>40904</v>
      </c>
    </row>
    <row r="3008" spans="1:10" x14ac:dyDescent="0.25">
      <c r="A3008" s="1" t="str">
        <f ca="1">IFERROR(__xludf.DUMMYFUNCTION("""COMPUTED_VALUE"""),"Veszprémi Sasok BC")</f>
        <v>Veszprémi Sasok BC</v>
      </c>
      <c r="B3008" s="1" t="str">
        <f ca="1">IFERROR(__xludf.DUMMYFUNCTION("""COMPUTED_VALUE"""),"Gugolya Barbara")</f>
        <v>Gugolya Barbara</v>
      </c>
      <c r="C3008" s="1"/>
      <c r="D3008" s="1" t="str">
        <f ca="1">IFERROR(__xludf.DUMMYFUNCTION("""COMPUTED_VALUE"""),"Nő")</f>
        <v>Nő</v>
      </c>
      <c r="E3008" s="1"/>
      <c r="F3008" s="1">
        <f ca="1">IFERROR(__xludf.DUMMYFUNCTION("""COMPUTED_VALUE"""),1969)</f>
        <v>1969</v>
      </c>
      <c r="G3008" s="1">
        <f ca="1">IFERROR(__xludf.DUMMYFUNCTION("""COMPUTED_VALUE"""),309)</f>
        <v>309</v>
      </c>
      <c r="H3008" s="1" t="str">
        <f ca="1">IFERROR(__xludf.DUMMYFUNCTION("""COMPUTED_VALUE"""),"MTLSZ000309A10")</f>
        <v>MTLSZ000309A10</v>
      </c>
      <c r="I3008" s="2">
        <f ca="1">IFERROR(__xludf.DUMMYFUNCTION("""COMPUTED_VALUE"""),40540)</f>
        <v>40540</v>
      </c>
      <c r="J3008" s="2">
        <f ca="1">IFERROR(__xludf.DUMMYFUNCTION("""COMPUTED_VALUE"""),40904)</f>
        <v>40904</v>
      </c>
    </row>
    <row r="3009" spans="1:10" x14ac:dyDescent="0.25">
      <c r="A3009" s="1" t="str">
        <f ca="1">IFERROR(__xludf.DUMMYFUNCTION("""COMPUTED_VALUE"""),"Veszprémi Sasok BC")</f>
        <v>Veszprémi Sasok BC</v>
      </c>
      <c r="B3009" s="1" t="str">
        <f ca="1">IFERROR(__xludf.DUMMYFUNCTION("""COMPUTED_VALUE"""),"Gugolya Zoltán")</f>
        <v>Gugolya Zoltán</v>
      </c>
      <c r="C3009" s="1"/>
      <c r="D3009" s="1" t="str">
        <f ca="1">IFERROR(__xludf.DUMMYFUNCTION("""COMPUTED_VALUE"""),"Férfi")</f>
        <v>Férfi</v>
      </c>
      <c r="E3009" s="1"/>
      <c r="F3009" s="1">
        <f ca="1">IFERROR(__xludf.DUMMYFUNCTION("""COMPUTED_VALUE"""),1965)</f>
        <v>1965</v>
      </c>
      <c r="G3009" s="1">
        <f ca="1">IFERROR(__xludf.DUMMYFUNCTION("""COMPUTED_VALUE"""),310)</f>
        <v>310</v>
      </c>
      <c r="H3009" s="1" t="str">
        <f ca="1">IFERROR(__xludf.DUMMYFUNCTION("""COMPUTED_VALUE"""),"MTLSZ000310A10")</f>
        <v>MTLSZ000310A10</v>
      </c>
      <c r="I3009" s="2">
        <f ca="1">IFERROR(__xludf.DUMMYFUNCTION("""COMPUTED_VALUE"""),40540)</f>
        <v>40540</v>
      </c>
      <c r="J3009" s="2">
        <f ca="1">IFERROR(__xludf.DUMMYFUNCTION("""COMPUTED_VALUE"""),40904)</f>
        <v>40904</v>
      </c>
    </row>
    <row r="3010" spans="1:10" x14ac:dyDescent="0.25">
      <c r="A3010" s="1" t="str">
        <f ca="1">IFERROR(__xludf.DUMMYFUNCTION("""COMPUTED_VALUE"""),"Veszprémi Sasok BC")</f>
        <v>Veszprémi Sasok BC</v>
      </c>
      <c r="B3010" s="1" t="str">
        <f ca="1">IFERROR(__xludf.DUMMYFUNCTION("""COMPUTED_VALUE"""),"Kaczur Brigitta")</f>
        <v>Kaczur Brigitta</v>
      </c>
      <c r="C3010" s="1"/>
      <c r="D3010" s="1" t="str">
        <f ca="1">IFERROR(__xludf.DUMMYFUNCTION("""COMPUTED_VALUE"""),"Nő")</f>
        <v>Nő</v>
      </c>
      <c r="E3010" s="1"/>
      <c r="F3010" s="1">
        <f ca="1">IFERROR(__xludf.DUMMYFUNCTION("""COMPUTED_VALUE"""),1987)</f>
        <v>1987</v>
      </c>
      <c r="G3010" s="1">
        <f ca="1">IFERROR(__xludf.DUMMYFUNCTION("""COMPUTED_VALUE"""),418)</f>
        <v>418</v>
      </c>
      <c r="H3010" s="1" t="str">
        <f ca="1">IFERROR(__xludf.DUMMYFUNCTION("""COMPUTED_VALUE"""),"MTLSZ000418A10")</f>
        <v>MTLSZ000418A10</v>
      </c>
      <c r="I3010" s="2">
        <f ca="1">IFERROR(__xludf.DUMMYFUNCTION("""COMPUTED_VALUE"""),40540)</f>
        <v>40540</v>
      </c>
      <c r="J3010" s="2">
        <f ca="1">IFERROR(__xludf.DUMMYFUNCTION("""COMPUTED_VALUE"""),40904)</f>
        <v>40904</v>
      </c>
    </row>
    <row r="3011" spans="1:10" x14ac:dyDescent="0.25">
      <c r="A3011" s="1" t="str">
        <f ca="1">IFERROR(__xludf.DUMMYFUNCTION("""COMPUTED_VALUE"""),"Veszprémi Sasok BC")</f>
        <v>Veszprémi Sasok BC</v>
      </c>
      <c r="B3011" s="1" t="str">
        <f ca="1">IFERROR(__xludf.DUMMYFUNCTION("""COMPUTED_VALUE"""),"Karol Fil")</f>
        <v>Karol Fil</v>
      </c>
      <c r="C3011" s="1"/>
      <c r="D3011" s="1" t="str">
        <f ca="1">IFERROR(__xludf.DUMMYFUNCTION("""COMPUTED_VALUE"""),"Férfi")</f>
        <v>Férfi</v>
      </c>
      <c r="E3011" s="1"/>
      <c r="F3011" s="1">
        <f ca="1">IFERROR(__xludf.DUMMYFUNCTION("""COMPUTED_VALUE"""),1980)</f>
        <v>1980</v>
      </c>
      <c r="G3011" s="1">
        <f ca="1">IFERROR(__xludf.DUMMYFUNCTION("""COMPUTED_VALUE"""),1994)</f>
        <v>1994</v>
      </c>
      <c r="H3011" s="1" t="str">
        <f ca="1">IFERROR(__xludf.DUMMYFUNCTION("""COMPUTED_VALUE"""),"MTLSZ001994A10")</f>
        <v>MTLSZ001994A10</v>
      </c>
      <c r="I3011" s="2">
        <f ca="1">IFERROR(__xludf.DUMMYFUNCTION("""COMPUTED_VALUE"""),40540)</f>
        <v>40540</v>
      </c>
      <c r="J3011" s="2">
        <f ca="1">IFERROR(__xludf.DUMMYFUNCTION("""COMPUTED_VALUE"""),40904)</f>
        <v>40904</v>
      </c>
    </row>
    <row r="3012" spans="1:10" x14ac:dyDescent="0.25">
      <c r="A3012" s="1" t="str">
        <f ca="1">IFERROR(__xludf.DUMMYFUNCTION("""COMPUTED_VALUE"""),"Veszprémi Sasok BC")</f>
        <v>Veszprémi Sasok BC</v>
      </c>
      <c r="B3012" s="1" t="str">
        <f ca="1">IFERROR(__xludf.DUMMYFUNCTION("""COMPUTED_VALUE"""),"Kelemen Ágnes")</f>
        <v>Kelemen Ágnes</v>
      </c>
      <c r="C3012" s="1"/>
      <c r="D3012" s="1" t="str">
        <f ca="1">IFERROR(__xludf.DUMMYFUNCTION("""COMPUTED_VALUE"""),"Nő")</f>
        <v>Nő</v>
      </c>
      <c r="E3012" s="1"/>
      <c r="F3012" s="1">
        <f ca="1">IFERROR(__xludf.DUMMYFUNCTION("""COMPUTED_VALUE"""),1987)</f>
        <v>1987</v>
      </c>
      <c r="G3012" s="1">
        <f ca="1">IFERROR(__xludf.DUMMYFUNCTION("""COMPUTED_VALUE"""),450)</f>
        <v>450</v>
      </c>
      <c r="H3012" s="1" t="str">
        <f ca="1">IFERROR(__xludf.DUMMYFUNCTION("""COMPUTED_VALUE"""),"MTLSZ000450A10")</f>
        <v>MTLSZ000450A10</v>
      </c>
      <c r="I3012" s="2">
        <f ca="1">IFERROR(__xludf.DUMMYFUNCTION("""COMPUTED_VALUE"""),40540)</f>
        <v>40540</v>
      </c>
      <c r="J3012" s="2">
        <f ca="1">IFERROR(__xludf.DUMMYFUNCTION("""COMPUTED_VALUE"""),40904)</f>
        <v>40904</v>
      </c>
    </row>
    <row r="3013" spans="1:10" x14ac:dyDescent="0.25">
      <c r="A3013" s="1" t="str">
        <f ca="1">IFERROR(__xludf.DUMMYFUNCTION("""COMPUTED_VALUE"""),"Veszprémi Sasok BC")</f>
        <v>Veszprémi Sasok BC</v>
      </c>
      <c r="B3013" s="1" t="str">
        <f ca="1">IFERROR(__xludf.DUMMYFUNCTION("""COMPUTED_VALUE"""),"Keul Andrea")</f>
        <v>Keul Andrea</v>
      </c>
      <c r="C3013" s="1"/>
      <c r="D3013" s="1" t="str">
        <f ca="1">IFERROR(__xludf.DUMMYFUNCTION("""COMPUTED_VALUE"""),"Nő")</f>
        <v>Nő</v>
      </c>
      <c r="E3013" s="1"/>
      <c r="F3013" s="1">
        <f ca="1">IFERROR(__xludf.DUMMYFUNCTION("""COMPUTED_VALUE"""),1966)</f>
        <v>1966</v>
      </c>
      <c r="G3013" s="1">
        <f ca="1">IFERROR(__xludf.DUMMYFUNCTION("""COMPUTED_VALUE"""),465)</f>
        <v>465</v>
      </c>
      <c r="H3013" s="1" t="str">
        <f ca="1">IFERROR(__xludf.DUMMYFUNCTION("""COMPUTED_VALUE"""),"MTLSZ000465A10")</f>
        <v>MTLSZ000465A10</v>
      </c>
      <c r="I3013" s="2">
        <f ca="1">IFERROR(__xludf.DUMMYFUNCTION("""COMPUTED_VALUE"""),40540)</f>
        <v>40540</v>
      </c>
      <c r="J3013" s="2">
        <f ca="1">IFERROR(__xludf.DUMMYFUNCTION("""COMPUTED_VALUE"""),40904)</f>
        <v>40904</v>
      </c>
    </row>
    <row r="3014" spans="1:10" x14ac:dyDescent="0.25">
      <c r="A3014" s="1" t="str">
        <f ca="1">IFERROR(__xludf.DUMMYFUNCTION("""COMPUTED_VALUE"""),"Veszprémi Sasok BC")</f>
        <v>Veszprémi Sasok BC</v>
      </c>
      <c r="B3014" s="1" t="str">
        <f ca="1">IFERROR(__xludf.DUMMYFUNCTION("""COMPUTED_VALUE"""),"Labanc Balázs")</f>
        <v>Labanc Balázs</v>
      </c>
      <c r="C3014" s="1"/>
      <c r="D3014" s="1" t="str">
        <f ca="1">IFERROR(__xludf.DUMMYFUNCTION("""COMPUTED_VALUE"""),"Férfi")</f>
        <v>Férfi</v>
      </c>
      <c r="E3014" s="1"/>
      <c r="F3014" s="1">
        <f ca="1">IFERROR(__xludf.DUMMYFUNCTION("""COMPUTED_VALUE"""),1986)</f>
        <v>1986</v>
      </c>
      <c r="G3014" s="1">
        <f ca="1">IFERROR(__xludf.DUMMYFUNCTION("""COMPUTED_VALUE"""),560)</f>
        <v>560</v>
      </c>
      <c r="H3014" s="1" t="str">
        <f ca="1">IFERROR(__xludf.DUMMYFUNCTION("""COMPUTED_VALUE"""),"MTLSZ000560A10")</f>
        <v>MTLSZ000560A10</v>
      </c>
      <c r="I3014" s="2">
        <f ca="1">IFERROR(__xludf.DUMMYFUNCTION("""COMPUTED_VALUE"""),40540)</f>
        <v>40540</v>
      </c>
      <c r="J3014" s="2">
        <f ca="1">IFERROR(__xludf.DUMMYFUNCTION("""COMPUTED_VALUE"""),40904)</f>
        <v>40904</v>
      </c>
    </row>
    <row r="3015" spans="1:10" x14ac:dyDescent="0.25">
      <c r="A3015" s="1" t="str">
        <f ca="1">IFERROR(__xludf.DUMMYFUNCTION("""COMPUTED_VALUE"""),"Veszprémi Sasok BC")</f>
        <v>Veszprémi Sasok BC</v>
      </c>
      <c r="B3015" s="1" t="str">
        <f ca="1">IFERROR(__xludf.DUMMYFUNCTION("""COMPUTED_VALUE"""),"Lang Károly")</f>
        <v>Lang Károly</v>
      </c>
      <c r="C3015" s="1"/>
      <c r="D3015" s="1" t="str">
        <f ca="1">IFERROR(__xludf.DUMMYFUNCTION("""COMPUTED_VALUE"""),"Férfi")</f>
        <v>Férfi</v>
      </c>
      <c r="E3015" s="1"/>
      <c r="F3015" s="1">
        <f ca="1">IFERROR(__xludf.DUMMYFUNCTION("""COMPUTED_VALUE"""),1975)</f>
        <v>1975</v>
      </c>
      <c r="G3015" s="1">
        <f ca="1">IFERROR(__xludf.DUMMYFUNCTION("""COMPUTED_VALUE"""),570)</f>
        <v>570</v>
      </c>
      <c r="H3015" s="1" t="str">
        <f ca="1">IFERROR(__xludf.DUMMYFUNCTION("""COMPUTED_VALUE"""),"MTLSZ000570A10")</f>
        <v>MTLSZ000570A10</v>
      </c>
      <c r="I3015" s="2">
        <f ca="1">IFERROR(__xludf.DUMMYFUNCTION("""COMPUTED_VALUE"""),40540)</f>
        <v>40540</v>
      </c>
      <c r="J3015" s="2">
        <f ca="1">IFERROR(__xludf.DUMMYFUNCTION("""COMPUTED_VALUE"""),40904)</f>
        <v>40904</v>
      </c>
    </row>
    <row r="3016" spans="1:10" x14ac:dyDescent="0.25">
      <c r="A3016" s="1" t="str">
        <f ca="1">IFERROR(__xludf.DUMMYFUNCTION("""COMPUTED_VALUE"""),"Veszprémi Sasok BC")</f>
        <v>Veszprémi Sasok BC</v>
      </c>
      <c r="B3016" s="1" t="str">
        <f ca="1">IFERROR(__xludf.DUMMYFUNCTION("""COMPUTED_VALUE"""),"Laskó Gábor")</f>
        <v>Laskó Gábor</v>
      </c>
      <c r="C3016" s="1"/>
      <c r="D3016" s="1" t="str">
        <f ca="1">IFERROR(__xludf.DUMMYFUNCTION("""COMPUTED_VALUE"""),"Férfi")</f>
        <v>Férfi</v>
      </c>
      <c r="E3016" s="1"/>
      <c r="F3016" s="1">
        <f ca="1">IFERROR(__xludf.DUMMYFUNCTION("""COMPUTED_VALUE"""),1984)</f>
        <v>1984</v>
      </c>
      <c r="G3016" s="1">
        <f ca="1">IFERROR(__xludf.DUMMYFUNCTION("""COMPUTED_VALUE"""),572)</f>
        <v>572</v>
      </c>
      <c r="H3016" s="1" t="str">
        <f ca="1">IFERROR(__xludf.DUMMYFUNCTION("""COMPUTED_VALUE"""),"MTLSZ000572A10")</f>
        <v>MTLSZ000572A10</v>
      </c>
      <c r="I3016" s="2">
        <f ca="1">IFERROR(__xludf.DUMMYFUNCTION("""COMPUTED_VALUE"""),40540)</f>
        <v>40540</v>
      </c>
      <c r="J3016" s="2">
        <f ca="1">IFERROR(__xludf.DUMMYFUNCTION("""COMPUTED_VALUE"""),40904)</f>
        <v>40904</v>
      </c>
    </row>
    <row r="3017" spans="1:10" x14ac:dyDescent="0.25">
      <c r="A3017" s="1" t="str">
        <f ca="1">IFERROR(__xludf.DUMMYFUNCTION("""COMPUTED_VALUE"""),"Veszprémi Sasok BC")</f>
        <v>Veszprémi Sasok BC</v>
      </c>
      <c r="B3017" s="1" t="str">
        <f ca="1">IFERROR(__xludf.DUMMYFUNCTION("""COMPUTED_VALUE"""),"Lázár Adrienn")</f>
        <v>Lázár Adrienn</v>
      </c>
      <c r="C3017" s="1"/>
      <c r="D3017" s="1" t="str">
        <f ca="1">IFERROR(__xludf.DUMMYFUNCTION("""COMPUTED_VALUE"""),"Nő")</f>
        <v>Nő</v>
      </c>
      <c r="E3017" s="1"/>
      <c r="F3017" s="1">
        <f ca="1">IFERROR(__xludf.DUMMYFUNCTION("""COMPUTED_VALUE"""),1972)</f>
        <v>1972</v>
      </c>
      <c r="G3017" s="1">
        <f ca="1">IFERROR(__xludf.DUMMYFUNCTION("""COMPUTED_VALUE"""),578)</f>
        <v>578</v>
      </c>
      <c r="H3017" s="1" t="str">
        <f ca="1">IFERROR(__xludf.DUMMYFUNCTION("""COMPUTED_VALUE"""),"MTLSZ000578A10")</f>
        <v>MTLSZ000578A10</v>
      </c>
      <c r="I3017" s="2">
        <f ca="1">IFERROR(__xludf.DUMMYFUNCTION("""COMPUTED_VALUE"""),40540)</f>
        <v>40540</v>
      </c>
      <c r="J3017" s="2">
        <f ca="1">IFERROR(__xludf.DUMMYFUNCTION("""COMPUTED_VALUE"""),40904)</f>
        <v>40904</v>
      </c>
    </row>
    <row r="3018" spans="1:10" x14ac:dyDescent="0.25">
      <c r="A3018" s="1" t="str">
        <f ca="1">IFERROR(__xludf.DUMMYFUNCTION("""COMPUTED_VALUE"""),"Veszprémi Sasok BC")</f>
        <v>Veszprémi Sasok BC</v>
      </c>
      <c r="B3018" s="1" t="str">
        <f ca="1">IFERROR(__xludf.DUMMYFUNCTION("""COMPUTED_VALUE"""),"Lubos Petrovsky")</f>
        <v>Lubos Petrovsky</v>
      </c>
      <c r="C3018" s="1"/>
      <c r="D3018" s="1" t="str">
        <f ca="1">IFERROR(__xludf.DUMMYFUNCTION("""COMPUTED_VALUE"""),"Férfi")</f>
        <v>Férfi</v>
      </c>
      <c r="E3018" s="1"/>
      <c r="F3018" s="1">
        <f ca="1">IFERROR(__xludf.DUMMYFUNCTION("""COMPUTED_VALUE"""),1980)</f>
        <v>1980</v>
      </c>
      <c r="G3018" s="1">
        <f ca="1">IFERROR(__xludf.DUMMYFUNCTION("""COMPUTED_VALUE"""),1997)</f>
        <v>1997</v>
      </c>
      <c r="H3018" s="1" t="str">
        <f ca="1">IFERROR(__xludf.DUMMYFUNCTION("""COMPUTED_VALUE"""),"MTLSZ001997A10")</f>
        <v>MTLSZ001997A10</v>
      </c>
      <c r="I3018" s="2">
        <f ca="1">IFERROR(__xludf.DUMMYFUNCTION("""COMPUTED_VALUE"""),40540)</f>
        <v>40540</v>
      </c>
      <c r="J3018" s="2">
        <f ca="1">IFERROR(__xludf.DUMMYFUNCTION("""COMPUTED_VALUE"""),40904)</f>
        <v>40904</v>
      </c>
    </row>
    <row r="3019" spans="1:10" x14ac:dyDescent="0.25">
      <c r="A3019" s="1" t="str">
        <f ca="1">IFERROR(__xludf.DUMMYFUNCTION("""COMPUTED_VALUE"""),"Veszprémi Sasok BC")</f>
        <v>Veszprémi Sasok BC</v>
      </c>
      <c r="B3019" s="1" t="str">
        <f ca="1">IFERROR(__xludf.DUMMYFUNCTION("""COMPUTED_VALUE"""),"Matej Polacek")</f>
        <v>Matej Polacek</v>
      </c>
      <c r="C3019" s="1"/>
      <c r="D3019" s="1" t="str">
        <f ca="1">IFERROR(__xludf.DUMMYFUNCTION("""COMPUTED_VALUE"""),"Férfi")</f>
        <v>Férfi</v>
      </c>
      <c r="E3019" s="1"/>
      <c r="F3019" s="1">
        <f ca="1">IFERROR(__xludf.DUMMYFUNCTION("""COMPUTED_VALUE"""),1990)</f>
        <v>1990</v>
      </c>
      <c r="G3019" s="1">
        <f ca="1">IFERROR(__xludf.DUMMYFUNCTION("""COMPUTED_VALUE"""),1998)</f>
        <v>1998</v>
      </c>
      <c r="H3019" s="1" t="str">
        <f ca="1">IFERROR(__xludf.DUMMYFUNCTION("""COMPUTED_VALUE"""),"MTLSZ001998A10")</f>
        <v>MTLSZ001998A10</v>
      </c>
      <c r="I3019" s="2">
        <f ca="1">IFERROR(__xludf.DUMMYFUNCTION("""COMPUTED_VALUE"""),40540)</f>
        <v>40540</v>
      </c>
      <c r="J3019" s="2">
        <f ca="1">IFERROR(__xludf.DUMMYFUNCTION("""COMPUTED_VALUE"""),40904)</f>
        <v>40904</v>
      </c>
    </row>
    <row r="3020" spans="1:10" x14ac:dyDescent="0.25">
      <c r="A3020" s="1" t="str">
        <f ca="1">IFERROR(__xludf.DUMMYFUNCTION("""COMPUTED_VALUE"""),"Veszprémi Sasok BC")</f>
        <v>Veszprémi Sasok BC</v>
      </c>
      <c r="B3020" s="1" t="str">
        <f ca="1">IFERROR(__xludf.DUMMYFUNCTION("""COMPUTED_VALUE"""),"Matej Tomcik")</f>
        <v>Matej Tomcik</v>
      </c>
      <c r="C3020" s="1"/>
      <c r="D3020" s="1" t="str">
        <f ca="1">IFERROR(__xludf.DUMMYFUNCTION("""COMPUTED_VALUE"""),"Férfi")</f>
        <v>Férfi</v>
      </c>
      <c r="E3020" s="1"/>
      <c r="F3020" s="1">
        <f ca="1">IFERROR(__xludf.DUMMYFUNCTION("""COMPUTED_VALUE"""),1989)</f>
        <v>1989</v>
      </c>
      <c r="G3020" s="1">
        <f ca="1">IFERROR(__xludf.DUMMYFUNCTION("""COMPUTED_VALUE"""),1995)</f>
        <v>1995</v>
      </c>
      <c r="H3020" s="1" t="str">
        <f ca="1">IFERROR(__xludf.DUMMYFUNCTION("""COMPUTED_VALUE"""),"MTLSZ001995A10")</f>
        <v>MTLSZ001995A10</v>
      </c>
      <c r="I3020" s="2">
        <f ca="1">IFERROR(__xludf.DUMMYFUNCTION("""COMPUTED_VALUE"""),40540)</f>
        <v>40540</v>
      </c>
      <c r="J3020" s="2">
        <f ca="1">IFERROR(__xludf.DUMMYFUNCTION("""COMPUTED_VALUE"""),40904)</f>
        <v>40904</v>
      </c>
    </row>
    <row r="3021" spans="1:10" x14ac:dyDescent="0.25">
      <c r="A3021" s="1" t="str">
        <f ca="1">IFERROR(__xludf.DUMMYFUNCTION("""COMPUTED_VALUE"""),"Veszprémi Sasok BC")</f>
        <v>Veszprémi Sasok BC</v>
      </c>
      <c r="B3021" s="1" t="str">
        <f ca="1">IFERROR(__xludf.DUMMYFUNCTION("""COMPUTED_VALUE"""),"Nagy Hajnalka")</f>
        <v>Nagy Hajnalka</v>
      </c>
      <c r="C3021" s="1"/>
      <c r="D3021" s="1" t="str">
        <f ca="1">IFERROR(__xludf.DUMMYFUNCTION("""COMPUTED_VALUE"""),"Nő")</f>
        <v>Nő</v>
      </c>
      <c r="E3021" s="1"/>
      <c r="F3021" s="1">
        <f ca="1">IFERROR(__xludf.DUMMYFUNCTION("""COMPUTED_VALUE"""),1987)</f>
        <v>1987</v>
      </c>
      <c r="G3021" s="1">
        <f ca="1">IFERROR(__xludf.DUMMYFUNCTION("""COMPUTED_VALUE"""),683)</f>
        <v>683</v>
      </c>
      <c r="H3021" s="1" t="str">
        <f ca="1">IFERROR(__xludf.DUMMYFUNCTION("""COMPUTED_VALUE"""),"MTLSZ000683A10")</f>
        <v>MTLSZ000683A10</v>
      </c>
      <c r="I3021" s="2">
        <f ca="1">IFERROR(__xludf.DUMMYFUNCTION("""COMPUTED_VALUE"""),40540)</f>
        <v>40540</v>
      </c>
      <c r="J3021" s="2">
        <f ca="1">IFERROR(__xludf.DUMMYFUNCTION("""COMPUTED_VALUE"""),40904)</f>
        <v>40904</v>
      </c>
    </row>
    <row r="3022" spans="1:10" x14ac:dyDescent="0.25">
      <c r="A3022" s="1" t="str">
        <f ca="1">IFERROR(__xludf.DUMMYFUNCTION("""COMPUTED_VALUE"""),"Veszprémi Sasok BC")</f>
        <v>Veszprémi Sasok BC</v>
      </c>
      <c r="B3022" s="1" t="str">
        <f ca="1">IFERROR(__xludf.DUMMYFUNCTION("""COMPUTED_VALUE"""),"Nagy Zsolt")</f>
        <v>Nagy Zsolt</v>
      </c>
      <c r="C3022" s="1"/>
      <c r="D3022" s="1" t="str">
        <f ca="1">IFERROR(__xludf.DUMMYFUNCTION("""COMPUTED_VALUE"""),"Férfi")</f>
        <v>Férfi</v>
      </c>
      <c r="E3022" s="1"/>
      <c r="F3022" s="1">
        <f ca="1">IFERROR(__xludf.DUMMYFUNCTION("""COMPUTED_VALUE"""),1967)</f>
        <v>1967</v>
      </c>
      <c r="G3022" s="1">
        <f ca="1">IFERROR(__xludf.DUMMYFUNCTION("""COMPUTED_VALUE"""),698)</f>
        <v>698</v>
      </c>
      <c r="H3022" s="1" t="str">
        <f ca="1">IFERROR(__xludf.DUMMYFUNCTION("""COMPUTED_VALUE"""),"MTLSZ000698A10")</f>
        <v>MTLSZ000698A10</v>
      </c>
      <c r="I3022" s="2">
        <f ca="1">IFERROR(__xludf.DUMMYFUNCTION("""COMPUTED_VALUE"""),40540)</f>
        <v>40540</v>
      </c>
      <c r="J3022" s="2">
        <f ca="1">IFERROR(__xludf.DUMMYFUNCTION("""COMPUTED_VALUE"""),40904)</f>
        <v>40904</v>
      </c>
    </row>
    <row r="3023" spans="1:10" x14ac:dyDescent="0.25">
      <c r="A3023" s="1" t="str">
        <f ca="1">IFERROR(__xludf.DUMMYFUNCTION("""COMPUTED_VALUE"""),"Veszprémi Sasok BC")</f>
        <v>Veszprémi Sasok BC</v>
      </c>
      <c r="B3023" s="1" t="str">
        <f ca="1">IFERROR(__xludf.DUMMYFUNCTION("""COMPUTED_VALUE"""),"Spisák Annamária")</f>
        <v>Spisák Annamária</v>
      </c>
      <c r="C3023" s="1"/>
      <c r="D3023" s="1" t="str">
        <f ca="1">IFERROR(__xludf.DUMMYFUNCTION("""COMPUTED_VALUE"""),"Nő")</f>
        <v>Nő</v>
      </c>
      <c r="E3023" s="1"/>
      <c r="F3023" s="1">
        <f ca="1">IFERROR(__xludf.DUMMYFUNCTION("""COMPUTED_VALUE"""),1978)</f>
        <v>1978</v>
      </c>
      <c r="G3023" s="1">
        <f ca="1">IFERROR(__xludf.DUMMYFUNCTION("""COMPUTED_VALUE"""),869)</f>
        <v>869</v>
      </c>
      <c r="H3023" s="1" t="str">
        <f ca="1">IFERROR(__xludf.DUMMYFUNCTION("""COMPUTED_VALUE"""),"MTLSZ000869A10")</f>
        <v>MTLSZ000869A10</v>
      </c>
      <c r="I3023" s="2">
        <f ca="1">IFERROR(__xludf.DUMMYFUNCTION("""COMPUTED_VALUE"""),40540)</f>
        <v>40540</v>
      </c>
      <c r="J3023" s="2">
        <f ca="1">IFERROR(__xludf.DUMMYFUNCTION("""COMPUTED_VALUE"""),40904)</f>
        <v>40904</v>
      </c>
    </row>
    <row r="3024" spans="1:10" x14ac:dyDescent="0.25">
      <c r="A3024" s="1" t="str">
        <f ca="1">IFERROR(__xludf.DUMMYFUNCTION("""COMPUTED_VALUE"""),"Veszprémi Sasok BC")</f>
        <v>Veszprémi Sasok BC</v>
      </c>
      <c r="B3024" s="1" t="str">
        <f ca="1">IFERROR(__xludf.DUMMYFUNCTION("""COMPUTED_VALUE"""),"Szabó Róbert Zoltán")</f>
        <v>Szabó Róbert Zoltán</v>
      </c>
      <c r="C3024" s="1"/>
      <c r="D3024" s="1" t="str">
        <f ca="1">IFERROR(__xludf.DUMMYFUNCTION("""COMPUTED_VALUE"""),"Férfi")</f>
        <v>Férfi</v>
      </c>
      <c r="E3024" s="1"/>
      <c r="F3024" s="1">
        <f ca="1">IFERROR(__xludf.DUMMYFUNCTION("""COMPUTED_VALUE"""),1979)</f>
        <v>1979</v>
      </c>
      <c r="G3024" s="1">
        <f ca="1">IFERROR(__xludf.DUMMYFUNCTION("""COMPUTED_VALUE"""),901)</f>
        <v>901</v>
      </c>
      <c r="H3024" s="1" t="str">
        <f ca="1">IFERROR(__xludf.DUMMYFUNCTION("""COMPUTED_VALUE"""),"MTLSZ000901A10")</f>
        <v>MTLSZ000901A10</v>
      </c>
      <c r="I3024" s="2">
        <f ca="1">IFERROR(__xludf.DUMMYFUNCTION("""COMPUTED_VALUE"""),40540)</f>
        <v>40540</v>
      </c>
      <c r="J3024" s="2">
        <f ca="1">IFERROR(__xludf.DUMMYFUNCTION("""COMPUTED_VALUE"""),40904)</f>
        <v>40904</v>
      </c>
    </row>
    <row r="3025" spans="1:10" x14ac:dyDescent="0.25">
      <c r="A3025" s="1" t="str">
        <f ca="1">IFERROR(__xludf.DUMMYFUNCTION("""COMPUTED_VALUE"""),"Veszprémi Sasok BC")</f>
        <v>Veszprémi Sasok BC</v>
      </c>
      <c r="B3025" s="1" t="str">
        <f ca="1">IFERROR(__xludf.DUMMYFUNCTION("""COMPUTED_VALUE"""),"Szentes Veronika")</f>
        <v>Szentes Veronika</v>
      </c>
      <c r="C3025" s="1"/>
      <c r="D3025" s="1" t="str">
        <f ca="1">IFERROR(__xludf.DUMMYFUNCTION("""COMPUTED_VALUE"""),"Nő")</f>
        <v>Nő</v>
      </c>
      <c r="E3025" s="1"/>
      <c r="F3025" s="1">
        <f ca="1">IFERROR(__xludf.DUMMYFUNCTION("""COMPUTED_VALUE"""),2000)</f>
        <v>2000</v>
      </c>
      <c r="G3025" s="1">
        <f ca="1">IFERROR(__xludf.DUMMYFUNCTION("""COMPUTED_VALUE"""),937)</f>
        <v>937</v>
      </c>
      <c r="H3025" s="1" t="str">
        <f ca="1">IFERROR(__xludf.DUMMYFUNCTION("""COMPUTED_VALUE"""),"MTLSZ000937A10")</f>
        <v>MTLSZ000937A10</v>
      </c>
      <c r="I3025" s="2">
        <f ca="1">IFERROR(__xludf.DUMMYFUNCTION("""COMPUTED_VALUE"""),40540)</f>
        <v>40540</v>
      </c>
      <c r="J3025" s="2">
        <f ca="1">IFERROR(__xludf.DUMMYFUNCTION("""COMPUTED_VALUE"""),40904)</f>
        <v>40904</v>
      </c>
    </row>
    <row r="3026" spans="1:10" x14ac:dyDescent="0.25">
      <c r="A3026" s="1" t="str">
        <f ca="1">IFERROR(__xludf.DUMMYFUNCTION("""COMPUTED_VALUE"""),"Veszprémi Sasok BC")</f>
        <v>Veszprémi Sasok BC</v>
      </c>
      <c r="B3026" s="1" t="str">
        <f ca="1">IFERROR(__xludf.DUMMYFUNCTION("""COMPUTED_VALUE"""),"Szigeti Ágnes")</f>
        <v>Szigeti Ágnes</v>
      </c>
      <c r="C3026" s="1"/>
      <c r="D3026" s="1" t="str">
        <f ca="1">IFERROR(__xludf.DUMMYFUNCTION("""COMPUTED_VALUE"""),"Nő")</f>
        <v>Nő</v>
      </c>
      <c r="E3026" s="1"/>
      <c r="F3026" s="1">
        <f ca="1">IFERROR(__xludf.DUMMYFUNCTION("""COMPUTED_VALUE"""),2000)</f>
        <v>2000</v>
      </c>
      <c r="G3026" s="1">
        <f ca="1">IFERROR(__xludf.DUMMYFUNCTION("""COMPUTED_VALUE"""),945)</f>
        <v>945</v>
      </c>
      <c r="H3026" s="1" t="str">
        <f ca="1">IFERROR(__xludf.DUMMYFUNCTION("""COMPUTED_VALUE"""),"MTLSZ000945A10")</f>
        <v>MTLSZ000945A10</v>
      </c>
      <c r="I3026" s="2">
        <f ca="1">IFERROR(__xludf.DUMMYFUNCTION("""COMPUTED_VALUE"""),40540)</f>
        <v>40540</v>
      </c>
      <c r="J3026" s="2">
        <f ca="1">IFERROR(__xludf.DUMMYFUNCTION("""COMPUTED_VALUE"""),40904)</f>
        <v>40904</v>
      </c>
    </row>
    <row r="3027" spans="1:10" x14ac:dyDescent="0.25">
      <c r="A3027" s="1" t="str">
        <f ca="1">IFERROR(__xludf.DUMMYFUNCTION("""COMPUTED_VALUE"""),"Veszprémi Sasok BC")</f>
        <v>Veszprémi Sasok BC</v>
      </c>
      <c r="B3027" s="1" t="str">
        <f ca="1">IFERROR(__xludf.DUMMYFUNCTION("""COMPUTED_VALUE"""),"Szigeti István")</f>
        <v>Szigeti István</v>
      </c>
      <c r="C3027" s="1"/>
      <c r="D3027" s="1" t="str">
        <f ca="1">IFERROR(__xludf.DUMMYFUNCTION("""COMPUTED_VALUE"""),"Férfi")</f>
        <v>Férfi</v>
      </c>
      <c r="E3027" s="1"/>
      <c r="F3027" s="1">
        <f ca="1">IFERROR(__xludf.DUMMYFUNCTION("""COMPUTED_VALUE"""),2000)</f>
        <v>2000</v>
      </c>
      <c r="G3027" s="1">
        <f ca="1">IFERROR(__xludf.DUMMYFUNCTION("""COMPUTED_VALUE"""),946)</f>
        <v>946</v>
      </c>
      <c r="H3027" s="1" t="str">
        <f ca="1">IFERROR(__xludf.DUMMYFUNCTION("""COMPUTED_VALUE"""),"MTLSZ000946A10")</f>
        <v>MTLSZ000946A10</v>
      </c>
      <c r="I3027" s="2">
        <f ca="1">IFERROR(__xludf.DUMMYFUNCTION("""COMPUTED_VALUE"""),40540)</f>
        <v>40540</v>
      </c>
      <c r="J3027" s="2">
        <f ca="1">IFERROR(__xludf.DUMMYFUNCTION("""COMPUTED_VALUE"""),40904)</f>
        <v>40904</v>
      </c>
    </row>
    <row r="3028" spans="1:10" x14ac:dyDescent="0.25">
      <c r="A3028" s="1" t="str">
        <f ca="1">IFERROR(__xludf.DUMMYFUNCTION("""COMPUTED_VALUE"""),"Veszprémi Sasok BC")</f>
        <v>Veszprémi Sasok BC</v>
      </c>
      <c r="B3028" s="1" t="str">
        <f ca="1">IFERROR(__xludf.DUMMYFUNCTION("""COMPUTED_VALUE"""),"Szigeti Istvánné Dr")</f>
        <v>Szigeti Istvánné Dr</v>
      </c>
      <c r="C3028" s="1"/>
      <c r="D3028" s="1" t="str">
        <f ca="1">IFERROR(__xludf.DUMMYFUNCTION("""COMPUTED_VALUE"""),"Nő")</f>
        <v>Nő</v>
      </c>
      <c r="E3028" s="1"/>
      <c r="F3028" s="1">
        <f ca="1">IFERROR(__xludf.DUMMYFUNCTION("""COMPUTED_VALUE"""),2000)</f>
        <v>2000</v>
      </c>
      <c r="G3028" s="1">
        <f ca="1">IFERROR(__xludf.DUMMYFUNCTION("""COMPUTED_VALUE"""),947)</f>
        <v>947</v>
      </c>
      <c r="H3028" s="1" t="str">
        <f ca="1">IFERROR(__xludf.DUMMYFUNCTION("""COMPUTED_VALUE"""),"MTLSZ000947A10")</f>
        <v>MTLSZ000947A10</v>
      </c>
      <c r="I3028" s="2">
        <f ca="1">IFERROR(__xludf.DUMMYFUNCTION("""COMPUTED_VALUE"""),40540)</f>
        <v>40540</v>
      </c>
      <c r="J3028" s="2">
        <f ca="1">IFERROR(__xludf.DUMMYFUNCTION("""COMPUTED_VALUE"""),40904)</f>
        <v>40904</v>
      </c>
    </row>
    <row r="3029" spans="1:10" x14ac:dyDescent="0.25">
      <c r="A3029" s="1" t="str">
        <f ca="1">IFERROR(__xludf.DUMMYFUNCTION("""COMPUTED_VALUE"""),"Veszprémi Sasok BC")</f>
        <v>Veszprémi Sasok BC</v>
      </c>
      <c r="B3029" s="1" t="str">
        <f ca="1">IFERROR(__xludf.DUMMYFUNCTION("""COMPUTED_VALUE"""),"Szilágyi Sándor")</f>
        <v>Szilágyi Sándor</v>
      </c>
      <c r="C3029" s="1"/>
      <c r="D3029" s="1" t="str">
        <f ca="1">IFERROR(__xludf.DUMMYFUNCTION("""COMPUTED_VALUE"""),"Férfi")</f>
        <v>Férfi</v>
      </c>
      <c r="E3029" s="1"/>
      <c r="F3029" s="1">
        <f ca="1">IFERROR(__xludf.DUMMYFUNCTION("""COMPUTED_VALUE"""),1977)</f>
        <v>1977</v>
      </c>
      <c r="G3029" s="1">
        <f ca="1">IFERROR(__xludf.DUMMYFUNCTION("""COMPUTED_VALUE"""),1774)</f>
        <v>1774</v>
      </c>
      <c r="H3029" s="1" t="str">
        <f ca="1">IFERROR(__xludf.DUMMYFUNCTION("""COMPUTED_VALUE"""),"MTLSZ001774A10")</f>
        <v>MTLSZ001774A10</v>
      </c>
      <c r="I3029" s="2">
        <f ca="1">IFERROR(__xludf.DUMMYFUNCTION("""COMPUTED_VALUE"""),40540)</f>
        <v>40540</v>
      </c>
      <c r="J3029" s="2">
        <f ca="1">IFERROR(__xludf.DUMMYFUNCTION("""COMPUTED_VALUE"""),40904)</f>
        <v>40904</v>
      </c>
    </row>
    <row r="3030" spans="1:10" x14ac:dyDescent="0.25">
      <c r="A3030" s="1" t="str">
        <f ca="1">IFERROR(__xludf.DUMMYFUNCTION("""COMPUTED_VALUE"""),"Veszprémi Sasok BC")</f>
        <v>Veszprémi Sasok BC</v>
      </c>
      <c r="B3030" s="1" t="str">
        <f ca="1">IFERROR(__xludf.DUMMYFUNCTION("""COMPUTED_VALUE"""),"Tahin László")</f>
        <v>Tahin László</v>
      </c>
      <c r="C3030" s="1"/>
      <c r="D3030" s="1" t="str">
        <f ca="1">IFERROR(__xludf.DUMMYFUNCTION("""COMPUTED_VALUE"""),"Férfi")</f>
        <v>Férfi</v>
      </c>
      <c r="E3030" s="1"/>
      <c r="F3030" s="1">
        <f ca="1">IFERROR(__xludf.DUMMYFUNCTION("""COMPUTED_VALUE"""),1968)</f>
        <v>1968</v>
      </c>
      <c r="G3030" s="1">
        <f ca="1">IFERROR(__xludf.DUMMYFUNCTION("""COMPUTED_VALUE"""),984)</f>
        <v>984</v>
      </c>
      <c r="H3030" s="1" t="str">
        <f ca="1">IFERROR(__xludf.DUMMYFUNCTION("""COMPUTED_VALUE"""),"MTLSZ000984A10")</f>
        <v>MTLSZ000984A10</v>
      </c>
      <c r="I3030" s="2">
        <f ca="1">IFERROR(__xludf.DUMMYFUNCTION("""COMPUTED_VALUE"""),40540)</f>
        <v>40540</v>
      </c>
      <c r="J3030" s="2">
        <f ca="1">IFERROR(__xludf.DUMMYFUNCTION("""COMPUTED_VALUE"""),40904)</f>
        <v>40904</v>
      </c>
    </row>
    <row r="3031" spans="1:10" x14ac:dyDescent="0.25">
      <c r="A3031" s="1" t="str">
        <f ca="1">IFERROR(__xludf.DUMMYFUNCTION("""COMPUTED_VALUE"""),"Veszprémi Sasok BC")</f>
        <v>Veszprémi Sasok BC</v>
      </c>
      <c r="B3031" s="1" t="str">
        <f ca="1">IFERROR(__xludf.DUMMYFUNCTION("""COMPUTED_VALUE"""),"Takács Zsanett")</f>
        <v>Takács Zsanett</v>
      </c>
      <c r="C3031" s="1"/>
      <c r="D3031" s="1" t="str">
        <f ca="1">IFERROR(__xludf.DUMMYFUNCTION("""COMPUTED_VALUE"""),"Nő")</f>
        <v>Nő</v>
      </c>
      <c r="E3031" s="1"/>
      <c r="F3031" s="1">
        <f ca="1">IFERROR(__xludf.DUMMYFUNCTION("""COMPUTED_VALUE"""),1974)</f>
        <v>1974</v>
      </c>
      <c r="G3031" s="1">
        <f ca="1">IFERROR(__xludf.DUMMYFUNCTION("""COMPUTED_VALUE"""),998)</f>
        <v>998</v>
      </c>
      <c r="H3031" s="1" t="str">
        <f ca="1">IFERROR(__xludf.DUMMYFUNCTION("""COMPUTED_VALUE"""),"MTLSZ000998A10")</f>
        <v>MTLSZ000998A10</v>
      </c>
      <c r="I3031" s="2">
        <f ca="1">IFERROR(__xludf.DUMMYFUNCTION("""COMPUTED_VALUE"""),40540)</f>
        <v>40540</v>
      </c>
      <c r="J3031" s="2">
        <f ca="1">IFERROR(__xludf.DUMMYFUNCTION("""COMPUTED_VALUE"""),40904)</f>
        <v>40904</v>
      </c>
    </row>
    <row r="3032" spans="1:10" x14ac:dyDescent="0.25">
      <c r="A3032" s="1" t="str">
        <f ca="1">IFERROR(__xludf.DUMMYFUNCTION("""COMPUTED_VALUE"""),"Veszprémi Sasok BC")</f>
        <v>Veszprémi Sasok BC</v>
      </c>
      <c r="B3032" s="1" t="str">
        <f ca="1">IFERROR(__xludf.DUMMYFUNCTION("""COMPUTED_VALUE"""),"Teket Attila")</f>
        <v>Teket Attila</v>
      </c>
      <c r="C3032" s="1"/>
      <c r="D3032" s="1" t="str">
        <f ca="1">IFERROR(__xludf.DUMMYFUNCTION("""COMPUTED_VALUE"""),"Férfi")</f>
        <v>Férfi</v>
      </c>
      <c r="E3032" s="1"/>
      <c r="F3032" s="1">
        <f ca="1">IFERROR(__xludf.DUMMYFUNCTION("""COMPUTED_VALUE"""),2000)</f>
        <v>2000</v>
      </c>
      <c r="G3032" s="1">
        <f ca="1">IFERROR(__xludf.DUMMYFUNCTION("""COMPUTED_VALUE"""),1006)</f>
        <v>1006</v>
      </c>
      <c r="H3032" s="1" t="str">
        <f ca="1">IFERROR(__xludf.DUMMYFUNCTION("""COMPUTED_VALUE"""),"MTLSZ001006A10")</f>
        <v>MTLSZ001006A10</v>
      </c>
      <c r="I3032" s="2">
        <f ca="1">IFERROR(__xludf.DUMMYFUNCTION("""COMPUTED_VALUE"""),40540)</f>
        <v>40540</v>
      </c>
      <c r="J3032" s="2">
        <f ca="1">IFERROR(__xludf.DUMMYFUNCTION("""COMPUTED_VALUE"""),40904)</f>
        <v>40904</v>
      </c>
    </row>
    <row r="3033" spans="1:10" x14ac:dyDescent="0.25">
      <c r="A3033" s="1" t="str">
        <f ca="1">IFERROR(__xludf.DUMMYFUNCTION("""COMPUTED_VALUE"""),"Veszprémi Sasok BC")</f>
        <v>Veszprémi Sasok BC</v>
      </c>
      <c r="B3033" s="1" t="str">
        <f ca="1">IFERROR(__xludf.DUMMYFUNCTION("""COMPUTED_VALUE"""),"Turmesey Péter")</f>
        <v>Turmesey Péter</v>
      </c>
      <c r="C3033" s="1"/>
      <c r="D3033" s="1" t="str">
        <f ca="1">IFERROR(__xludf.DUMMYFUNCTION("""COMPUTED_VALUE"""),"Férfi")</f>
        <v>Férfi</v>
      </c>
      <c r="E3033" s="1"/>
      <c r="F3033" s="1">
        <f ca="1">IFERROR(__xludf.DUMMYFUNCTION("""COMPUTED_VALUE"""),1986)</f>
        <v>1986</v>
      </c>
      <c r="G3033" s="1">
        <f ca="1">IFERROR(__xludf.DUMMYFUNCTION("""COMPUTED_VALUE"""),1063)</f>
        <v>1063</v>
      </c>
      <c r="H3033" s="1" t="str">
        <f ca="1">IFERROR(__xludf.DUMMYFUNCTION("""COMPUTED_VALUE"""),"MTLSZ001063A10")</f>
        <v>MTLSZ001063A10</v>
      </c>
      <c r="I3033" s="2">
        <f ca="1">IFERROR(__xludf.DUMMYFUNCTION("""COMPUTED_VALUE"""),40540)</f>
        <v>40540</v>
      </c>
      <c r="J3033" s="2">
        <f ca="1">IFERROR(__xludf.DUMMYFUNCTION("""COMPUTED_VALUE"""),40904)</f>
        <v>40904</v>
      </c>
    </row>
    <row r="3034" spans="1:10" x14ac:dyDescent="0.25">
      <c r="A3034" s="1" t="str">
        <f ca="1">IFERROR(__xludf.DUMMYFUNCTION("""COMPUTED_VALUE"""),"Veszprémi Sasok BC")</f>
        <v>Veszprémi Sasok BC</v>
      </c>
      <c r="B3034" s="1" t="str">
        <f ca="1">IFERROR(__xludf.DUMMYFUNCTION("""COMPUTED_VALUE"""),"Váradi Imre")</f>
        <v>Váradi Imre</v>
      </c>
      <c r="C3034" s="1"/>
      <c r="D3034" s="1" t="str">
        <f ca="1">IFERROR(__xludf.DUMMYFUNCTION("""COMPUTED_VALUE"""),"Férfi")</f>
        <v>Férfi</v>
      </c>
      <c r="E3034" s="1"/>
      <c r="F3034" s="1">
        <f ca="1">IFERROR(__xludf.DUMMYFUNCTION("""COMPUTED_VALUE"""),1956)</f>
        <v>1956</v>
      </c>
      <c r="G3034" s="1">
        <f ca="1">IFERROR(__xludf.DUMMYFUNCTION("""COMPUTED_VALUE"""),1082)</f>
        <v>1082</v>
      </c>
      <c r="H3034" s="1" t="str">
        <f ca="1">IFERROR(__xludf.DUMMYFUNCTION("""COMPUTED_VALUE"""),"MTLSZ001082A10")</f>
        <v>MTLSZ001082A10</v>
      </c>
      <c r="I3034" s="2">
        <f ca="1">IFERROR(__xludf.DUMMYFUNCTION("""COMPUTED_VALUE"""),40540)</f>
        <v>40540</v>
      </c>
      <c r="J3034" s="2">
        <f ca="1">IFERROR(__xludf.DUMMYFUNCTION("""COMPUTED_VALUE"""),40904)</f>
        <v>40904</v>
      </c>
    </row>
    <row r="3035" spans="1:10" x14ac:dyDescent="0.25">
      <c r="A3035" s="1" t="str">
        <f ca="1">IFERROR(__xludf.DUMMYFUNCTION("""COMPUTED_VALUE"""),"Veszprémi Sasok BC")</f>
        <v>Veszprémi Sasok BC</v>
      </c>
      <c r="B3035" s="1" t="str">
        <f ca="1">IFERROR(__xludf.DUMMYFUNCTION("""COMPUTED_VALUE"""),"Vesztergom Dóra")</f>
        <v>Vesztergom Dóra</v>
      </c>
      <c r="C3035" s="1"/>
      <c r="D3035" s="1" t="str">
        <f ca="1">IFERROR(__xludf.DUMMYFUNCTION("""COMPUTED_VALUE"""),"Nő")</f>
        <v>Nő</v>
      </c>
      <c r="E3035" s="1"/>
      <c r="F3035" s="1">
        <f ca="1">IFERROR(__xludf.DUMMYFUNCTION("""COMPUTED_VALUE"""),1983)</f>
        <v>1983</v>
      </c>
      <c r="G3035" s="1">
        <f ca="1">IFERROR(__xludf.DUMMYFUNCTION("""COMPUTED_VALUE"""),1117)</f>
        <v>1117</v>
      </c>
      <c r="H3035" s="1" t="str">
        <f ca="1">IFERROR(__xludf.DUMMYFUNCTION("""COMPUTED_VALUE"""),"MTLSZ001117A10")</f>
        <v>MTLSZ001117A10</v>
      </c>
      <c r="I3035" s="2">
        <f ca="1">IFERROR(__xludf.DUMMYFUNCTION("""COMPUTED_VALUE"""),40540)</f>
        <v>40540</v>
      </c>
      <c r="J3035" s="2">
        <f ca="1">IFERROR(__xludf.DUMMYFUNCTION("""COMPUTED_VALUE"""),40904)</f>
        <v>40904</v>
      </c>
    </row>
    <row r="3036" spans="1:10" x14ac:dyDescent="0.25">
      <c r="A3036" s="1" t="str">
        <f ca="1">IFERROR(__xludf.DUMMYFUNCTION("""COMPUTED_VALUE"""),"Veszprémi Sasok BC")</f>
        <v>Veszprémi Sasok BC</v>
      </c>
      <c r="B3036" s="1" t="str">
        <f ca="1">IFERROR(__xludf.DUMMYFUNCTION("""COMPUTED_VALUE"""),"Virlics Anita")</f>
        <v>Virlics Anita</v>
      </c>
      <c r="C3036" s="1"/>
      <c r="D3036" s="1" t="str">
        <f ca="1">IFERROR(__xludf.DUMMYFUNCTION("""COMPUTED_VALUE"""),"Nő")</f>
        <v>Nő</v>
      </c>
      <c r="E3036" s="1"/>
      <c r="F3036" s="1">
        <f ca="1">IFERROR(__xludf.DUMMYFUNCTION("""COMPUTED_VALUE"""),1989)</f>
        <v>1989</v>
      </c>
      <c r="G3036" s="1">
        <f ca="1">IFERROR(__xludf.DUMMYFUNCTION("""COMPUTED_VALUE"""),1125)</f>
        <v>1125</v>
      </c>
      <c r="H3036" s="1" t="str">
        <f ca="1">IFERROR(__xludf.DUMMYFUNCTION("""COMPUTED_VALUE"""),"MTLSZ001125A10")</f>
        <v>MTLSZ001125A10</v>
      </c>
      <c r="I3036" s="2">
        <f ca="1">IFERROR(__xludf.DUMMYFUNCTION("""COMPUTED_VALUE"""),40540)</f>
        <v>40540</v>
      </c>
      <c r="J3036" s="2">
        <f ca="1">IFERROR(__xludf.DUMMYFUNCTION("""COMPUTED_VALUE"""),40904)</f>
        <v>40904</v>
      </c>
    </row>
    <row r="3037" spans="1:10" x14ac:dyDescent="0.25">
      <c r="A3037" s="1" t="str">
        <f ca="1">IFERROR(__xludf.DUMMYFUNCTION("""COMPUTED_VALUE"""),"Veszprémi Sasok BC")</f>
        <v>Veszprémi Sasok BC</v>
      </c>
      <c r="B3037" s="1" t="str">
        <f ca="1">IFERROR(__xludf.DUMMYFUNCTION("""COMPUTED_VALUE"""),"Virlics Renáta")</f>
        <v>Virlics Renáta</v>
      </c>
      <c r="C3037" s="1"/>
      <c r="D3037" s="1" t="str">
        <f ca="1">IFERROR(__xludf.DUMMYFUNCTION("""COMPUTED_VALUE"""),"Nő")</f>
        <v>Nő</v>
      </c>
      <c r="E3037" s="1"/>
      <c r="F3037" s="1">
        <f ca="1">IFERROR(__xludf.DUMMYFUNCTION("""COMPUTED_VALUE"""),1989)</f>
        <v>1989</v>
      </c>
      <c r="G3037" s="1">
        <f ca="1">IFERROR(__xludf.DUMMYFUNCTION("""COMPUTED_VALUE"""),1126)</f>
        <v>1126</v>
      </c>
      <c r="H3037" s="1" t="str">
        <f ca="1">IFERROR(__xludf.DUMMYFUNCTION("""COMPUTED_VALUE"""),"MTLSZ001126A10")</f>
        <v>MTLSZ001126A10</v>
      </c>
      <c r="I3037" s="2">
        <f ca="1">IFERROR(__xludf.DUMMYFUNCTION("""COMPUTED_VALUE"""),40540)</f>
        <v>40540</v>
      </c>
      <c r="J3037" s="2">
        <f ca="1">IFERROR(__xludf.DUMMYFUNCTION("""COMPUTED_VALUE"""),40904)</f>
        <v>40904</v>
      </c>
    </row>
    <row r="3038" spans="1:10" x14ac:dyDescent="0.25">
      <c r="A3038" s="1" t="str">
        <f ca="1">IFERROR(__xludf.DUMMYFUNCTION("""COMPUTED_VALUE"""),"Veszprémi Sasok BC")</f>
        <v>Veszprémi Sasok BC</v>
      </c>
      <c r="B3038" s="1" t="str">
        <f ca="1">IFERROR(__xludf.DUMMYFUNCTION("""COMPUTED_VALUE"""),"Virlics Sándor")</f>
        <v>Virlics Sándor</v>
      </c>
      <c r="C3038" s="1"/>
      <c r="D3038" s="1" t="str">
        <f ca="1">IFERROR(__xludf.DUMMYFUNCTION("""COMPUTED_VALUE"""),"Férfi")</f>
        <v>Férfi</v>
      </c>
      <c r="E3038" s="1"/>
      <c r="F3038" s="1">
        <f ca="1">IFERROR(__xludf.DUMMYFUNCTION("""COMPUTED_VALUE"""),1987)</f>
        <v>1987</v>
      </c>
      <c r="G3038" s="1">
        <f ca="1">IFERROR(__xludf.DUMMYFUNCTION("""COMPUTED_VALUE"""),1127)</f>
        <v>1127</v>
      </c>
      <c r="H3038" s="1" t="str">
        <f ca="1">IFERROR(__xludf.DUMMYFUNCTION("""COMPUTED_VALUE"""),"MTLSZ001127A10")</f>
        <v>MTLSZ001127A10</v>
      </c>
      <c r="I3038" s="2">
        <f ca="1">IFERROR(__xludf.DUMMYFUNCTION("""COMPUTED_VALUE"""),40540)</f>
        <v>40540</v>
      </c>
      <c r="J3038" s="2">
        <f ca="1">IFERROR(__xludf.DUMMYFUNCTION("""COMPUTED_VALUE"""),40904)</f>
        <v>40904</v>
      </c>
    </row>
    <row r="3039" spans="1:10" x14ac:dyDescent="0.25">
      <c r="A3039" s="1" t="str">
        <f ca="1">IFERROR(__xludf.DUMMYFUNCTION("""COMPUTED_VALUE"""),"NYVSC")</f>
        <v>NYVSC</v>
      </c>
      <c r="B3039" s="1" t="str">
        <f ca="1">IFERROR(__xludf.DUMMYFUNCTION("""COMPUTED_VALUE"""),"Vilmányi Gábor")</f>
        <v>Vilmányi Gábor</v>
      </c>
      <c r="C3039" s="1"/>
      <c r="D3039" s="1" t="str">
        <f ca="1">IFERROR(__xludf.DUMMYFUNCTION("""COMPUTED_VALUE"""),"Férfi")</f>
        <v>Férfi</v>
      </c>
      <c r="E3039" s="1"/>
      <c r="F3039" s="1">
        <f ca="1">IFERROR(__xludf.DUMMYFUNCTION("""COMPUTED_VALUE"""),1994)</f>
        <v>1994</v>
      </c>
      <c r="G3039" s="1">
        <f ca="1">IFERROR(__xludf.DUMMYFUNCTION("""COMPUTED_VALUE"""),1771)</f>
        <v>1771</v>
      </c>
      <c r="H3039" s="1" t="str">
        <f ca="1">IFERROR(__xludf.DUMMYFUNCTION("""COMPUTED_VALUE"""),"MTLSZ001771A10")</f>
        <v>MTLSZ001771A10</v>
      </c>
      <c r="I3039" s="2">
        <f ca="1">IFERROR(__xludf.DUMMYFUNCTION("""COMPUTED_VALUE"""),40528)</f>
        <v>40528</v>
      </c>
      <c r="J3039" s="2">
        <f ca="1">IFERROR(__xludf.DUMMYFUNCTION("""COMPUTED_VALUE"""),40892)</f>
        <v>40892</v>
      </c>
    </row>
    <row r="3040" spans="1:10" x14ac:dyDescent="0.25">
      <c r="A3040" s="1" t="str">
        <f ca="1">IFERROR(__xludf.DUMMYFUNCTION("""COMPUTED_VALUE"""),"Multi Alarm SE")</f>
        <v>Multi Alarm SE</v>
      </c>
      <c r="B3040" s="1" t="str">
        <f ca="1">IFERROR(__xludf.DUMMYFUNCTION("""COMPUTED_VALUE"""),"Horváth Zsolt dr.")</f>
        <v>Horváth Zsolt dr.</v>
      </c>
      <c r="C3040" s="1"/>
      <c r="D3040" s="1" t="str">
        <f ca="1">IFERROR(__xludf.DUMMYFUNCTION("""COMPUTED_VALUE"""),"Férfi")</f>
        <v>Férfi</v>
      </c>
      <c r="E3040" s="1"/>
      <c r="F3040" s="1">
        <f ca="1">IFERROR(__xludf.DUMMYFUNCTION("""COMPUTED_VALUE"""),1970)</f>
        <v>1970</v>
      </c>
      <c r="G3040" s="1">
        <f ca="1">IFERROR(__xludf.DUMMYFUNCTION("""COMPUTED_VALUE"""),1958)</f>
        <v>1958</v>
      </c>
      <c r="H3040" s="1" t="str">
        <f ca="1">IFERROR(__xludf.DUMMYFUNCTION("""COMPUTED_VALUE"""),"MTLSZ001958A10")</f>
        <v>MTLSZ001958A10</v>
      </c>
      <c r="I3040" s="2">
        <f ca="1">IFERROR(__xludf.DUMMYFUNCTION("""COMPUTED_VALUE"""),40505)</f>
        <v>40505</v>
      </c>
      <c r="J3040" s="2">
        <f ca="1">IFERROR(__xludf.DUMMYFUNCTION("""COMPUTED_VALUE"""),40869)</f>
        <v>40869</v>
      </c>
    </row>
    <row r="3041" spans="1:10" x14ac:dyDescent="0.25">
      <c r="A3041" s="1" t="str">
        <f ca="1">IFERROR(__xludf.DUMMYFUNCTION("""COMPUTED_VALUE"""),"Pedagógus Fáklya SE")</f>
        <v>Pedagógus Fáklya SE</v>
      </c>
      <c r="B3041" s="1" t="str">
        <f ca="1">IFERROR(__xludf.DUMMYFUNCTION("""COMPUTED_VALUE"""),"Cseke Gábor")</f>
        <v>Cseke Gábor</v>
      </c>
      <c r="C3041" s="1"/>
      <c r="D3041" s="1" t="str">
        <f ca="1">IFERROR(__xludf.DUMMYFUNCTION("""COMPUTED_VALUE"""),"Férfi")</f>
        <v>Férfi</v>
      </c>
      <c r="E3041" s="1"/>
      <c r="F3041" s="1">
        <f ca="1">IFERROR(__xludf.DUMMYFUNCTION("""COMPUTED_VALUE"""),1996)</f>
        <v>1996</v>
      </c>
      <c r="G3041" s="1">
        <f ca="1">IFERROR(__xludf.DUMMYFUNCTION("""COMPUTED_VALUE"""),1908)</f>
        <v>1908</v>
      </c>
      <c r="H3041" s="1" t="str">
        <f ca="1">IFERROR(__xludf.DUMMYFUNCTION("""COMPUTED_VALUE"""),"MTLSZ001908A10")</f>
        <v>MTLSZ001908A10</v>
      </c>
      <c r="I3041" s="2">
        <f ca="1">IFERROR(__xludf.DUMMYFUNCTION("""COMPUTED_VALUE"""),40494)</f>
        <v>40494</v>
      </c>
      <c r="J3041" s="2">
        <f ca="1">IFERROR(__xludf.DUMMYFUNCTION("""COMPUTED_VALUE"""),40858)</f>
        <v>40858</v>
      </c>
    </row>
    <row r="3042" spans="1:10" x14ac:dyDescent="0.25">
      <c r="A3042" s="1" t="str">
        <f ca="1">IFERROR(__xludf.DUMMYFUNCTION("""COMPUTED_VALUE"""),"Universitas SC")</f>
        <v>Universitas SC</v>
      </c>
      <c r="B3042" s="1" t="str">
        <f ca="1">IFERROR(__xludf.DUMMYFUNCTION("""COMPUTED_VALUE"""),"Borsós Krisztián")</f>
        <v>Borsós Krisztián</v>
      </c>
      <c r="C3042" s="1"/>
      <c r="D3042" s="1" t="str">
        <f ca="1">IFERROR(__xludf.DUMMYFUNCTION("""COMPUTED_VALUE"""),"Férfi")</f>
        <v>Férfi</v>
      </c>
      <c r="E3042" s="1"/>
      <c r="F3042" s="1">
        <f ca="1">IFERROR(__xludf.DUMMYFUNCTION("""COMPUTED_VALUE"""),1973)</f>
        <v>1973</v>
      </c>
      <c r="G3042" s="1">
        <f ca="1">IFERROR(__xludf.DUMMYFUNCTION("""COMPUTED_VALUE"""),2179)</f>
        <v>2179</v>
      </c>
      <c r="H3042" s="1" t="str">
        <f ca="1">IFERROR(__xludf.DUMMYFUNCTION("""COMPUTED_VALUE"""),"MTLSZ002179A10")</f>
        <v>MTLSZ002179A10</v>
      </c>
      <c r="I3042" s="2">
        <f ca="1">IFERROR(__xludf.DUMMYFUNCTION("""COMPUTED_VALUE"""),40493)</f>
        <v>40493</v>
      </c>
      <c r="J3042" s="2">
        <f ca="1">IFERROR(__xludf.DUMMYFUNCTION("""COMPUTED_VALUE"""),40857)</f>
        <v>40857</v>
      </c>
    </row>
    <row r="3043" spans="1:10" x14ac:dyDescent="0.25">
      <c r="A3043" s="1" t="str">
        <f ca="1">IFERROR(__xludf.DUMMYFUNCTION("""COMPUTED_VALUE"""),"Multi Alarm SE")</f>
        <v>Multi Alarm SE</v>
      </c>
      <c r="B3043" s="1" t="str">
        <f ca="1">IFERROR(__xludf.DUMMYFUNCTION("""COMPUTED_VALUE"""),"Yiangqiao Feng")</f>
        <v>Yiangqiao Feng</v>
      </c>
      <c r="C3043" s="1"/>
      <c r="D3043" s="1" t="str">
        <f ca="1">IFERROR(__xludf.DUMMYFUNCTION("""COMPUTED_VALUE"""),"Férfi")</f>
        <v>Férfi</v>
      </c>
      <c r="E3043" s="1"/>
      <c r="F3043" s="1">
        <f ca="1">IFERROR(__xludf.DUMMYFUNCTION("""COMPUTED_VALUE"""),1977)</f>
        <v>1977</v>
      </c>
      <c r="G3043" s="1">
        <f ca="1">IFERROR(__xludf.DUMMYFUNCTION("""COMPUTED_VALUE"""),2171)</f>
        <v>2171</v>
      </c>
      <c r="H3043" s="1" t="str">
        <f ca="1">IFERROR(__xludf.DUMMYFUNCTION("""COMPUTED_VALUE"""),"MTLSZ002171A10")</f>
        <v>MTLSZ002171A10</v>
      </c>
      <c r="I3043" s="2">
        <f ca="1">IFERROR(__xludf.DUMMYFUNCTION("""COMPUTED_VALUE"""),40472)</f>
        <v>40472</v>
      </c>
      <c r="J3043" s="2">
        <f ca="1">IFERROR(__xludf.DUMMYFUNCTION("""COMPUTED_VALUE"""),40836)</f>
        <v>40836</v>
      </c>
    </row>
    <row r="3044" spans="1:10" x14ac:dyDescent="0.25">
      <c r="A3044" s="1" t="str">
        <f ca="1">IFERROR(__xludf.DUMMYFUNCTION("""COMPUTED_VALUE"""),"NYVSC")</f>
        <v>NYVSC</v>
      </c>
      <c r="B3044" s="1" t="str">
        <f ca="1">IFERROR(__xludf.DUMMYFUNCTION("""COMPUTED_VALUE"""),"Simon Nóra")</f>
        <v>Simon Nóra</v>
      </c>
      <c r="C3044" s="1"/>
      <c r="D3044" s="1" t="str">
        <f ca="1">IFERROR(__xludf.DUMMYFUNCTION("""COMPUTED_VALUE"""),"Nő")</f>
        <v>Nő</v>
      </c>
      <c r="E3044" s="1"/>
      <c r="F3044" s="1">
        <f ca="1">IFERROR(__xludf.DUMMYFUNCTION("""COMPUTED_VALUE"""),1994)</f>
        <v>1994</v>
      </c>
      <c r="G3044" s="1">
        <f ca="1">IFERROR(__xludf.DUMMYFUNCTION("""COMPUTED_VALUE"""),1836)</f>
        <v>1836</v>
      </c>
      <c r="H3044" s="1" t="str">
        <f ca="1">IFERROR(__xludf.DUMMYFUNCTION("""COMPUTED_VALUE"""),"MTLSZ001836A10")</f>
        <v>MTLSZ001836A10</v>
      </c>
      <c r="I3044" s="2">
        <f ca="1">IFERROR(__xludf.DUMMYFUNCTION("""COMPUTED_VALUE"""),40472)</f>
        <v>40472</v>
      </c>
      <c r="J3044" s="2">
        <f ca="1">IFERROR(__xludf.DUMMYFUNCTION("""COMPUTED_VALUE"""),40836)</f>
        <v>40836</v>
      </c>
    </row>
    <row r="3045" spans="1:10" x14ac:dyDescent="0.25">
      <c r="A3045" s="1" t="str">
        <f ca="1">IFERROR(__xludf.DUMMYFUNCTION("""COMPUTED_VALUE"""),"NYVSC")</f>
        <v>NYVSC</v>
      </c>
      <c r="B3045" s="1" t="str">
        <f ca="1">IFERROR(__xludf.DUMMYFUNCTION("""COMPUTED_VALUE"""),"Tanyik Dóra")</f>
        <v>Tanyik Dóra</v>
      </c>
      <c r="C3045" s="1"/>
      <c r="D3045" s="1" t="str">
        <f ca="1">IFERROR(__xludf.DUMMYFUNCTION("""COMPUTED_VALUE"""),"Nő")</f>
        <v>Nő</v>
      </c>
      <c r="E3045" s="1"/>
      <c r="F3045" s="1">
        <f ca="1">IFERROR(__xludf.DUMMYFUNCTION("""COMPUTED_VALUE"""),1994)</f>
        <v>1994</v>
      </c>
      <c r="G3045" s="1">
        <f ca="1">IFERROR(__xludf.DUMMYFUNCTION("""COMPUTED_VALUE"""),1767)</f>
        <v>1767</v>
      </c>
      <c r="H3045" s="1" t="str">
        <f ca="1">IFERROR(__xludf.DUMMYFUNCTION("""COMPUTED_VALUE"""),"MTLSZ001767A10")</f>
        <v>MTLSZ001767A10</v>
      </c>
      <c r="I3045" s="2">
        <f ca="1">IFERROR(__xludf.DUMMYFUNCTION("""COMPUTED_VALUE"""),40472)</f>
        <v>40472</v>
      </c>
      <c r="J3045" s="2">
        <f ca="1">IFERROR(__xludf.DUMMYFUNCTION("""COMPUTED_VALUE"""),40836)</f>
        <v>40836</v>
      </c>
    </row>
    <row r="3046" spans="1:10" x14ac:dyDescent="0.25">
      <c r="A3046" s="1" t="str">
        <f ca="1">IFERROR(__xludf.DUMMYFUNCTION("""COMPUTED_VALUE"""),"Multi Alarm SE")</f>
        <v>Multi Alarm SE</v>
      </c>
      <c r="B3046" s="1" t="str">
        <f ca="1">IFERROR(__xludf.DUMMYFUNCTION("""COMPUTED_VALUE"""),"Budisantoso Daryono")</f>
        <v>Budisantoso Daryono</v>
      </c>
      <c r="C3046" s="1"/>
      <c r="D3046" s="1" t="str">
        <f ca="1">IFERROR(__xludf.DUMMYFUNCTION("""COMPUTED_VALUE"""),"Férfi")</f>
        <v>Férfi</v>
      </c>
      <c r="E3046" s="1"/>
      <c r="F3046" s="1">
        <f ca="1">IFERROR(__xludf.DUMMYFUNCTION("""COMPUTED_VALUE"""),1968)</f>
        <v>1968</v>
      </c>
      <c r="G3046" s="1">
        <f ca="1">IFERROR(__xludf.DUMMYFUNCTION("""COMPUTED_VALUE"""),1834)</f>
        <v>1834</v>
      </c>
      <c r="H3046" s="1" t="str">
        <f ca="1">IFERROR(__xludf.DUMMYFUNCTION("""COMPUTED_VALUE"""),"MTLSZ001834A10")</f>
        <v>MTLSZ001834A10</v>
      </c>
      <c r="I3046" s="2">
        <f ca="1">IFERROR(__xludf.DUMMYFUNCTION("""COMPUTED_VALUE"""),40471)</f>
        <v>40471</v>
      </c>
      <c r="J3046" s="2">
        <f ca="1">IFERROR(__xludf.DUMMYFUNCTION("""COMPUTED_VALUE"""),40835)</f>
        <v>40835</v>
      </c>
    </row>
    <row r="3047" spans="1:10" x14ac:dyDescent="0.25">
      <c r="A3047" s="1" t="str">
        <f ca="1">IFERROR(__xludf.DUMMYFUNCTION("""COMPUTED_VALUE"""),"Klébi DSE")</f>
        <v>Klébi DSE</v>
      </c>
      <c r="B3047" s="1" t="str">
        <f ca="1">IFERROR(__xludf.DUMMYFUNCTION("""COMPUTED_VALUE"""),"Németh Richárd")</f>
        <v>Németh Richárd</v>
      </c>
      <c r="C3047" s="1"/>
      <c r="D3047" s="1" t="str">
        <f ca="1">IFERROR(__xludf.DUMMYFUNCTION("""COMPUTED_VALUE"""),"Férfi")</f>
        <v>Férfi</v>
      </c>
      <c r="E3047" s="1"/>
      <c r="F3047" s="1">
        <f ca="1">IFERROR(__xludf.DUMMYFUNCTION("""COMPUTED_VALUE"""),1995)</f>
        <v>1995</v>
      </c>
      <c r="G3047" s="1">
        <f ca="1">IFERROR(__xludf.DUMMYFUNCTION("""COMPUTED_VALUE"""),1840)</f>
        <v>1840</v>
      </c>
      <c r="H3047" s="1" t="str">
        <f ca="1">IFERROR(__xludf.DUMMYFUNCTION("""COMPUTED_VALUE"""),"MTLSZ001840A10")</f>
        <v>MTLSZ001840A10</v>
      </c>
      <c r="I3047" s="2">
        <f ca="1">IFERROR(__xludf.DUMMYFUNCTION("""COMPUTED_VALUE"""),40469)</f>
        <v>40469</v>
      </c>
      <c r="J3047" s="2">
        <f ca="1">IFERROR(__xludf.DUMMYFUNCTION("""COMPUTED_VALUE"""),40833)</f>
        <v>40833</v>
      </c>
    </row>
    <row r="3048" spans="1:10" x14ac:dyDescent="0.25">
      <c r="A3048" s="1" t="str">
        <f ca="1">IFERROR(__xludf.DUMMYFUNCTION("""COMPUTED_VALUE"""),"Kilián Iskola DSE")</f>
        <v>Kilián Iskola DSE</v>
      </c>
      <c r="B3048" s="1" t="str">
        <f ca="1">IFERROR(__xludf.DUMMYFUNCTION("""COMPUTED_VALUE"""),"Csizmadia Péter")</f>
        <v>Csizmadia Péter</v>
      </c>
      <c r="C3048" s="1"/>
      <c r="D3048" s="1" t="str">
        <f ca="1">IFERROR(__xludf.DUMMYFUNCTION("""COMPUTED_VALUE"""),"Férfi")</f>
        <v>Férfi</v>
      </c>
      <c r="E3048" s="1"/>
      <c r="F3048" s="1">
        <f ca="1">IFERROR(__xludf.DUMMYFUNCTION("""COMPUTED_VALUE"""),1968)</f>
        <v>1968</v>
      </c>
      <c r="G3048" s="1">
        <f ca="1">IFERROR(__xludf.DUMMYFUNCTION("""COMPUTED_VALUE"""),1209)</f>
        <v>1209</v>
      </c>
      <c r="H3048" s="1" t="str">
        <f ca="1">IFERROR(__xludf.DUMMYFUNCTION("""COMPUTED_VALUE"""),"MTLSZ001209A10")</f>
        <v>MTLSZ001209A10</v>
      </c>
      <c r="I3048" s="2">
        <f ca="1">IFERROR(__xludf.DUMMYFUNCTION("""COMPUTED_VALUE"""),40463)</f>
        <v>40463</v>
      </c>
      <c r="J3048" s="2">
        <f ca="1">IFERROR(__xludf.DUMMYFUNCTION("""COMPUTED_VALUE"""),40827)</f>
        <v>40827</v>
      </c>
    </row>
    <row r="3049" spans="1:10" x14ac:dyDescent="0.25">
      <c r="A3049" s="1" t="str">
        <f ca="1">IFERROR(__xludf.DUMMYFUNCTION("""COMPUTED_VALUE"""),"HZSE")</f>
        <v>HZSE</v>
      </c>
      <c r="B3049" s="1" t="str">
        <f ca="1">IFERROR(__xludf.DUMMYFUNCTION("""COMPUTED_VALUE"""),"Kedves Ida")</f>
        <v>Kedves Ida</v>
      </c>
      <c r="C3049" s="1"/>
      <c r="D3049" s="1" t="str">
        <f ca="1">IFERROR(__xludf.DUMMYFUNCTION("""COMPUTED_VALUE"""),"Nő")</f>
        <v>Nő</v>
      </c>
      <c r="E3049" s="1"/>
      <c r="F3049" s="1">
        <f ca="1">IFERROR(__xludf.DUMMYFUNCTION("""COMPUTED_VALUE"""),1984)</f>
        <v>1984</v>
      </c>
      <c r="G3049" s="1">
        <f ca="1">IFERROR(__xludf.DUMMYFUNCTION("""COMPUTED_VALUE"""),446)</f>
        <v>446</v>
      </c>
      <c r="H3049" s="1" t="str">
        <f ca="1">IFERROR(__xludf.DUMMYFUNCTION("""COMPUTED_VALUE"""),"MTLSZ000446A10")</f>
        <v>MTLSZ000446A10</v>
      </c>
      <c r="I3049" s="2">
        <f ca="1">IFERROR(__xludf.DUMMYFUNCTION("""COMPUTED_VALUE"""),40455)</f>
        <v>40455</v>
      </c>
      <c r="J3049" s="2">
        <f ca="1">IFERROR(__xludf.DUMMYFUNCTION("""COMPUTED_VALUE"""),40819)</f>
        <v>40819</v>
      </c>
    </row>
    <row r="3050" spans="1:10" x14ac:dyDescent="0.25">
      <c r="A3050" s="1" t="str">
        <f ca="1">IFERROR(__xludf.DUMMYFUNCTION("""COMPUTED_VALUE"""),"Alba-Toll SE")</f>
        <v>Alba-Toll SE</v>
      </c>
      <c r="B3050" s="1" t="str">
        <f ca="1">IFERROR(__xludf.DUMMYFUNCTION("""COMPUTED_VALUE"""),"Szabó Kornél")</f>
        <v>Szabó Kornél</v>
      </c>
      <c r="C3050" s="1"/>
      <c r="D3050" s="1" t="str">
        <f ca="1">IFERROR(__xludf.DUMMYFUNCTION("""COMPUTED_VALUE"""),"Férfi")</f>
        <v>Férfi</v>
      </c>
      <c r="E3050" s="1"/>
      <c r="F3050" s="1">
        <f ca="1">IFERROR(__xludf.DUMMYFUNCTION("""COMPUTED_VALUE"""),1994)</f>
        <v>1994</v>
      </c>
      <c r="G3050" s="1">
        <f ca="1">IFERROR(__xludf.DUMMYFUNCTION("""COMPUTED_VALUE"""),2131)</f>
        <v>2131</v>
      </c>
      <c r="H3050" s="1" t="str">
        <f ca="1">IFERROR(__xludf.DUMMYFUNCTION("""COMPUTED_VALUE"""),"MTLSZ002131A10")</f>
        <v>MTLSZ002131A10</v>
      </c>
      <c r="I3050" s="2">
        <f ca="1">IFERROR(__xludf.DUMMYFUNCTION("""COMPUTED_VALUE"""),40450)</f>
        <v>40450</v>
      </c>
      <c r="J3050" s="2">
        <f ca="1">IFERROR(__xludf.DUMMYFUNCTION("""COMPUTED_VALUE"""),40814)</f>
        <v>40814</v>
      </c>
    </row>
    <row r="3051" spans="1:10" x14ac:dyDescent="0.25">
      <c r="A3051" s="1" t="str">
        <f ca="1">IFERROR(__xludf.DUMMYFUNCTION("""COMPUTED_VALUE"""),"Reac SE")</f>
        <v>Reac SE</v>
      </c>
      <c r="B3051" s="1" t="str">
        <f ca="1">IFERROR(__xludf.DUMMYFUNCTION("""COMPUTED_VALUE"""),"Korányi László")</f>
        <v>Korányi László</v>
      </c>
      <c r="C3051" s="1"/>
      <c r="D3051" s="1" t="str">
        <f ca="1">IFERROR(__xludf.DUMMYFUNCTION("""COMPUTED_VALUE"""),"Férfi")</f>
        <v>Férfi</v>
      </c>
      <c r="E3051" s="1"/>
      <c r="F3051" s="1">
        <f ca="1">IFERROR(__xludf.DUMMYFUNCTION("""COMPUTED_VALUE"""),1963)</f>
        <v>1963</v>
      </c>
      <c r="G3051" s="1">
        <f ca="1">IFERROR(__xludf.DUMMYFUNCTION("""COMPUTED_VALUE"""),520)</f>
        <v>520</v>
      </c>
      <c r="H3051" s="1" t="str">
        <f ca="1">IFERROR(__xludf.DUMMYFUNCTION("""COMPUTED_VALUE"""),"MTLSZ000520A10")</f>
        <v>MTLSZ000520A10</v>
      </c>
      <c r="I3051" s="2">
        <f ca="1">IFERROR(__xludf.DUMMYFUNCTION("""COMPUTED_VALUE"""),40450)</f>
        <v>40450</v>
      </c>
      <c r="J3051" s="2">
        <f ca="1">IFERROR(__xludf.DUMMYFUNCTION("""COMPUTED_VALUE"""),40814)</f>
        <v>40814</v>
      </c>
    </row>
    <row r="3052" spans="1:10" x14ac:dyDescent="0.25">
      <c r="A3052" s="1" t="str">
        <f ca="1">IFERROR(__xludf.DUMMYFUNCTION("""COMPUTED_VALUE"""),"Reac SE")</f>
        <v>Reac SE</v>
      </c>
      <c r="B3052" s="1" t="str">
        <f ca="1">IFERROR(__xludf.DUMMYFUNCTION("""COMPUTED_VALUE"""),"Bodor Ferenc")</f>
        <v>Bodor Ferenc</v>
      </c>
      <c r="C3052" s="1"/>
      <c r="D3052" s="1" t="str">
        <f ca="1">IFERROR(__xludf.DUMMYFUNCTION("""COMPUTED_VALUE"""),"Férfi")</f>
        <v>Férfi</v>
      </c>
      <c r="E3052" s="1"/>
      <c r="F3052" s="1">
        <f ca="1">IFERROR(__xludf.DUMMYFUNCTION("""COMPUTED_VALUE"""),1994)</f>
        <v>1994</v>
      </c>
      <c r="G3052" s="1">
        <f ca="1">IFERROR(__xludf.DUMMYFUNCTION("""COMPUTED_VALUE"""),1898)</f>
        <v>1898</v>
      </c>
      <c r="H3052" s="1" t="str">
        <f ca="1">IFERROR(__xludf.DUMMYFUNCTION("""COMPUTED_VALUE"""),"MTLSZ001898A10")</f>
        <v>MTLSZ001898A10</v>
      </c>
      <c r="I3052" s="2">
        <f ca="1">IFERROR(__xludf.DUMMYFUNCTION("""COMPUTED_VALUE"""),40444)</f>
        <v>40444</v>
      </c>
      <c r="J3052" s="2">
        <f ca="1">IFERROR(__xludf.DUMMYFUNCTION("""COMPUTED_VALUE"""),40808)</f>
        <v>40808</v>
      </c>
    </row>
    <row r="3053" spans="1:10" x14ac:dyDescent="0.25">
      <c r="A3053" s="1" t="str">
        <f ca="1">IFERROR(__xludf.DUMMYFUNCTION("""COMPUTED_VALUE"""),"Reac SE")</f>
        <v>Reac SE</v>
      </c>
      <c r="B3053" s="1" t="str">
        <f ca="1">IFERROR(__xludf.DUMMYFUNCTION("""COMPUTED_VALUE"""),"Gerendai Zsófia")</f>
        <v>Gerendai Zsófia</v>
      </c>
      <c r="C3053" s="1"/>
      <c r="D3053" s="1" t="str">
        <f ca="1">IFERROR(__xludf.DUMMYFUNCTION("""COMPUTED_VALUE"""),"Nő")</f>
        <v>Nő</v>
      </c>
      <c r="E3053" s="1"/>
      <c r="F3053" s="1">
        <f ca="1">IFERROR(__xludf.DUMMYFUNCTION("""COMPUTED_VALUE"""),1993)</f>
        <v>1993</v>
      </c>
      <c r="G3053" s="1">
        <f ca="1">IFERROR(__xludf.DUMMYFUNCTION("""COMPUTED_VALUE"""),1509)</f>
        <v>1509</v>
      </c>
      <c r="H3053" s="1" t="str">
        <f ca="1">IFERROR(__xludf.DUMMYFUNCTION("""COMPUTED_VALUE"""),"MTLSZ001509A10")</f>
        <v>MTLSZ001509A10</v>
      </c>
      <c r="I3053" s="2">
        <f ca="1">IFERROR(__xludf.DUMMYFUNCTION("""COMPUTED_VALUE"""),40444)</f>
        <v>40444</v>
      </c>
      <c r="J3053" s="2">
        <f ca="1">IFERROR(__xludf.DUMMYFUNCTION("""COMPUTED_VALUE"""),40808)</f>
        <v>40808</v>
      </c>
    </row>
    <row r="3054" spans="1:10" x14ac:dyDescent="0.25">
      <c r="A3054" s="1" t="str">
        <f ca="1">IFERROR(__xludf.DUMMYFUNCTION("""COMPUTED_VALUE"""),"Ságvári DSE")</f>
        <v>Ságvári DSE</v>
      </c>
      <c r="B3054" s="1" t="str">
        <f ca="1">IFERROR(__xludf.DUMMYFUNCTION("""COMPUTED_VALUE"""),"Kajner Gyula")</f>
        <v>Kajner Gyula</v>
      </c>
      <c r="C3054" s="1"/>
      <c r="D3054" s="1" t="str">
        <f ca="1">IFERROR(__xludf.DUMMYFUNCTION("""COMPUTED_VALUE"""),"Férfi")</f>
        <v>Férfi</v>
      </c>
      <c r="E3054" s="1"/>
      <c r="F3054" s="1">
        <f ca="1">IFERROR(__xludf.DUMMYFUNCTION("""COMPUTED_VALUE"""),1998)</f>
        <v>1998</v>
      </c>
      <c r="G3054" s="1">
        <f ca="1">IFERROR(__xludf.DUMMYFUNCTION("""COMPUTED_VALUE"""),1972)</f>
        <v>1972</v>
      </c>
      <c r="H3054" s="1" t="str">
        <f ca="1">IFERROR(__xludf.DUMMYFUNCTION("""COMPUTED_VALUE"""),"MTLSZ001972A10")</f>
        <v>MTLSZ001972A10</v>
      </c>
      <c r="I3054" s="2">
        <f ca="1">IFERROR(__xludf.DUMMYFUNCTION("""COMPUTED_VALUE"""),40437)</f>
        <v>40437</v>
      </c>
      <c r="J3054" s="2">
        <f ca="1">IFERROR(__xludf.DUMMYFUNCTION("""COMPUTED_VALUE"""),40801)</f>
        <v>40801</v>
      </c>
    </row>
    <row r="3055" spans="1:10" x14ac:dyDescent="0.25">
      <c r="A3055" s="1" t="str">
        <f ca="1">IFERROR(__xludf.DUMMYFUNCTION("""COMPUTED_VALUE"""),"Ságvári DSE")</f>
        <v>Ságvári DSE</v>
      </c>
      <c r="B3055" s="1" t="str">
        <f ca="1">IFERROR(__xludf.DUMMYFUNCTION("""COMPUTED_VALUE"""),"Könczöl Katalin")</f>
        <v>Könczöl Katalin</v>
      </c>
      <c r="C3055" s="1"/>
      <c r="D3055" s="1" t="str">
        <f ca="1">IFERROR(__xludf.DUMMYFUNCTION("""COMPUTED_VALUE"""),"Nő")</f>
        <v>Nő</v>
      </c>
      <c r="E3055" s="1"/>
      <c r="F3055" s="1">
        <f ca="1">IFERROR(__xludf.DUMMYFUNCTION("""COMPUTED_VALUE"""),1995)</f>
        <v>1995</v>
      </c>
      <c r="G3055" s="1">
        <f ca="1">IFERROR(__xludf.DUMMYFUNCTION("""COMPUTED_VALUE"""),1920)</f>
        <v>1920</v>
      </c>
      <c r="H3055" s="1" t="str">
        <f ca="1">IFERROR(__xludf.DUMMYFUNCTION("""COMPUTED_VALUE"""),"MTLSZ001920A10")</f>
        <v>MTLSZ001920A10</v>
      </c>
      <c r="I3055" s="2">
        <f ca="1">IFERROR(__xludf.DUMMYFUNCTION("""COMPUTED_VALUE"""),40437)</f>
        <v>40437</v>
      </c>
      <c r="J3055" s="2">
        <f ca="1">IFERROR(__xludf.DUMMYFUNCTION("""COMPUTED_VALUE"""),40801)</f>
        <v>40801</v>
      </c>
    </row>
    <row r="3056" spans="1:10" x14ac:dyDescent="0.25">
      <c r="A3056" s="1" t="str">
        <f ca="1">IFERROR(__xludf.DUMMYFUNCTION("""COMPUTED_VALUE"""),"Ságvári DSE")</f>
        <v>Ságvári DSE</v>
      </c>
      <c r="B3056" s="1" t="str">
        <f ca="1">IFERROR(__xludf.DUMMYFUNCTION("""COMPUTED_VALUE"""),"Varró Ádám")</f>
        <v>Varró Ádám</v>
      </c>
      <c r="C3056" s="1"/>
      <c r="D3056" s="1" t="str">
        <f ca="1">IFERROR(__xludf.DUMMYFUNCTION("""COMPUTED_VALUE"""),"Férfi")</f>
        <v>Férfi</v>
      </c>
      <c r="E3056" s="1"/>
      <c r="F3056" s="1">
        <f ca="1">IFERROR(__xludf.DUMMYFUNCTION("""COMPUTED_VALUE"""),1997)</f>
        <v>1997</v>
      </c>
      <c r="G3056" s="1">
        <f ca="1">IFERROR(__xludf.DUMMYFUNCTION("""COMPUTED_VALUE"""),2094)</f>
        <v>2094</v>
      </c>
      <c r="H3056" s="1" t="str">
        <f ca="1">IFERROR(__xludf.DUMMYFUNCTION("""COMPUTED_VALUE"""),"MTLSZ002094A10")</f>
        <v>MTLSZ002094A10</v>
      </c>
      <c r="I3056" s="2">
        <f ca="1">IFERROR(__xludf.DUMMYFUNCTION("""COMPUTED_VALUE"""),40437)</f>
        <v>40437</v>
      </c>
      <c r="J3056" s="2">
        <f ca="1">IFERROR(__xludf.DUMMYFUNCTION("""COMPUTED_VALUE"""),40801)</f>
        <v>40801</v>
      </c>
    </row>
    <row r="3057" spans="1:10" x14ac:dyDescent="0.25">
      <c r="A3057" s="1" t="str">
        <f ca="1">IFERROR(__xludf.DUMMYFUNCTION("""COMPUTED_VALUE"""),"Klébi DSE")</f>
        <v>Klébi DSE</v>
      </c>
      <c r="B3057" s="1" t="str">
        <f ca="1">IFERROR(__xludf.DUMMYFUNCTION("""COMPUTED_VALUE"""),"Hargitai László Csaba")</f>
        <v>Hargitai László Csaba</v>
      </c>
      <c r="C3057" s="1"/>
      <c r="D3057" s="1" t="str">
        <f ca="1">IFERROR(__xludf.DUMMYFUNCTION("""COMPUTED_VALUE"""),"Férfi")</f>
        <v>Férfi</v>
      </c>
      <c r="E3057" s="1"/>
      <c r="F3057" s="1">
        <f ca="1">IFERROR(__xludf.DUMMYFUNCTION("""COMPUTED_VALUE"""),1977)</f>
        <v>1977</v>
      </c>
      <c r="G3057" s="1">
        <f ca="1">IFERROR(__xludf.DUMMYFUNCTION("""COMPUTED_VALUE"""),341)</f>
        <v>341</v>
      </c>
      <c r="H3057" s="1" t="str">
        <f ca="1">IFERROR(__xludf.DUMMYFUNCTION("""COMPUTED_VALUE"""),"MTLSZ000341A10")</f>
        <v>MTLSZ000341A10</v>
      </c>
      <c r="I3057" s="2">
        <f ca="1">IFERROR(__xludf.DUMMYFUNCTION("""COMPUTED_VALUE"""),40435)</f>
        <v>40435</v>
      </c>
      <c r="J3057" s="2">
        <f ca="1">IFERROR(__xludf.DUMMYFUNCTION("""COMPUTED_VALUE"""),40799)</f>
        <v>40799</v>
      </c>
    </row>
    <row r="3058" spans="1:10" x14ac:dyDescent="0.25">
      <c r="A3058" s="1" t="str">
        <f ca="1">IFERROR(__xludf.DUMMYFUNCTION("""COMPUTED_VALUE"""),"Klébi DSE")</f>
        <v>Klébi DSE</v>
      </c>
      <c r="B3058" s="1" t="str">
        <f ca="1">IFERROR(__xludf.DUMMYFUNCTION("""COMPUTED_VALUE"""),"Hollósy Andrea Kornélia")</f>
        <v>Hollósy Andrea Kornélia</v>
      </c>
      <c r="C3058" s="1"/>
      <c r="D3058" s="1" t="str">
        <f ca="1">IFERROR(__xludf.DUMMYFUNCTION("""COMPUTED_VALUE"""),"Nő")</f>
        <v>Nő</v>
      </c>
      <c r="E3058" s="1"/>
      <c r="F3058" s="1">
        <f ca="1">IFERROR(__xludf.DUMMYFUNCTION("""COMPUTED_VALUE"""),1979)</f>
        <v>1979</v>
      </c>
      <c r="G3058" s="1">
        <f ca="1">IFERROR(__xludf.DUMMYFUNCTION("""COMPUTED_VALUE"""),1667)</f>
        <v>1667</v>
      </c>
      <c r="H3058" s="1" t="str">
        <f ca="1">IFERROR(__xludf.DUMMYFUNCTION("""COMPUTED_VALUE"""),"MTLSZ001667A10")</f>
        <v>MTLSZ001667A10</v>
      </c>
      <c r="I3058" s="2">
        <f ca="1">IFERROR(__xludf.DUMMYFUNCTION("""COMPUTED_VALUE"""),40435)</f>
        <v>40435</v>
      </c>
      <c r="J3058" s="2">
        <f ca="1">IFERROR(__xludf.DUMMYFUNCTION("""COMPUTED_VALUE"""),40799)</f>
        <v>40799</v>
      </c>
    </row>
    <row r="3059" spans="1:10" x14ac:dyDescent="0.25">
      <c r="A3059" s="1" t="str">
        <f ca="1">IFERROR(__xludf.DUMMYFUNCTION("""COMPUTED_VALUE"""),"Klébi DSE")</f>
        <v>Klébi DSE</v>
      </c>
      <c r="B3059" s="1" t="str">
        <f ca="1">IFERROR(__xludf.DUMMYFUNCTION("""COMPUTED_VALUE"""),"Neudold Zsófia")</f>
        <v>Neudold Zsófia</v>
      </c>
      <c r="C3059" s="1"/>
      <c r="D3059" s="1" t="str">
        <f ca="1">IFERROR(__xludf.DUMMYFUNCTION("""COMPUTED_VALUE"""),"Nő")</f>
        <v>Nő</v>
      </c>
      <c r="E3059" s="1"/>
      <c r="F3059" s="1">
        <f ca="1">IFERROR(__xludf.DUMMYFUNCTION("""COMPUTED_VALUE"""),1979)</f>
        <v>1979</v>
      </c>
      <c r="G3059" s="1">
        <f ca="1">IFERROR(__xludf.DUMMYFUNCTION("""COMPUTED_VALUE"""),1258)</f>
        <v>1258</v>
      </c>
      <c r="H3059" s="1" t="str">
        <f ca="1">IFERROR(__xludf.DUMMYFUNCTION("""COMPUTED_VALUE"""),"MTLSZ001258A10")</f>
        <v>MTLSZ001258A10</v>
      </c>
      <c r="I3059" s="2">
        <f ca="1">IFERROR(__xludf.DUMMYFUNCTION("""COMPUTED_VALUE"""),40435)</f>
        <v>40435</v>
      </c>
      <c r="J3059" s="2">
        <f ca="1">IFERROR(__xludf.DUMMYFUNCTION("""COMPUTED_VALUE"""),40799)</f>
        <v>40799</v>
      </c>
    </row>
    <row r="3060" spans="1:10" x14ac:dyDescent="0.25">
      <c r="A3060" s="1" t="str">
        <f ca="1">IFERROR(__xludf.DUMMYFUNCTION("""COMPUTED_VALUE"""),"Klébi DSE")</f>
        <v>Klébi DSE</v>
      </c>
      <c r="B3060" s="1" t="str">
        <f ca="1">IFERROR(__xludf.DUMMYFUNCTION("""COMPUTED_VALUE"""),"Tóth András")</f>
        <v>Tóth András</v>
      </c>
      <c r="C3060" s="1"/>
      <c r="D3060" s="1" t="str">
        <f ca="1">IFERROR(__xludf.DUMMYFUNCTION("""COMPUTED_VALUE"""),"Férfi")</f>
        <v>Férfi</v>
      </c>
      <c r="E3060" s="1"/>
      <c r="F3060" s="1">
        <f ca="1">IFERROR(__xludf.DUMMYFUNCTION("""COMPUTED_VALUE"""),1978)</f>
        <v>1978</v>
      </c>
      <c r="G3060" s="1">
        <f ca="1">IFERROR(__xludf.DUMMYFUNCTION("""COMPUTED_VALUE"""),1937)</f>
        <v>1937</v>
      </c>
      <c r="H3060" s="1" t="str">
        <f ca="1">IFERROR(__xludf.DUMMYFUNCTION("""COMPUTED_VALUE"""),"MTLSZ001937A10")</f>
        <v>MTLSZ001937A10</v>
      </c>
      <c r="I3060" s="2">
        <f ca="1">IFERROR(__xludf.DUMMYFUNCTION("""COMPUTED_VALUE"""),40435)</f>
        <v>40435</v>
      </c>
      <c r="J3060" s="2">
        <f ca="1">IFERROR(__xludf.DUMMYFUNCTION("""COMPUTED_VALUE"""),40799)</f>
        <v>40799</v>
      </c>
    </row>
    <row r="3061" spans="1:10" x14ac:dyDescent="0.25">
      <c r="A3061" s="1" t="str">
        <f ca="1">IFERROR(__xludf.DUMMYFUNCTION("""COMPUTED_VALUE"""),"DSC-SI")</f>
        <v>DSC-SI</v>
      </c>
      <c r="B3061" s="1" t="str">
        <f ca="1">IFERROR(__xludf.DUMMYFUNCTION("""COMPUTED_VALUE"""),"Kiss Dóra")</f>
        <v>Kiss Dóra</v>
      </c>
      <c r="C3061" s="1"/>
      <c r="D3061" s="1" t="str">
        <f ca="1">IFERROR(__xludf.DUMMYFUNCTION("""COMPUTED_VALUE"""),"Nő")</f>
        <v>Nő</v>
      </c>
      <c r="E3061" s="1"/>
      <c r="F3061" s="1">
        <f ca="1">IFERROR(__xludf.DUMMYFUNCTION("""COMPUTED_VALUE"""),1991)</f>
        <v>1991</v>
      </c>
      <c r="G3061" s="1">
        <f ca="1">IFERROR(__xludf.DUMMYFUNCTION("""COMPUTED_VALUE"""),486)</f>
        <v>486</v>
      </c>
      <c r="H3061" s="1" t="str">
        <f ca="1">IFERROR(__xludf.DUMMYFUNCTION("""COMPUTED_VALUE"""),"MTLSZ000486A10")</f>
        <v>MTLSZ000486A10</v>
      </c>
      <c r="I3061" s="2">
        <f ca="1">IFERROR(__xludf.DUMMYFUNCTION("""COMPUTED_VALUE"""),40434)</f>
        <v>40434</v>
      </c>
      <c r="J3061" s="2">
        <f ca="1">IFERROR(__xludf.DUMMYFUNCTION("""COMPUTED_VALUE"""),40798)</f>
        <v>40798</v>
      </c>
    </row>
    <row r="3062" spans="1:10" x14ac:dyDescent="0.25">
      <c r="A3062" s="1" t="str">
        <f ca="1">IFERROR(__xludf.DUMMYFUNCTION("""COMPUTED_VALUE"""),"Multi Alarm SE")</f>
        <v>Multi Alarm SE</v>
      </c>
      <c r="B3062" s="1" t="str">
        <f ca="1">IFERROR(__xludf.DUMMYFUNCTION("""COMPUTED_VALUE"""),"Szakál Barnabás")</f>
        <v>Szakál Barnabás</v>
      </c>
      <c r="C3062" s="1"/>
      <c r="D3062" s="1" t="str">
        <f ca="1">IFERROR(__xludf.DUMMYFUNCTION("""COMPUTED_VALUE"""),"Férfi")</f>
        <v>Férfi</v>
      </c>
      <c r="E3062" s="1"/>
      <c r="F3062" s="1">
        <f ca="1">IFERROR(__xludf.DUMMYFUNCTION("""COMPUTED_VALUE"""),1987)</f>
        <v>1987</v>
      </c>
      <c r="G3062" s="1">
        <f ca="1">IFERROR(__xludf.DUMMYFUNCTION("""COMPUTED_VALUE"""),1591)</f>
        <v>1591</v>
      </c>
      <c r="H3062" s="1" t="str">
        <f ca="1">IFERROR(__xludf.DUMMYFUNCTION("""COMPUTED_VALUE"""),"MTLSZ001591A10")</f>
        <v>MTLSZ001591A10</v>
      </c>
      <c r="I3062" s="2">
        <f ca="1">IFERROR(__xludf.DUMMYFUNCTION("""COMPUTED_VALUE"""),40424)</f>
        <v>40424</v>
      </c>
      <c r="J3062" s="2">
        <f ca="1">IFERROR(__xludf.DUMMYFUNCTION("""COMPUTED_VALUE"""),40788)</f>
        <v>40788</v>
      </c>
    </row>
    <row r="3063" spans="1:10" x14ac:dyDescent="0.25">
      <c r="A3063" s="1" t="str">
        <f ca="1">IFERROR(__xludf.DUMMYFUNCTION("""COMPUTED_VALUE"""),"Seregélyesi PDSE")</f>
        <v>Seregélyesi PDSE</v>
      </c>
      <c r="B3063" s="1" t="str">
        <f ca="1">IFERROR(__xludf.DUMMYFUNCTION("""COMPUTED_VALUE"""),"Lippai Bálint")</f>
        <v>Lippai Bálint</v>
      </c>
      <c r="C3063" s="1"/>
      <c r="D3063" s="1" t="str">
        <f ca="1">IFERROR(__xludf.DUMMYFUNCTION("""COMPUTED_VALUE"""),"Férfi")</f>
        <v>Férfi</v>
      </c>
      <c r="E3063" s="1"/>
      <c r="F3063" s="1">
        <f ca="1">IFERROR(__xludf.DUMMYFUNCTION("""COMPUTED_VALUE"""),1995)</f>
        <v>1995</v>
      </c>
      <c r="G3063" s="1">
        <f ca="1">IFERROR(__xludf.DUMMYFUNCTION("""COMPUTED_VALUE"""),2007)</f>
        <v>2007</v>
      </c>
      <c r="H3063" s="1" t="str">
        <f ca="1">IFERROR(__xludf.DUMMYFUNCTION("""COMPUTED_VALUE"""),"MTLSZ002007A10")</f>
        <v>MTLSZ002007A10</v>
      </c>
      <c r="I3063" s="2">
        <f ca="1">IFERROR(__xludf.DUMMYFUNCTION("""COMPUTED_VALUE"""),40422)</f>
        <v>40422</v>
      </c>
      <c r="J3063" s="2">
        <f ca="1">IFERROR(__xludf.DUMMYFUNCTION("""COMPUTED_VALUE"""),40786)</f>
        <v>40786</v>
      </c>
    </row>
    <row r="3064" spans="1:10" x14ac:dyDescent="0.25">
      <c r="A3064" s="1" t="str">
        <f ca="1">IFERROR(__xludf.DUMMYFUNCTION("""COMPUTED_VALUE"""),"Seregélyesi PDSE")</f>
        <v>Seregélyesi PDSE</v>
      </c>
      <c r="B3064" s="1" t="str">
        <f ca="1">IFERROR(__xludf.DUMMYFUNCTION("""COMPUTED_VALUE"""),"Lippai Dániel")</f>
        <v>Lippai Dániel</v>
      </c>
      <c r="C3064" s="1"/>
      <c r="D3064" s="1" t="str">
        <f ca="1">IFERROR(__xludf.DUMMYFUNCTION("""COMPUTED_VALUE"""),"Férfi")</f>
        <v>Férfi</v>
      </c>
      <c r="E3064" s="1"/>
      <c r="F3064" s="1">
        <f ca="1">IFERROR(__xludf.DUMMYFUNCTION("""COMPUTED_VALUE"""),1993)</f>
        <v>1993</v>
      </c>
      <c r="G3064" s="1">
        <f ca="1">IFERROR(__xludf.DUMMYFUNCTION("""COMPUTED_VALUE"""),1880)</f>
        <v>1880</v>
      </c>
      <c r="H3064" s="1" t="str">
        <f ca="1">IFERROR(__xludf.DUMMYFUNCTION("""COMPUTED_VALUE"""),"MTLSZ001880A10")</f>
        <v>MTLSZ001880A10</v>
      </c>
      <c r="I3064" s="2">
        <f ca="1">IFERROR(__xludf.DUMMYFUNCTION("""COMPUTED_VALUE"""),40422)</f>
        <v>40422</v>
      </c>
      <c r="J3064" s="2">
        <f ca="1">IFERROR(__xludf.DUMMYFUNCTION("""COMPUTED_VALUE"""),40786)</f>
        <v>40786</v>
      </c>
    </row>
    <row r="3065" spans="1:10" x14ac:dyDescent="0.25">
      <c r="A3065" s="1" t="str">
        <f ca="1">IFERROR(__xludf.DUMMYFUNCTION("""COMPUTED_VALUE"""),"Ságvári DSE")</f>
        <v>Ságvári DSE</v>
      </c>
      <c r="B3065" s="1" t="str">
        <f ca="1">IFERROR(__xludf.DUMMYFUNCTION("""COMPUTED_VALUE"""),"Kiss Péter")</f>
        <v>Kiss Péter</v>
      </c>
      <c r="C3065" s="1"/>
      <c r="D3065" s="1" t="str">
        <f ca="1">IFERROR(__xludf.DUMMYFUNCTION("""COMPUTED_VALUE"""),"Férfi")</f>
        <v>Férfi</v>
      </c>
      <c r="E3065" s="1"/>
      <c r="F3065" s="1">
        <f ca="1">IFERROR(__xludf.DUMMYFUNCTION("""COMPUTED_VALUE"""),1992)</f>
        <v>1992</v>
      </c>
      <c r="G3065" s="1">
        <f ca="1">IFERROR(__xludf.DUMMYFUNCTION("""COMPUTED_VALUE"""),1313)</f>
        <v>1313</v>
      </c>
      <c r="H3065" s="1" t="str">
        <f ca="1">IFERROR(__xludf.DUMMYFUNCTION("""COMPUTED_VALUE"""),"MTLSZ001313A10")</f>
        <v>MTLSZ001313A10</v>
      </c>
      <c r="I3065" s="2">
        <f ca="1">IFERROR(__xludf.DUMMYFUNCTION("""COMPUTED_VALUE"""),40319)</f>
        <v>40319</v>
      </c>
      <c r="J3065" s="2">
        <f ca="1">IFERROR(__xludf.DUMMYFUNCTION("""COMPUTED_VALUE"""),40683)</f>
        <v>40683</v>
      </c>
    </row>
    <row r="3066" spans="1:10" x14ac:dyDescent="0.25">
      <c r="A3066" s="1" t="str">
        <f ca="1">IFERROR(__xludf.DUMMYFUNCTION("""COMPUTED_VALUE"""),"Universitas SC")</f>
        <v>Universitas SC</v>
      </c>
      <c r="B3066" s="1" t="str">
        <f ca="1">IFERROR(__xludf.DUMMYFUNCTION("""COMPUTED_VALUE"""),"Szemerédi Péter")</f>
        <v>Szemerédi Péter</v>
      </c>
      <c r="C3066" s="1"/>
      <c r="D3066" s="1" t="str">
        <f ca="1">IFERROR(__xludf.DUMMYFUNCTION("""COMPUTED_VALUE"""),"Férfi")</f>
        <v>Férfi</v>
      </c>
      <c r="E3066" s="1"/>
      <c r="F3066" s="1">
        <f ca="1">IFERROR(__xludf.DUMMYFUNCTION("""COMPUTED_VALUE"""),1987)</f>
        <v>1987</v>
      </c>
      <c r="G3066" s="1">
        <f ca="1">IFERROR(__xludf.DUMMYFUNCTION("""COMPUTED_VALUE"""),933)</f>
        <v>933</v>
      </c>
      <c r="H3066" s="1" t="str">
        <f ca="1">IFERROR(__xludf.DUMMYFUNCTION("""COMPUTED_VALUE"""),"MTLSZ000933A10")</f>
        <v>MTLSZ000933A10</v>
      </c>
      <c r="I3066" s="2">
        <f ca="1">IFERROR(__xludf.DUMMYFUNCTION("""COMPUTED_VALUE"""),40319)</f>
        <v>40319</v>
      </c>
      <c r="J3066" s="2">
        <f ca="1">IFERROR(__xludf.DUMMYFUNCTION("""COMPUTED_VALUE"""),40683)</f>
        <v>40683</v>
      </c>
    </row>
    <row r="3067" spans="1:10" x14ac:dyDescent="0.25">
      <c r="A3067" s="1" t="str">
        <f ca="1">IFERROR(__xludf.DUMMYFUNCTION("""COMPUTED_VALUE"""),"#N/A")</f>
        <v>#N/A</v>
      </c>
      <c r="B3067" s="1" t="str">
        <f ca="1">IFERROR(__xludf.DUMMYFUNCTION("""COMPUTED_VALUE"""),"Fehér György")</f>
        <v>Fehér György</v>
      </c>
      <c r="C3067" s="1"/>
      <c r="D3067" s="1" t="str">
        <f ca="1">IFERROR(__xludf.DUMMYFUNCTION("""COMPUTED_VALUE"""),"Férfi")</f>
        <v>Férfi</v>
      </c>
      <c r="E3067" s="1"/>
      <c r="F3067" s="1">
        <f ca="1">IFERROR(__xludf.DUMMYFUNCTION("""COMPUTED_VALUE"""),1971)</f>
        <v>1971</v>
      </c>
      <c r="G3067" s="1">
        <f ca="1">IFERROR(__xludf.DUMMYFUNCTION("""COMPUTED_VALUE"""),240)</f>
        <v>240</v>
      </c>
      <c r="H3067" s="1" t="str">
        <f ca="1">IFERROR(__xludf.DUMMYFUNCTION("""COMPUTED_VALUE"""),"MTLSZ000240A10")</f>
        <v>MTLSZ000240A10</v>
      </c>
      <c r="I3067" s="2">
        <f ca="1">IFERROR(__xludf.DUMMYFUNCTION("""COMPUTED_VALUE"""),40317)</f>
        <v>40317</v>
      </c>
      <c r="J3067" s="2">
        <f ca="1">IFERROR(__xludf.DUMMYFUNCTION("""COMPUTED_VALUE"""),40681)</f>
        <v>40681</v>
      </c>
    </row>
    <row r="3068" spans="1:10" x14ac:dyDescent="0.25">
      <c r="A3068" s="1" t="str">
        <f ca="1">IFERROR(__xludf.DUMMYFUNCTION("""COMPUTED_VALUE"""),"#N/A")</f>
        <v>#N/A</v>
      </c>
      <c r="B3068" s="1" t="str">
        <f ca="1">IFERROR(__xludf.DUMMYFUNCTION("""COMPUTED_VALUE"""),"Pócz Péter")</f>
        <v>Pócz Péter</v>
      </c>
      <c r="C3068" s="1"/>
      <c r="D3068" s="1" t="str">
        <f ca="1">IFERROR(__xludf.DUMMYFUNCTION("""COMPUTED_VALUE"""),"Férfi")</f>
        <v>Férfi</v>
      </c>
      <c r="E3068" s="1"/>
      <c r="F3068" s="1">
        <f ca="1">IFERROR(__xludf.DUMMYFUNCTION("""COMPUTED_VALUE"""),1970)</f>
        <v>1970</v>
      </c>
      <c r="G3068" s="1">
        <f ca="1">IFERROR(__xludf.DUMMYFUNCTION("""COMPUTED_VALUE"""),779)</f>
        <v>779</v>
      </c>
      <c r="H3068" s="1" t="str">
        <f ca="1">IFERROR(__xludf.DUMMYFUNCTION("""COMPUTED_VALUE"""),"MTLSZ000779A10")</f>
        <v>MTLSZ000779A10</v>
      </c>
      <c r="I3068" s="2">
        <f ca="1">IFERROR(__xludf.DUMMYFUNCTION("""COMPUTED_VALUE"""),40317)</f>
        <v>40317</v>
      </c>
      <c r="J3068" s="2">
        <f ca="1">IFERROR(__xludf.DUMMYFUNCTION("""COMPUTED_VALUE"""),40681)</f>
        <v>40681</v>
      </c>
    </row>
    <row r="3069" spans="1:10" x14ac:dyDescent="0.25">
      <c r="A3069" s="1" t="str">
        <f ca="1">IFERROR(__xludf.DUMMYFUNCTION("""COMPUTED_VALUE"""),"#N/A")</f>
        <v>#N/A</v>
      </c>
      <c r="B3069" s="1" t="str">
        <f ca="1">IFERROR(__xludf.DUMMYFUNCTION("""COMPUTED_VALUE"""),"Rózsahegyi Zsolt")</f>
        <v>Rózsahegyi Zsolt</v>
      </c>
      <c r="C3069" s="1"/>
      <c r="D3069" s="1" t="str">
        <f ca="1">IFERROR(__xludf.DUMMYFUNCTION("""COMPUTED_VALUE"""),"Férfi")</f>
        <v>Férfi</v>
      </c>
      <c r="E3069" s="1"/>
      <c r="F3069" s="1">
        <f ca="1">IFERROR(__xludf.DUMMYFUNCTION("""COMPUTED_VALUE"""),1972)</f>
        <v>1972</v>
      </c>
      <c r="G3069" s="1">
        <f ca="1">IFERROR(__xludf.DUMMYFUNCTION("""COMPUTED_VALUE"""),820)</f>
        <v>820</v>
      </c>
      <c r="H3069" s="1" t="str">
        <f ca="1">IFERROR(__xludf.DUMMYFUNCTION("""COMPUTED_VALUE"""),"MTLSZ000820A10")</f>
        <v>MTLSZ000820A10</v>
      </c>
      <c r="I3069" s="2">
        <f ca="1">IFERROR(__xludf.DUMMYFUNCTION("""COMPUTED_VALUE"""),40317)</f>
        <v>40317</v>
      </c>
      <c r="J3069" s="2">
        <f ca="1">IFERROR(__xludf.DUMMYFUNCTION("""COMPUTED_VALUE"""),40681)</f>
        <v>40681</v>
      </c>
    </row>
    <row r="3070" spans="1:10" x14ac:dyDescent="0.25">
      <c r="A3070" s="1" t="str">
        <f ca="1">IFERROR(__xludf.DUMMYFUNCTION("""COMPUTED_VALUE"""),"ZKSE")</f>
        <v>ZKSE</v>
      </c>
      <c r="B3070" s="1" t="str">
        <f ca="1">IFERROR(__xludf.DUMMYFUNCTION("""COMPUTED_VALUE"""),"Révész Gábor")</f>
        <v>Révész Gábor</v>
      </c>
      <c r="C3070" s="1"/>
      <c r="D3070" s="1" t="str">
        <f ca="1">IFERROR(__xludf.DUMMYFUNCTION("""COMPUTED_VALUE"""),"Férfi")</f>
        <v>Férfi</v>
      </c>
      <c r="E3070" s="1"/>
      <c r="F3070" s="1">
        <f ca="1">IFERROR(__xludf.DUMMYFUNCTION("""COMPUTED_VALUE"""),1991)</f>
        <v>1991</v>
      </c>
      <c r="G3070" s="1">
        <f ca="1">IFERROR(__xludf.DUMMYFUNCTION("""COMPUTED_VALUE"""),809)</f>
        <v>809</v>
      </c>
      <c r="H3070" s="1" t="str">
        <f ca="1">IFERROR(__xludf.DUMMYFUNCTION("""COMPUTED_VALUE"""),"MTLSZ000809A10")</f>
        <v>MTLSZ000809A10</v>
      </c>
      <c r="I3070" s="2">
        <f ca="1">IFERROR(__xludf.DUMMYFUNCTION("""COMPUTED_VALUE"""),40315)</f>
        <v>40315</v>
      </c>
      <c r="J3070" s="2">
        <f ca="1">IFERROR(__xludf.DUMMYFUNCTION("""COMPUTED_VALUE"""),40679)</f>
        <v>40679</v>
      </c>
    </row>
    <row r="3071" spans="1:10" x14ac:dyDescent="0.25">
      <c r="A3071" s="1" t="str">
        <f ca="1">IFERROR(__xludf.DUMMYFUNCTION("""COMPUTED_VALUE"""),"Gyöngyösoroszi SK")</f>
        <v>Gyöngyösoroszi SK</v>
      </c>
      <c r="B3071" s="1" t="str">
        <f ca="1">IFERROR(__xludf.DUMMYFUNCTION("""COMPUTED_VALUE"""),"Kecskés Zsolt")</f>
        <v>Kecskés Zsolt</v>
      </c>
      <c r="C3071" s="1"/>
      <c r="D3071" s="1" t="str">
        <f ca="1">IFERROR(__xludf.DUMMYFUNCTION("""COMPUTED_VALUE"""),"Férfi")</f>
        <v>Férfi</v>
      </c>
      <c r="E3071" s="1"/>
      <c r="F3071" s="1">
        <f ca="1">IFERROR(__xludf.DUMMYFUNCTION("""COMPUTED_VALUE"""),1998)</f>
        <v>1998</v>
      </c>
      <c r="G3071" s="1">
        <f ca="1">IFERROR(__xludf.DUMMYFUNCTION("""COMPUTED_VALUE"""),1893)</f>
        <v>1893</v>
      </c>
      <c r="H3071" s="1" t="str">
        <f ca="1">IFERROR(__xludf.DUMMYFUNCTION("""COMPUTED_VALUE"""),"MTLSZ001893A10")</f>
        <v>MTLSZ001893A10</v>
      </c>
      <c r="I3071" s="2">
        <f ca="1">IFERROR(__xludf.DUMMYFUNCTION("""COMPUTED_VALUE"""),40234)</f>
        <v>40234</v>
      </c>
      <c r="J3071" s="2">
        <f ca="1">IFERROR(__xludf.DUMMYFUNCTION("""COMPUTED_VALUE"""),40598)</f>
        <v>40598</v>
      </c>
    </row>
    <row r="3072" spans="1:10" x14ac:dyDescent="0.25">
      <c r="A3072" s="1" t="str">
        <f ca="1">IFERROR(__xludf.DUMMYFUNCTION("""COMPUTED_VALUE"""),"Szegedi TSE")</f>
        <v>Szegedi TSE</v>
      </c>
      <c r="B3072" s="1" t="str">
        <f ca="1">IFERROR(__xludf.DUMMYFUNCTION("""COMPUTED_VALUE"""),"Berzsenyi Ivett")</f>
        <v>Berzsenyi Ivett</v>
      </c>
      <c r="C3072" s="1"/>
      <c r="D3072" s="1" t="str">
        <f ca="1">IFERROR(__xludf.DUMMYFUNCTION("""COMPUTED_VALUE"""),"Nő")</f>
        <v>Nő</v>
      </c>
      <c r="E3072" s="1"/>
      <c r="F3072" s="1">
        <f ca="1">IFERROR(__xludf.DUMMYFUNCTION("""COMPUTED_VALUE"""),1993)</f>
        <v>1993</v>
      </c>
      <c r="G3072" s="1">
        <f ca="1">IFERROR(__xludf.DUMMYFUNCTION("""COMPUTED_VALUE"""),83)</f>
        <v>83</v>
      </c>
      <c r="H3072" s="1" t="str">
        <f ca="1">IFERROR(__xludf.DUMMYFUNCTION("""COMPUTED_VALUE"""),"MTLSZ000083A10")</f>
        <v>MTLSZ000083A10</v>
      </c>
      <c r="I3072" s="2">
        <f ca="1">IFERROR(__xludf.DUMMYFUNCTION("""COMPUTED_VALUE"""),40234)</f>
        <v>40234</v>
      </c>
      <c r="J3072" s="2">
        <f ca="1">IFERROR(__xludf.DUMMYFUNCTION("""COMPUTED_VALUE"""),40598)</f>
        <v>40598</v>
      </c>
    </row>
    <row r="3073" spans="1:10" x14ac:dyDescent="0.25">
      <c r="A3073" s="1" t="str">
        <f ca="1">IFERROR(__xludf.DUMMYFUNCTION("""COMPUTED_VALUE"""),"BTBK")</f>
        <v>BTBK</v>
      </c>
      <c r="B3073" s="1" t="str">
        <f ca="1">IFERROR(__xludf.DUMMYFUNCTION("""COMPUTED_VALUE"""),"Caullier Sebastian")</f>
        <v>Caullier Sebastian</v>
      </c>
      <c r="C3073" s="1"/>
      <c r="D3073" s="1" t="str">
        <f ca="1">IFERROR(__xludf.DUMMYFUNCTION("""COMPUTED_VALUE"""),"Férfi")</f>
        <v>Férfi</v>
      </c>
      <c r="E3073" s="1"/>
      <c r="F3073" s="1">
        <f ca="1">IFERROR(__xludf.DUMMYFUNCTION("""COMPUTED_VALUE"""),1977)</f>
        <v>1977</v>
      </c>
      <c r="G3073" s="1">
        <f ca="1">IFERROR(__xludf.DUMMYFUNCTION("""COMPUTED_VALUE"""),2096)</f>
        <v>2096</v>
      </c>
      <c r="H3073" s="1" t="str">
        <f ca="1">IFERROR(__xludf.DUMMYFUNCTION("""COMPUTED_VALUE"""),"MTLSZ002096A10")</f>
        <v>MTLSZ002096A10</v>
      </c>
      <c r="I3073" s="2">
        <f ca="1">IFERROR(__xludf.DUMMYFUNCTION("""COMPUTED_VALUE"""),40233)</f>
        <v>40233</v>
      </c>
      <c r="J3073" s="2">
        <f ca="1">IFERROR(__xludf.DUMMYFUNCTION("""COMPUTED_VALUE"""),40597)</f>
        <v>40597</v>
      </c>
    </row>
    <row r="3074" spans="1:10" x14ac:dyDescent="0.25">
      <c r="A3074" s="1" t="str">
        <f ca="1">IFERROR(__xludf.DUMMYFUNCTION("""COMPUTED_VALUE"""),"ZKSE")</f>
        <v>ZKSE</v>
      </c>
      <c r="B3074" s="1" t="str">
        <f ca="1">IFERROR(__xludf.DUMMYFUNCTION("""COMPUTED_VALUE"""),"Csajbók Ágnes")</f>
        <v>Csajbók Ágnes</v>
      </c>
      <c r="C3074" s="1"/>
      <c r="D3074" s="1" t="str">
        <f ca="1">IFERROR(__xludf.DUMMYFUNCTION("""COMPUTED_VALUE"""),"Nő")</f>
        <v>Nő</v>
      </c>
      <c r="E3074" s="1"/>
      <c r="F3074" s="1">
        <f ca="1">IFERROR(__xludf.DUMMYFUNCTION("""COMPUTED_VALUE"""),1993)</f>
        <v>1993</v>
      </c>
      <c r="G3074" s="1">
        <f ca="1">IFERROR(__xludf.DUMMYFUNCTION("""COMPUTED_VALUE"""),1328)</f>
        <v>1328</v>
      </c>
      <c r="H3074" s="1" t="str">
        <f ca="1">IFERROR(__xludf.DUMMYFUNCTION("""COMPUTED_VALUE"""),"MTLSZ001328A10")</f>
        <v>MTLSZ001328A10</v>
      </c>
      <c r="I3074" s="2">
        <f ca="1">IFERROR(__xludf.DUMMYFUNCTION("""COMPUTED_VALUE"""),40231)</f>
        <v>40231</v>
      </c>
      <c r="J3074" s="2">
        <f ca="1">IFERROR(__xludf.DUMMYFUNCTION("""COMPUTED_VALUE"""),40595)</f>
        <v>40595</v>
      </c>
    </row>
    <row r="3075" spans="1:10" x14ac:dyDescent="0.25">
      <c r="A3075" s="1" t="str">
        <f ca="1">IFERROR(__xludf.DUMMYFUNCTION("""COMPUTED_VALUE"""),"MAFC")</f>
        <v>MAFC</v>
      </c>
      <c r="B3075" s="1" t="str">
        <f ca="1">IFERROR(__xludf.DUMMYFUNCTION("""COMPUTED_VALUE"""),"Bréda Zsombor")</f>
        <v>Bréda Zsombor</v>
      </c>
      <c r="C3075" s="1"/>
      <c r="D3075" s="1" t="str">
        <f ca="1">IFERROR(__xludf.DUMMYFUNCTION("""COMPUTED_VALUE"""),"Férfi")</f>
        <v>Férfi</v>
      </c>
      <c r="E3075" s="1"/>
      <c r="F3075" s="1">
        <f ca="1">IFERROR(__xludf.DUMMYFUNCTION("""COMPUTED_VALUE"""),1987)</f>
        <v>1987</v>
      </c>
      <c r="G3075" s="1">
        <f ca="1">IFERROR(__xludf.DUMMYFUNCTION("""COMPUTED_VALUE"""),116)</f>
        <v>116</v>
      </c>
      <c r="H3075" s="1" t="str">
        <f ca="1">IFERROR(__xludf.DUMMYFUNCTION("""COMPUTED_VALUE"""),"MTLSZ000116A10")</f>
        <v>MTLSZ000116A10</v>
      </c>
      <c r="I3075" s="2">
        <f ca="1">IFERROR(__xludf.DUMMYFUNCTION("""COMPUTED_VALUE"""),40213)</f>
        <v>40213</v>
      </c>
      <c r="J3075" s="2">
        <f ca="1">IFERROR(__xludf.DUMMYFUNCTION("""COMPUTED_VALUE"""),40577)</f>
        <v>40577</v>
      </c>
    </row>
    <row r="3076" spans="1:10" x14ac:dyDescent="0.25">
      <c r="A3076" s="1" t="str">
        <f ca="1">IFERROR(__xludf.DUMMYFUNCTION("""COMPUTED_VALUE"""),"BEAC")</f>
        <v>BEAC</v>
      </c>
      <c r="B3076" s="1" t="str">
        <f ca="1">IFERROR(__xludf.DUMMYFUNCTION("""COMPUTED_VALUE"""),"Orbán Kristóf")</f>
        <v>Orbán Kristóf</v>
      </c>
      <c r="C3076" s="1"/>
      <c r="D3076" s="1" t="str">
        <f ca="1">IFERROR(__xludf.DUMMYFUNCTION("""COMPUTED_VALUE"""),"Férfi")</f>
        <v>Férfi</v>
      </c>
      <c r="E3076" s="1"/>
      <c r="F3076" s="1">
        <f ca="1">IFERROR(__xludf.DUMMYFUNCTION("""COMPUTED_VALUE"""),1989)</f>
        <v>1989</v>
      </c>
      <c r="G3076" s="1">
        <f ca="1">IFERROR(__xludf.DUMMYFUNCTION("""COMPUTED_VALUE"""),720)</f>
        <v>720</v>
      </c>
      <c r="H3076" s="1" t="str">
        <f ca="1">IFERROR(__xludf.DUMMYFUNCTION("""COMPUTED_VALUE"""),"MTLSZ000720A10")</f>
        <v>MTLSZ000720A10</v>
      </c>
      <c r="I3076" s="2">
        <f ca="1">IFERROR(__xludf.DUMMYFUNCTION("""COMPUTED_VALUE"""),40204)</f>
        <v>40204</v>
      </c>
      <c r="J3076" s="2">
        <f ca="1">IFERROR(__xludf.DUMMYFUNCTION("""COMPUTED_VALUE"""),40568)</f>
        <v>40568</v>
      </c>
    </row>
    <row r="3077" spans="1:10" x14ac:dyDescent="0.25">
      <c r="A3077" s="1" t="str">
        <f ca="1">IFERROR(__xludf.DUMMYFUNCTION("""COMPUTED_VALUE"""),"Multi Alarm SE")</f>
        <v>Multi Alarm SE</v>
      </c>
      <c r="B3077" s="1" t="str">
        <f ca="1">IFERROR(__xludf.DUMMYFUNCTION("""COMPUTED_VALUE"""),"Dorsch Felix")</f>
        <v>Dorsch Felix</v>
      </c>
      <c r="C3077" s="1"/>
      <c r="D3077" s="1" t="str">
        <f ca="1">IFERROR(__xludf.DUMMYFUNCTION("""COMPUTED_VALUE"""),"Férfi")</f>
        <v>Férfi</v>
      </c>
      <c r="E3077" s="1"/>
      <c r="F3077" s="1">
        <f ca="1">IFERROR(__xludf.DUMMYFUNCTION("""COMPUTED_VALUE"""),1993)</f>
        <v>1993</v>
      </c>
      <c r="G3077" s="1">
        <f ca="1">IFERROR(__xludf.DUMMYFUNCTION("""COMPUTED_VALUE"""),2211)</f>
        <v>2211</v>
      </c>
      <c r="H3077" s="1" t="str">
        <f ca="1">IFERROR(__xludf.DUMMYFUNCTION("""COMPUTED_VALUE"""),"MTLSZ002211A11")</f>
        <v>MTLSZ002211A11</v>
      </c>
      <c r="I3077" s="2">
        <f ca="1">IFERROR(__xludf.DUMMYFUNCTION("""COMPUTED_VALUE"""),40549)</f>
        <v>40549</v>
      </c>
      <c r="J3077" s="2">
        <f ca="1">IFERROR(__xludf.DUMMYFUNCTION("""COMPUTED_VALUE"""),40553)</f>
        <v>40553</v>
      </c>
    </row>
    <row r="3078" spans="1:10" x14ac:dyDescent="0.25">
      <c r="A3078" s="1" t="str">
        <f ca="1">IFERROR(__xludf.DUMMYFUNCTION("""COMPUTED_VALUE"""),"Rosco SE")</f>
        <v>Rosco SE</v>
      </c>
      <c r="B3078" s="1" t="str">
        <f ca="1">IFERROR(__xludf.DUMMYFUNCTION("""COMPUTED_VALUE"""),"Kling Réka")</f>
        <v>Kling Réka</v>
      </c>
      <c r="C3078" s="1"/>
      <c r="D3078" s="1" t="str">
        <f ca="1">IFERROR(__xludf.DUMMYFUNCTION("""COMPUTED_VALUE"""),"Nő")</f>
        <v>Nő</v>
      </c>
      <c r="E3078" s="1"/>
      <c r="F3078" s="1">
        <f ca="1">IFERROR(__xludf.DUMMYFUNCTION("""COMPUTED_VALUE"""),1984)</f>
        <v>1984</v>
      </c>
      <c r="G3078" s="1">
        <f ca="1">IFERROR(__xludf.DUMMYFUNCTION("""COMPUTED_VALUE"""),1563)</f>
        <v>1563</v>
      </c>
      <c r="H3078" s="1" t="str">
        <f ca="1">IFERROR(__xludf.DUMMYFUNCTION("""COMPUTED_VALUE"""),"MTLSZ001563A09")</f>
        <v>MTLSZ001563A09</v>
      </c>
      <c r="I3078" s="2">
        <f ca="1">IFERROR(__xludf.DUMMYFUNCTION("""COMPUTED_VALUE"""),40177)</f>
        <v>40177</v>
      </c>
      <c r="J3078" s="2">
        <f ca="1">IFERROR(__xludf.DUMMYFUNCTION("""COMPUTED_VALUE"""),40541)</f>
        <v>40541</v>
      </c>
    </row>
    <row r="3079" spans="1:10" x14ac:dyDescent="0.25">
      <c r="A3079" s="1" t="str">
        <f ca="1">IFERROR(__xludf.DUMMYFUNCTION("""COMPUTED_VALUE"""),"Rosco SE")</f>
        <v>Rosco SE</v>
      </c>
      <c r="B3079" s="1" t="str">
        <f ca="1">IFERROR(__xludf.DUMMYFUNCTION("""COMPUTED_VALUE"""),"Korányi Zsolt")</f>
        <v>Korányi Zsolt</v>
      </c>
      <c r="C3079" s="1"/>
      <c r="D3079" s="1" t="str">
        <f ca="1">IFERROR(__xludf.DUMMYFUNCTION("""COMPUTED_VALUE"""),"Férfi")</f>
        <v>Férfi</v>
      </c>
      <c r="E3079" s="1"/>
      <c r="F3079" s="1">
        <f ca="1">IFERROR(__xludf.DUMMYFUNCTION("""COMPUTED_VALUE"""),1958)</f>
        <v>1958</v>
      </c>
      <c r="G3079" s="1">
        <f ca="1">IFERROR(__xludf.DUMMYFUNCTION("""COMPUTED_VALUE"""),521)</f>
        <v>521</v>
      </c>
      <c r="H3079" s="1" t="str">
        <f ca="1">IFERROR(__xludf.DUMMYFUNCTION("""COMPUTED_VALUE"""),"MTLSZ000521A09")</f>
        <v>MTLSZ000521A09</v>
      </c>
      <c r="I3079" s="2">
        <f ca="1">IFERROR(__xludf.DUMMYFUNCTION("""COMPUTED_VALUE"""),40177)</f>
        <v>40177</v>
      </c>
      <c r="J3079" s="2">
        <f ca="1">IFERROR(__xludf.DUMMYFUNCTION("""COMPUTED_VALUE"""),40541)</f>
        <v>40541</v>
      </c>
    </row>
    <row r="3080" spans="1:10" x14ac:dyDescent="0.25">
      <c r="A3080" s="1" t="str">
        <f ca="1">IFERROR(__xludf.DUMMYFUNCTION("""COMPUTED_VALUE"""),"Rosco SE")</f>
        <v>Rosco SE</v>
      </c>
      <c r="B3080" s="1" t="str">
        <f ca="1">IFERROR(__xludf.DUMMYFUNCTION("""COMPUTED_VALUE"""),"Kozma Beáta")</f>
        <v>Kozma Beáta</v>
      </c>
      <c r="C3080" s="1"/>
      <c r="D3080" s="1" t="str">
        <f ca="1">IFERROR(__xludf.DUMMYFUNCTION("""COMPUTED_VALUE"""),"Nő")</f>
        <v>Nő</v>
      </c>
      <c r="E3080" s="1"/>
      <c r="F3080" s="1">
        <f ca="1">IFERROR(__xludf.DUMMYFUNCTION("""COMPUTED_VALUE"""),1980)</f>
        <v>1980</v>
      </c>
      <c r="G3080" s="1">
        <f ca="1">IFERROR(__xludf.DUMMYFUNCTION("""COMPUTED_VALUE"""),541)</f>
        <v>541</v>
      </c>
      <c r="H3080" s="1" t="str">
        <f ca="1">IFERROR(__xludf.DUMMYFUNCTION("""COMPUTED_VALUE"""),"MTLSZ000541A09")</f>
        <v>MTLSZ000541A09</v>
      </c>
      <c r="I3080" s="2">
        <f ca="1">IFERROR(__xludf.DUMMYFUNCTION("""COMPUTED_VALUE"""),40177)</f>
        <v>40177</v>
      </c>
      <c r="J3080" s="2">
        <f ca="1">IFERROR(__xludf.DUMMYFUNCTION("""COMPUTED_VALUE"""),40541)</f>
        <v>40541</v>
      </c>
    </row>
    <row r="3081" spans="1:10" x14ac:dyDescent="0.25">
      <c r="A3081" s="1" t="str">
        <f ca="1">IFERROR(__xludf.DUMMYFUNCTION("""COMPUTED_VALUE"""),"Reac SE")</f>
        <v>Reac SE</v>
      </c>
      <c r="B3081" s="1" t="str">
        <f ca="1">IFERROR(__xludf.DUMMYFUNCTION("""COMPUTED_VALUE"""),"Petrovits Gábor")</f>
        <v>Petrovits Gábor</v>
      </c>
      <c r="C3081" s="1"/>
      <c r="D3081" s="1" t="str">
        <f ca="1">IFERROR(__xludf.DUMMYFUNCTION("""COMPUTED_VALUE"""),"Férfi")</f>
        <v>Férfi</v>
      </c>
      <c r="E3081" s="1"/>
      <c r="F3081" s="1">
        <f ca="1">IFERROR(__xludf.DUMMYFUNCTION("""COMPUTED_VALUE"""),1962)</f>
        <v>1962</v>
      </c>
      <c r="G3081" s="1">
        <f ca="1">IFERROR(__xludf.DUMMYFUNCTION("""COMPUTED_VALUE"""),769)</f>
        <v>769</v>
      </c>
      <c r="H3081" s="1" t="str">
        <f ca="1">IFERROR(__xludf.DUMMYFUNCTION("""COMPUTED_VALUE"""),"MTLSZ000769A09")</f>
        <v>MTLSZ000769A09</v>
      </c>
      <c r="I3081" s="2">
        <f ca="1">IFERROR(__xludf.DUMMYFUNCTION("""COMPUTED_VALUE"""),40165)</f>
        <v>40165</v>
      </c>
      <c r="J3081" s="2">
        <f ca="1">IFERROR(__xludf.DUMMYFUNCTION("""COMPUTED_VALUE"""),40529)</f>
        <v>40529</v>
      </c>
    </row>
    <row r="3082" spans="1:10" x14ac:dyDescent="0.25">
      <c r="A3082" s="1" t="str">
        <f ca="1">IFERROR(__xludf.DUMMYFUNCTION("""COMPUTED_VALUE"""),"#N/A")</f>
        <v>#N/A</v>
      </c>
      <c r="B3082" s="1" t="str">
        <f ca="1">IFERROR(__xludf.DUMMYFUNCTION("""COMPUTED_VALUE"""),"Becsei Zoltán")</f>
        <v>Becsei Zoltán</v>
      </c>
      <c r="C3082" s="1"/>
      <c r="D3082" s="1" t="str">
        <f ca="1">IFERROR(__xludf.DUMMYFUNCTION("""COMPUTED_VALUE"""),"Férfi")</f>
        <v>Férfi</v>
      </c>
      <c r="E3082" s="1"/>
      <c r="F3082" s="1">
        <f ca="1">IFERROR(__xludf.DUMMYFUNCTION("""COMPUTED_VALUE"""),1966)</f>
        <v>1966</v>
      </c>
      <c r="G3082" s="1">
        <f ca="1">IFERROR(__xludf.DUMMYFUNCTION("""COMPUTED_VALUE"""),1311)</f>
        <v>1311</v>
      </c>
      <c r="H3082" s="1" t="str">
        <f ca="1">IFERROR(__xludf.DUMMYFUNCTION("""COMPUTED_VALUE"""),"MTLSZ001311A09")</f>
        <v>MTLSZ001311A09</v>
      </c>
      <c r="I3082" s="2">
        <f ca="1">IFERROR(__xludf.DUMMYFUNCTION("""COMPUTED_VALUE"""),40151)</f>
        <v>40151</v>
      </c>
      <c r="J3082" s="2">
        <f ca="1">IFERROR(__xludf.DUMMYFUNCTION("""COMPUTED_VALUE"""),40515)</f>
        <v>40515</v>
      </c>
    </row>
    <row r="3083" spans="1:10" x14ac:dyDescent="0.25">
      <c r="A3083" s="1" t="str">
        <f ca="1">IFERROR(__xludf.DUMMYFUNCTION("""COMPUTED_VALUE"""),"#N/A")</f>
        <v>#N/A</v>
      </c>
      <c r="B3083" s="1" t="str">
        <f ca="1">IFERROR(__xludf.DUMMYFUNCTION("""COMPUTED_VALUE"""),"Darabos Gábor Barna")</f>
        <v>Darabos Gábor Barna</v>
      </c>
      <c r="C3083" s="1"/>
      <c r="D3083" s="1" t="str">
        <f ca="1">IFERROR(__xludf.DUMMYFUNCTION("""COMPUTED_VALUE"""),"Férfi")</f>
        <v>Férfi</v>
      </c>
      <c r="E3083" s="1"/>
      <c r="F3083" s="1">
        <f ca="1">IFERROR(__xludf.DUMMYFUNCTION("""COMPUTED_VALUE"""),1969)</f>
        <v>1969</v>
      </c>
      <c r="G3083" s="1">
        <f ca="1">IFERROR(__xludf.DUMMYFUNCTION("""COMPUTED_VALUE"""),175)</f>
        <v>175</v>
      </c>
      <c r="H3083" s="1" t="str">
        <f ca="1">IFERROR(__xludf.DUMMYFUNCTION("""COMPUTED_VALUE"""),"MTLSZ000175A09")</f>
        <v>MTLSZ000175A09</v>
      </c>
      <c r="I3083" s="2">
        <f ca="1">IFERROR(__xludf.DUMMYFUNCTION("""COMPUTED_VALUE"""),40151)</f>
        <v>40151</v>
      </c>
      <c r="J3083" s="2">
        <f ca="1">IFERROR(__xludf.DUMMYFUNCTION("""COMPUTED_VALUE"""),40515)</f>
        <v>40515</v>
      </c>
    </row>
    <row r="3084" spans="1:10" x14ac:dyDescent="0.25">
      <c r="A3084" s="1" t="str">
        <f ca="1">IFERROR(__xludf.DUMMYFUNCTION("""COMPUTED_VALUE"""),"#N/A")</f>
        <v>#N/A</v>
      </c>
      <c r="B3084" s="1" t="str">
        <f ca="1">IFERROR(__xludf.DUMMYFUNCTION("""COMPUTED_VALUE"""),"Darabosné Majoros Ildikó")</f>
        <v>Darabosné Majoros Ildikó</v>
      </c>
      <c r="C3084" s="1"/>
      <c r="D3084" s="1" t="str">
        <f ca="1">IFERROR(__xludf.DUMMYFUNCTION("""COMPUTED_VALUE"""),"Nő")</f>
        <v>Nő</v>
      </c>
      <c r="E3084" s="1"/>
      <c r="F3084" s="1">
        <f ca="1">IFERROR(__xludf.DUMMYFUNCTION("""COMPUTED_VALUE"""),1970)</f>
        <v>1970</v>
      </c>
      <c r="G3084" s="1">
        <f ca="1">IFERROR(__xludf.DUMMYFUNCTION("""COMPUTED_VALUE"""),177)</f>
        <v>177</v>
      </c>
      <c r="H3084" s="1" t="str">
        <f ca="1">IFERROR(__xludf.DUMMYFUNCTION("""COMPUTED_VALUE"""),"MTLSZ000177A09")</f>
        <v>MTLSZ000177A09</v>
      </c>
      <c r="I3084" s="2">
        <f ca="1">IFERROR(__xludf.DUMMYFUNCTION("""COMPUTED_VALUE"""),40151)</f>
        <v>40151</v>
      </c>
      <c r="J3084" s="2">
        <f ca="1">IFERROR(__xludf.DUMMYFUNCTION("""COMPUTED_VALUE"""),40515)</f>
        <v>40515</v>
      </c>
    </row>
    <row r="3085" spans="1:10" x14ac:dyDescent="0.25">
      <c r="A3085" s="1" t="str">
        <f ca="1">IFERROR(__xludf.DUMMYFUNCTION("""COMPUTED_VALUE"""),"#N/A")</f>
        <v>#N/A</v>
      </c>
      <c r="B3085" s="1" t="str">
        <f ca="1">IFERROR(__xludf.DUMMYFUNCTION("""COMPUTED_VALUE"""),"Félegyházi Mariann")</f>
        <v>Félegyházi Mariann</v>
      </c>
      <c r="C3085" s="1"/>
      <c r="D3085" s="1" t="str">
        <f ca="1">IFERROR(__xludf.DUMMYFUNCTION("""COMPUTED_VALUE"""),"Nő")</f>
        <v>Nő</v>
      </c>
      <c r="E3085" s="1"/>
      <c r="F3085" s="1">
        <f ca="1">IFERROR(__xludf.DUMMYFUNCTION("""COMPUTED_VALUE"""),1967)</f>
        <v>1967</v>
      </c>
      <c r="G3085" s="1">
        <f ca="1">IFERROR(__xludf.DUMMYFUNCTION("""COMPUTED_VALUE"""),245)</f>
        <v>245</v>
      </c>
      <c r="H3085" s="1" t="str">
        <f ca="1">IFERROR(__xludf.DUMMYFUNCTION("""COMPUTED_VALUE"""),"MTLSZ000245A09")</f>
        <v>MTLSZ000245A09</v>
      </c>
      <c r="I3085" s="2">
        <f ca="1">IFERROR(__xludf.DUMMYFUNCTION("""COMPUTED_VALUE"""),40151)</f>
        <v>40151</v>
      </c>
      <c r="J3085" s="2">
        <f ca="1">IFERROR(__xludf.DUMMYFUNCTION("""COMPUTED_VALUE"""),40515)</f>
        <v>40515</v>
      </c>
    </row>
    <row r="3086" spans="1:10" x14ac:dyDescent="0.25">
      <c r="A3086" s="1" t="str">
        <f ca="1">IFERROR(__xludf.DUMMYFUNCTION("""COMPUTED_VALUE"""),"#N/A")</f>
        <v>#N/A</v>
      </c>
      <c r="B3086" s="1" t="str">
        <f ca="1">IFERROR(__xludf.DUMMYFUNCTION("""COMPUTED_VALUE"""),"Horváth Éva")</f>
        <v>Horváth Éva</v>
      </c>
      <c r="C3086" s="1"/>
      <c r="D3086" s="1" t="str">
        <f ca="1">IFERROR(__xludf.DUMMYFUNCTION("""COMPUTED_VALUE"""),"Nő")</f>
        <v>Nő</v>
      </c>
      <c r="E3086" s="1"/>
      <c r="F3086" s="1">
        <f ca="1">IFERROR(__xludf.DUMMYFUNCTION("""COMPUTED_VALUE"""),1970)</f>
        <v>1970</v>
      </c>
      <c r="G3086" s="1">
        <f ca="1">IFERROR(__xludf.DUMMYFUNCTION("""COMPUTED_VALUE"""),1458)</f>
        <v>1458</v>
      </c>
      <c r="H3086" s="1" t="str">
        <f ca="1">IFERROR(__xludf.DUMMYFUNCTION("""COMPUTED_VALUE"""),"MTLSZ001458A09")</f>
        <v>MTLSZ001458A09</v>
      </c>
      <c r="I3086" s="2">
        <f ca="1">IFERROR(__xludf.DUMMYFUNCTION("""COMPUTED_VALUE"""),40151)</f>
        <v>40151</v>
      </c>
      <c r="J3086" s="2">
        <f ca="1">IFERROR(__xludf.DUMMYFUNCTION("""COMPUTED_VALUE"""),40515)</f>
        <v>40515</v>
      </c>
    </row>
    <row r="3087" spans="1:10" x14ac:dyDescent="0.25">
      <c r="A3087" s="1" t="str">
        <f ca="1">IFERROR(__xludf.DUMMYFUNCTION("""COMPUTED_VALUE"""),"#N/A")</f>
        <v>#N/A</v>
      </c>
      <c r="B3087" s="1" t="str">
        <f ca="1">IFERROR(__xludf.DUMMYFUNCTION("""COMPUTED_VALUE"""),"Kelemen Zita")</f>
        <v>Kelemen Zita</v>
      </c>
      <c r="C3087" s="1"/>
      <c r="D3087" s="1" t="str">
        <f ca="1">IFERROR(__xludf.DUMMYFUNCTION("""COMPUTED_VALUE"""),"Nő")</f>
        <v>Nő</v>
      </c>
      <c r="E3087" s="1"/>
      <c r="F3087" s="1">
        <f ca="1">IFERROR(__xludf.DUMMYFUNCTION("""COMPUTED_VALUE"""),1970)</f>
        <v>1970</v>
      </c>
      <c r="G3087" s="1">
        <f ca="1">IFERROR(__xludf.DUMMYFUNCTION("""COMPUTED_VALUE"""),451)</f>
        <v>451</v>
      </c>
      <c r="H3087" s="1" t="str">
        <f ca="1">IFERROR(__xludf.DUMMYFUNCTION("""COMPUTED_VALUE"""),"MTLSZ000451A09")</f>
        <v>MTLSZ000451A09</v>
      </c>
      <c r="I3087" s="2">
        <f ca="1">IFERROR(__xludf.DUMMYFUNCTION("""COMPUTED_VALUE"""),40151)</f>
        <v>40151</v>
      </c>
      <c r="J3087" s="2">
        <f ca="1">IFERROR(__xludf.DUMMYFUNCTION("""COMPUTED_VALUE"""),40515)</f>
        <v>40515</v>
      </c>
    </row>
    <row r="3088" spans="1:10" x14ac:dyDescent="0.25">
      <c r="A3088" s="1" t="str">
        <f ca="1">IFERROR(__xludf.DUMMYFUNCTION("""COMPUTED_VALUE"""),"#N/A")</f>
        <v>#N/A</v>
      </c>
      <c r="B3088" s="1" t="str">
        <f ca="1">IFERROR(__xludf.DUMMYFUNCTION("""COMPUTED_VALUE"""),"Király József")</f>
        <v>Király József</v>
      </c>
      <c r="C3088" s="1"/>
      <c r="D3088" s="1" t="str">
        <f ca="1">IFERROR(__xludf.DUMMYFUNCTION("""COMPUTED_VALUE"""),"Férfi")</f>
        <v>Férfi</v>
      </c>
      <c r="E3088" s="1"/>
      <c r="F3088" s="1">
        <f ca="1">IFERROR(__xludf.DUMMYFUNCTION("""COMPUTED_VALUE"""),1968)</f>
        <v>1968</v>
      </c>
      <c r="G3088" s="1">
        <f ca="1">IFERROR(__xludf.DUMMYFUNCTION("""COMPUTED_VALUE"""),1457)</f>
        <v>1457</v>
      </c>
      <c r="H3088" s="1" t="str">
        <f ca="1">IFERROR(__xludf.DUMMYFUNCTION("""COMPUTED_VALUE"""),"MTLSZ001457A09")</f>
        <v>MTLSZ001457A09</v>
      </c>
      <c r="I3088" s="2">
        <f ca="1">IFERROR(__xludf.DUMMYFUNCTION("""COMPUTED_VALUE"""),40151)</f>
        <v>40151</v>
      </c>
      <c r="J3088" s="2">
        <f ca="1">IFERROR(__xludf.DUMMYFUNCTION("""COMPUTED_VALUE"""),40515)</f>
        <v>40515</v>
      </c>
    </row>
    <row r="3089" spans="1:10" x14ac:dyDescent="0.25">
      <c r="A3089" s="1" t="str">
        <f ca="1">IFERROR(__xludf.DUMMYFUNCTION("""COMPUTED_VALUE"""),"#N/A")</f>
        <v>#N/A</v>
      </c>
      <c r="B3089" s="1" t="str">
        <f ca="1">IFERROR(__xludf.DUMMYFUNCTION("""COMPUTED_VALUE"""),"Király Józsefné")</f>
        <v>Király Józsefné</v>
      </c>
      <c r="C3089" s="1"/>
      <c r="D3089" s="1" t="str">
        <f ca="1">IFERROR(__xludf.DUMMYFUNCTION("""COMPUTED_VALUE"""),"Nő")</f>
        <v>Nő</v>
      </c>
      <c r="E3089" s="1"/>
      <c r="F3089" s="1">
        <f ca="1">IFERROR(__xludf.DUMMYFUNCTION("""COMPUTED_VALUE"""),1966)</f>
        <v>1966</v>
      </c>
      <c r="G3089" s="1">
        <f ca="1">IFERROR(__xludf.DUMMYFUNCTION("""COMPUTED_VALUE"""),1459)</f>
        <v>1459</v>
      </c>
      <c r="H3089" s="1" t="str">
        <f ca="1">IFERROR(__xludf.DUMMYFUNCTION("""COMPUTED_VALUE"""),"MTLSZ001459A09")</f>
        <v>MTLSZ001459A09</v>
      </c>
      <c r="I3089" s="2">
        <f ca="1">IFERROR(__xludf.DUMMYFUNCTION("""COMPUTED_VALUE"""),40151)</f>
        <v>40151</v>
      </c>
      <c r="J3089" s="2">
        <f ca="1">IFERROR(__xludf.DUMMYFUNCTION("""COMPUTED_VALUE"""),40515)</f>
        <v>40515</v>
      </c>
    </row>
    <row r="3090" spans="1:10" x14ac:dyDescent="0.25">
      <c r="A3090" s="1" t="str">
        <f ca="1">IFERROR(__xludf.DUMMYFUNCTION("""COMPUTED_VALUE"""),"#N/A")</f>
        <v>#N/A</v>
      </c>
      <c r="B3090" s="1" t="str">
        <f ca="1">IFERROR(__xludf.DUMMYFUNCTION("""COMPUTED_VALUE"""),"Kiss Donát")</f>
        <v>Kiss Donát</v>
      </c>
      <c r="C3090" s="1"/>
      <c r="D3090" s="1" t="str">
        <f ca="1">IFERROR(__xludf.DUMMYFUNCTION("""COMPUTED_VALUE"""),"Férfi")</f>
        <v>Férfi</v>
      </c>
      <c r="E3090" s="1"/>
      <c r="F3090" s="1">
        <f ca="1">IFERROR(__xludf.DUMMYFUNCTION("""COMPUTED_VALUE"""),1987)</f>
        <v>1987</v>
      </c>
      <c r="G3090" s="1">
        <f ca="1">IFERROR(__xludf.DUMMYFUNCTION("""COMPUTED_VALUE"""),1310)</f>
        <v>1310</v>
      </c>
      <c r="H3090" s="1" t="str">
        <f ca="1">IFERROR(__xludf.DUMMYFUNCTION("""COMPUTED_VALUE"""),"MTLSZ001310A09")</f>
        <v>MTLSZ001310A09</v>
      </c>
      <c r="I3090" s="2">
        <f ca="1">IFERROR(__xludf.DUMMYFUNCTION("""COMPUTED_VALUE"""),40151)</f>
        <v>40151</v>
      </c>
      <c r="J3090" s="2">
        <f ca="1">IFERROR(__xludf.DUMMYFUNCTION("""COMPUTED_VALUE"""),40515)</f>
        <v>40515</v>
      </c>
    </row>
    <row r="3091" spans="1:10" x14ac:dyDescent="0.25">
      <c r="A3091" s="1" t="str">
        <f ca="1">IFERROR(__xludf.DUMMYFUNCTION("""COMPUTED_VALUE"""),"#N/A")</f>
        <v>#N/A</v>
      </c>
      <c r="B3091" s="1" t="str">
        <f ca="1">IFERROR(__xludf.DUMMYFUNCTION("""COMPUTED_VALUE"""),"Mészáros Gábor")</f>
        <v>Mészáros Gábor</v>
      </c>
      <c r="C3091" s="1"/>
      <c r="D3091" s="1" t="str">
        <f ca="1">IFERROR(__xludf.DUMMYFUNCTION("""COMPUTED_VALUE"""),"Férfi")</f>
        <v>Férfi</v>
      </c>
      <c r="E3091" s="1"/>
      <c r="F3091" s="1">
        <f ca="1">IFERROR(__xludf.DUMMYFUNCTION("""COMPUTED_VALUE"""),1966)</f>
        <v>1966</v>
      </c>
      <c r="G3091" s="1">
        <f ca="1">IFERROR(__xludf.DUMMYFUNCTION("""COMPUTED_VALUE"""),639)</f>
        <v>639</v>
      </c>
      <c r="H3091" s="1" t="str">
        <f ca="1">IFERROR(__xludf.DUMMYFUNCTION("""COMPUTED_VALUE"""),"MTLSZ000639A09")</f>
        <v>MTLSZ000639A09</v>
      </c>
      <c r="I3091" s="2">
        <f ca="1">IFERROR(__xludf.DUMMYFUNCTION("""COMPUTED_VALUE"""),40151)</f>
        <v>40151</v>
      </c>
      <c r="J3091" s="2">
        <f ca="1">IFERROR(__xludf.DUMMYFUNCTION("""COMPUTED_VALUE"""),40515)</f>
        <v>40515</v>
      </c>
    </row>
    <row r="3092" spans="1:10" x14ac:dyDescent="0.25">
      <c r="A3092" s="1" t="str">
        <f ca="1">IFERROR(__xludf.DUMMYFUNCTION("""COMPUTED_VALUE"""),"#N/A")</f>
        <v>#N/A</v>
      </c>
      <c r="B3092" s="1" t="str">
        <f ca="1">IFERROR(__xludf.DUMMYFUNCTION("""COMPUTED_VALUE"""),"Nikolényi István")</f>
        <v>Nikolényi István</v>
      </c>
      <c r="C3092" s="1"/>
      <c r="D3092" s="1" t="str">
        <f ca="1">IFERROR(__xludf.DUMMYFUNCTION("""COMPUTED_VALUE"""),"Férfi")</f>
        <v>Férfi</v>
      </c>
      <c r="E3092" s="1"/>
      <c r="F3092" s="1">
        <f ca="1">IFERROR(__xludf.DUMMYFUNCTION("""COMPUTED_VALUE"""),1969)</f>
        <v>1969</v>
      </c>
      <c r="G3092" s="1">
        <f ca="1">IFERROR(__xludf.DUMMYFUNCTION("""COMPUTED_VALUE"""),1460)</f>
        <v>1460</v>
      </c>
      <c r="H3092" s="1" t="str">
        <f ca="1">IFERROR(__xludf.DUMMYFUNCTION("""COMPUTED_VALUE"""),"MTLSZ001460A09")</f>
        <v>MTLSZ001460A09</v>
      </c>
      <c r="I3092" s="2">
        <f ca="1">IFERROR(__xludf.DUMMYFUNCTION("""COMPUTED_VALUE"""),40151)</f>
        <v>40151</v>
      </c>
      <c r="J3092" s="2">
        <f ca="1">IFERROR(__xludf.DUMMYFUNCTION("""COMPUTED_VALUE"""),40515)</f>
        <v>40515</v>
      </c>
    </row>
    <row r="3093" spans="1:10" x14ac:dyDescent="0.25">
      <c r="A3093" s="1" t="str">
        <f ca="1">IFERROR(__xludf.DUMMYFUNCTION("""COMPUTED_VALUE"""),"#N/A")</f>
        <v>#N/A</v>
      </c>
      <c r="B3093" s="1" t="str">
        <f ca="1">IFERROR(__xludf.DUMMYFUNCTION("""COMPUTED_VALUE"""),"Sejbenné Jenei Mária")</f>
        <v>Sejbenné Jenei Mária</v>
      </c>
      <c r="C3093" s="1"/>
      <c r="D3093" s="1" t="str">
        <f ca="1">IFERROR(__xludf.DUMMYFUNCTION("""COMPUTED_VALUE"""),"Nő")</f>
        <v>Nő</v>
      </c>
      <c r="E3093" s="1"/>
      <c r="F3093" s="1">
        <f ca="1">IFERROR(__xludf.DUMMYFUNCTION("""COMPUTED_VALUE"""),1965)</f>
        <v>1965</v>
      </c>
      <c r="G3093" s="1">
        <f ca="1">IFERROR(__xludf.DUMMYFUNCTION("""COMPUTED_VALUE"""),1461)</f>
        <v>1461</v>
      </c>
      <c r="H3093" s="1" t="str">
        <f ca="1">IFERROR(__xludf.DUMMYFUNCTION("""COMPUTED_VALUE"""),"MTLSZ001461A09")</f>
        <v>MTLSZ001461A09</v>
      </c>
      <c r="I3093" s="2">
        <f ca="1">IFERROR(__xludf.DUMMYFUNCTION("""COMPUTED_VALUE"""),40151)</f>
        <v>40151</v>
      </c>
      <c r="J3093" s="2">
        <f ca="1">IFERROR(__xludf.DUMMYFUNCTION("""COMPUTED_VALUE"""),40515)</f>
        <v>40515</v>
      </c>
    </row>
    <row r="3094" spans="1:10" x14ac:dyDescent="0.25">
      <c r="A3094" s="1" t="str">
        <f ca="1">IFERROR(__xludf.DUMMYFUNCTION("""COMPUTED_VALUE"""),"Kecskmetéti TBK")</f>
        <v>Kecskmetéti TBK</v>
      </c>
      <c r="B3094" s="1" t="str">
        <f ca="1">IFERROR(__xludf.DUMMYFUNCTION("""COMPUTED_VALUE"""),"Czingráber Zoltán")</f>
        <v>Czingráber Zoltán</v>
      </c>
      <c r="C3094" s="1"/>
      <c r="D3094" s="1" t="str">
        <f ca="1">IFERROR(__xludf.DUMMYFUNCTION("""COMPUTED_VALUE"""),"Férfi")</f>
        <v>Férfi</v>
      </c>
      <c r="E3094" s="1"/>
      <c r="F3094" s="1">
        <f ca="1">IFERROR(__xludf.DUMMYFUNCTION("""COMPUTED_VALUE"""),1972)</f>
        <v>1972</v>
      </c>
      <c r="G3094" s="1">
        <f ca="1">IFERROR(__xludf.DUMMYFUNCTION("""COMPUTED_VALUE"""),165)</f>
        <v>165</v>
      </c>
      <c r="H3094" s="1" t="str">
        <f ca="1">IFERROR(__xludf.DUMMYFUNCTION("""COMPUTED_VALUE"""),"MTLSZ000165A09")</f>
        <v>MTLSZ000165A09</v>
      </c>
      <c r="I3094" s="2">
        <f ca="1">IFERROR(__xludf.DUMMYFUNCTION("""COMPUTED_VALUE"""),40150)</f>
        <v>40150</v>
      </c>
      <c r="J3094" s="2">
        <f ca="1">IFERROR(__xludf.DUMMYFUNCTION("""COMPUTED_VALUE"""),40514)</f>
        <v>40514</v>
      </c>
    </row>
    <row r="3095" spans="1:10" x14ac:dyDescent="0.25">
      <c r="A3095" s="1" t="str">
        <f ca="1">IFERROR(__xludf.DUMMYFUNCTION("""COMPUTED_VALUE"""),"Kecskmetéti TBK")</f>
        <v>Kecskmetéti TBK</v>
      </c>
      <c r="B3095" s="1" t="str">
        <f ca="1">IFERROR(__xludf.DUMMYFUNCTION("""COMPUTED_VALUE"""),"Deák Tibor dr.")</f>
        <v>Deák Tibor dr.</v>
      </c>
      <c r="C3095" s="1"/>
      <c r="D3095" s="1" t="str">
        <f ca="1">IFERROR(__xludf.DUMMYFUNCTION("""COMPUTED_VALUE"""),"Férfi")</f>
        <v>Férfi</v>
      </c>
      <c r="E3095" s="1"/>
      <c r="F3095" s="1">
        <f ca="1">IFERROR(__xludf.DUMMYFUNCTION("""COMPUTED_VALUE"""),1971)</f>
        <v>1971</v>
      </c>
      <c r="G3095" s="1">
        <f ca="1">IFERROR(__xludf.DUMMYFUNCTION("""COMPUTED_VALUE"""),183)</f>
        <v>183</v>
      </c>
      <c r="H3095" s="1" t="str">
        <f ca="1">IFERROR(__xludf.DUMMYFUNCTION("""COMPUTED_VALUE"""),"MTLSZ000183A09")</f>
        <v>MTLSZ000183A09</v>
      </c>
      <c r="I3095" s="2">
        <f ca="1">IFERROR(__xludf.DUMMYFUNCTION("""COMPUTED_VALUE"""),40150)</f>
        <v>40150</v>
      </c>
      <c r="J3095" s="2">
        <f ca="1">IFERROR(__xludf.DUMMYFUNCTION("""COMPUTED_VALUE"""),40514)</f>
        <v>40514</v>
      </c>
    </row>
    <row r="3096" spans="1:10" x14ac:dyDescent="0.25">
      <c r="A3096" s="1" t="str">
        <f ca="1">IFERROR(__xludf.DUMMYFUNCTION("""COMPUTED_VALUE"""),"Kecskmetéti TBK")</f>
        <v>Kecskmetéti TBK</v>
      </c>
      <c r="B3096" s="1" t="str">
        <f ca="1">IFERROR(__xludf.DUMMYFUNCTION("""COMPUTED_VALUE"""),"Mata Ágnes")</f>
        <v>Mata Ágnes</v>
      </c>
      <c r="C3096" s="1"/>
      <c r="D3096" s="1" t="str">
        <f ca="1">IFERROR(__xludf.DUMMYFUNCTION("""COMPUTED_VALUE"""),"Nő")</f>
        <v>Nő</v>
      </c>
      <c r="E3096" s="1"/>
      <c r="F3096" s="1">
        <f ca="1">IFERROR(__xludf.DUMMYFUNCTION("""COMPUTED_VALUE"""),1975)</f>
        <v>1975</v>
      </c>
      <c r="G3096" s="1">
        <f ca="1">IFERROR(__xludf.DUMMYFUNCTION("""COMPUTED_VALUE"""),1559)</f>
        <v>1559</v>
      </c>
      <c r="H3096" s="1" t="str">
        <f ca="1">IFERROR(__xludf.DUMMYFUNCTION("""COMPUTED_VALUE"""),"MTLSZ001559A09")</f>
        <v>MTLSZ001559A09</v>
      </c>
      <c r="I3096" s="2">
        <f ca="1">IFERROR(__xludf.DUMMYFUNCTION("""COMPUTED_VALUE"""),40150)</f>
        <v>40150</v>
      </c>
      <c r="J3096" s="2">
        <f ca="1">IFERROR(__xludf.DUMMYFUNCTION("""COMPUTED_VALUE"""),40514)</f>
        <v>40514</v>
      </c>
    </row>
    <row r="3097" spans="1:10" x14ac:dyDescent="0.25">
      <c r="A3097" s="1" t="str">
        <f ca="1">IFERROR(__xludf.DUMMYFUNCTION("""COMPUTED_VALUE"""),"Kecskmetéti TBK")</f>
        <v>Kecskmetéti TBK</v>
      </c>
      <c r="B3097" s="1" t="str">
        <f ca="1">IFERROR(__xludf.DUMMYFUNCTION("""COMPUTED_VALUE"""),"Mirkóczki Cecilia")</f>
        <v>Mirkóczki Cecilia</v>
      </c>
      <c r="C3097" s="1"/>
      <c r="D3097" s="1" t="str">
        <f ca="1">IFERROR(__xludf.DUMMYFUNCTION("""COMPUTED_VALUE"""),"Nő")</f>
        <v>Nő</v>
      </c>
      <c r="E3097" s="1"/>
      <c r="F3097" s="1">
        <f ca="1">IFERROR(__xludf.DUMMYFUNCTION("""COMPUTED_VALUE"""),1964)</f>
        <v>1964</v>
      </c>
      <c r="G3097" s="1">
        <f ca="1">IFERROR(__xludf.DUMMYFUNCTION("""COMPUTED_VALUE"""),650)</f>
        <v>650</v>
      </c>
      <c r="H3097" s="1" t="str">
        <f ca="1">IFERROR(__xludf.DUMMYFUNCTION("""COMPUTED_VALUE"""),"MTLSZ000650A09")</f>
        <v>MTLSZ000650A09</v>
      </c>
      <c r="I3097" s="2">
        <f ca="1">IFERROR(__xludf.DUMMYFUNCTION("""COMPUTED_VALUE"""),40150)</f>
        <v>40150</v>
      </c>
      <c r="J3097" s="2">
        <f ca="1">IFERROR(__xludf.DUMMYFUNCTION("""COMPUTED_VALUE"""),40514)</f>
        <v>40514</v>
      </c>
    </row>
    <row r="3098" spans="1:10" x14ac:dyDescent="0.25">
      <c r="A3098" s="1" t="str">
        <f ca="1">IFERROR(__xludf.DUMMYFUNCTION("""COMPUTED_VALUE"""),"Kecskmetéti TBK")</f>
        <v>Kecskmetéti TBK</v>
      </c>
      <c r="B3098" s="1" t="str">
        <f ca="1">IFERROR(__xludf.DUMMYFUNCTION("""COMPUTED_VALUE"""),"Mirkóczki Rita")</f>
        <v>Mirkóczki Rita</v>
      </c>
      <c r="C3098" s="1"/>
      <c r="D3098" s="1" t="str">
        <f ca="1">IFERROR(__xludf.DUMMYFUNCTION("""COMPUTED_VALUE"""),"Nő")</f>
        <v>Nő</v>
      </c>
      <c r="E3098" s="1"/>
      <c r="F3098" s="1">
        <f ca="1">IFERROR(__xludf.DUMMYFUNCTION("""COMPUTED_VALUE"""),1986)</f>
        <v>1986</v>
      </c>
      <c r="G3098" s="1">
        <f ca="1">IFERROR(__xludf.DUMMYFUNCTION("""COMPUTED_VALUE"""),1278)</f>
        <v>1278</v>
      </c>
      <c r="H3098" s="1" t="str">
        <f ca="1">IFERROR(__xludf.DUMMYFUNCTION("""COMPUTED_VALUE"""),"MTLSZ001278A09")</f>
        <v>MTLSZ001278A09</v>
      </c>
      <c r="I3098" s="2">
        <f ca="1">IFERROR(__xludf.DUMMYFUNCTION("""COMPUTED_VALUE"""),40150)</f>
        <v>40150</v>
      </c>
      <c r="J3098" s="2">
        <f ca="1">IFERROR(__xludf.DUMMYFUNCTION("""COMPUTED_VALUE"""),40514)</f>
        <v>40514</v>
      </c>
    </row>
    <row r="3099" spans="1:10" x14ac:dyDescent="0.25">
      <c r="A3099" s="1" t="str">
        <f ca="1">IFERROR(__xludf.DUMMYFUNCTION("""COMPUTED_VALUE"""),"Kecskmetéti TBK")</f>
        <v>Kecskmetéti TBK</v>
      </c>
      <c r="B3099" s="1" t="str">
        <f ca="1">IFERROR(__xludf.DUMMYFUNCTION("""COMPUTED_VALUE"""),"Szénási Emese")</f>
        <v>Szénási Emese</v>
      </c>
      <c r="C3099" s="1"/>
      <c r="D3099" s="1" t="str">
        <f ca="1">IFERROR(__xludf.DUMMYFUNCTION("""COMPUTED_VALUE"""),"Nő")</f>
        <v>Nő</v>
      </c>
      <c r="E3099" s="1"/>
      <c r="F3099" s="1">
        <f ca="1">IFERROR(__xludf.DUMMYFUNCTION("""COMPUTED_VALUE"""),1976)</f>
        <v>1976</v>
      </c>
      <c r="G3099" s="1">
        <f ca="1">IFERROR(__xludf.DUMMYFUNCTION("""COMPUTED_VALUE"""),935)</f>
        <v>935</v>
      </c>
      <c r="H3099" s="1" t="str">
        <f ca="1">IFERROR(__xludf.DUMMYFUNCTION("""COMPUTED_VALUE"""),"MTLSZ000935A09")</f>
        <v>MTLSZ000935A09</v>
      </c>
      <c r="I3099" s="2">
        <f ca="1">IFERROR(__xludf.DUMMYFUNCTION("""COMPUTED_VALUE"""),40150)</f>
        <v>40150</v>
      </c>
      <c r="J3099" s="2">
        <f ca="1">IFERROR(__xludf.DUMMYFUNCTION("""COMPUTED_VALUE"""),40514)</f>
        <v>40514</v>
      </c>
    </row>
    <row r="3100" spans="1:10" x14ac:dyDescent="0.25">
      <c r="A3100" s="1" t="str">
        <f ca="1">IFERROR(__xludf.DUMMYFUNCTION("""COMPUTED_VALUE"""),"Kecskmetéti TBK")</f>
        <v>Kecskmetéti TBK</v>
      </c>
      <c r="B3100" s="1" t="str">
        <f ca="1">IFERROR(__xludf.DUMMYFUNCTION("""COMPUTED_VALUE"""),"Tollas Erika")</f>
        <v>Tollas Erika</v>
      </c>
      <c r="C3100" s="1"/>
      <c r="D3100" s="1" t="str">
        <f ca="1">IFERROR(__xludf.DUMMYFUNCTION("""COMPUTED_VALUE"""),"Nő")</f>
        <v>Nő</v>
      </c>
      <c r="E3100" s="1"/>
      <c r="F3100" s="1">
        <f ca="1">IFERROR(__xludf.DUMMYFUNCTION("""COMPUTED_VALUE"""),1979)</f>
        <v>1979</v>
      </c>
      <c r="G3100" s="1">
        <f ca="1">IFERROR(__xludf.DUMMYFUNCTION("""COMPUTED_VALUE"""),1014)</f>
        <v>1014</v>
      </c>
      <c r="H3100" s="1" t="str">
        <f ca="1">IFERROR(__xludf.DUMMYFUNCTION("""COMPUTED_VALUE"""),"MTLSZ001014A09")</f>
        <v>MTLSZ001014A09</v>
      </c>
      <c r="I3100" s="2">
        <f ca="1">IFERROR(__xludf.DUMMYFUNCTION("""COMPUTED_VALUE"""),40150)</f>
        <v>40150</v>
      </c>
      <c r="J3100" s="2">
        <f ca="1">IFERROR(__xludf.DUMMYFUNCTION("""COMPUTED_VALUE"""),40514)</f>
        <v>40514</v>
      </c>
    </row>
    <row r="3101" spans="1:10" x14ac:dyDescent="0.25">
      <c r="A3101" s="1" t="str">
        <f ca="1">IFERROR(__xludf.DUMMYFUNCTION("""COMPUTED_VALUE"""),"Kecskmetéti TBK")</f>
        <v>Kecskmetéti TBK</v>
      </c>
      <c r="B3101" s="1" t="str">
        <f ca="1">IFERROR(__xludf.DUMMYFUNCTION("""COMPUTED_VALUE"""),"Tóth Gábor dr.")</f>
        <v>Tóth Gábor dr.</v>
      </c>
      <c r="C3101" s="1"/>
      <c r="D3101" s="1" t="str">
        <f ca="1">IFERROR(__xludf.DUMMYFUNCTION("""COMPUTED_VALUE"""),"Férfi")</f>
        <v>Férfi</v>
      </c>
      <c r="E3101" s="1"/>
      <c r="F3101" s="1">
        <f ca="1">IFERROR(__xludf.DUMMYFUNCTION("""COMPUTED_VALUE"""),1975)</f>
        <v>1975</v>
      </c>
      <c r="G3101" s="1">
        <f ca="1">IFERROR(__xludf.DUMMYFUNCTION("""COMPUTED_VALUE"""),1673)</f>
        <v>1673</v>
      </c>
      <c r="H3101" s="1" t="str">
        <f ca="1">IFERROR(__xludf.DUMMYFUNCTION("""COMPUTED_VALUE"""),"MTLSZ001673A09")</f>
        <v>MTLSZ001673A09</v>
      </c>
      <c r="I3101" s="2">
        <f ca="1">IFERROR(__xludf.DUMMYFUNCTION("""COMPUTED_VALUE"""),40150)</f>
        <v>40150</v>
      </c>
      <c r="J3101" s="2">
        <f ca="1">IFERROR(__xludf.DUMMYFUNCTION("""COMPUTED_VALUE"""),40514)</f>
        <v>40514</v>
      </c>
    </row>
    <row r="3102" spans="1:10" x14ac:dyDescent="0.25">
      <c r="A3102" s="1" t="str">
        <f ca="1">IFERROR(__xludf.DUMMYFUNCTION("""COMPUTED_VALUE"""),"Kecskmetéti TBK")</f>
        <v>Kecskmetéti TBK</v>
      </c>
      <c r="B3102" s="1" t="str">
        <f ca="1">IFERROR(__xludf.DUMMYFUNCTION("""COMPUTED_VALUE"""),"Zima Tibor Péter")</f>
        <v>Zima Tibor Péter</v>
      </c>
      <c r="C3102" s="1"/>
      <c r="D3102" s="1" t="str">
        <f ca="1">IFERROR(__xludf.DUMMYFUNCTION("""COMPUTED_VALUE"""),"Férfi")</f>
        <v>Férfi</v>
      </c>
      <c r="E3102" s="1"/>
      <c r="F3102" s="1">
        <f ca="1">IFERROR(__xludf.DUMMYFUNCTION("""COMPUTED_VALUE"""),1975)</f>
        <v>1975</v>
      </c>
      <c r="G3102" s="1">
        <f ca="1">IFERROR(__xludf.DUMMYFUNCTION("""COMPUTED_VALUE"""),1141)</f>
        <v>1141</v>
      </c>
      <c r="H3102" s="1" t="str">
        <f ca="1">IFERROR(__xludf.DUMMYFUNCTION("""COMPUTED_VALUE"""),"MTLSZ001141A09")</f>
        <v>MTLSZ001141A09</v>
      </c>
      <c r="I3102" s="2">
        <f ca="1">IFERROR(__xludf.DUMMYFUNCTION("""COMPUTED_VALUE"""),40150)</f>
        <v>40150</v>
      </c>
      <c r="J3102" s="2">
        <f ca="1">IFERROR(__xludf.DUMMYFUNCTION("""COMPUTED_VALUE"""),40514)</f>
        <v>40514</v>
      </c>
    </row>
    <row r="3103" spans="1:10" x14ac:dyDescent="0.25">
      <c r="A3103" s="1" t="str">
        <f ca="1">IFERROR(__xludf.DUMMYFUNCTION("""COMPUTED_VALUE"""),"Multi Alarm SE")</f>
        <v>Multi Alarm SE</v>
      </c>
      <c r="B3103" s="1" t="str">
        <f ca="1">IFERROR(__xludf.DUMMYFUNCTION("""COMPUTED_VALUE"""),"Nagy Arnold")</f>
        <v>Nagy Arnold</v>
      </c>
      <c r="C3103" s="1"/>
      <c r="D3103" s="1" t="str">
        <f ca="1">IFERROR(__xludf.DUMMYFUNCTION("""COMPUTED_VALUE"""),"Férfi")</f>
        <v>Férfi</v>
      </c>
      <c r="E3103" s="1"/>
      <c r="F3103" s="1">
        <f ca="1">IFERROR(__xludf.DUMMYFUNCTION("""COMPUTED_VALUE"""),1989)</f>
        <v>1989</v>
      </c>
      <c r="G3103" s="1">
        <f ca="1">IFERROR(__xludf.DUMMYFUNCTION("""COMPUTED_VALUE"""),1715)</f>
        <v>1715</v>
      </c>
      <c r="H3103" s="1" t="str">
        <f ca="1">IFERROR(__xludf.DUMMYFUNCTION("""COMPUTED_VALUE"""),"MTLSZ001715A09")</f>
        <v>MTLSZ001715A09</v>
      </c>
      <c r="I3103" s="2">
        <f ca="1">IFERROR(__xludf.DUMMYFUNCTION("""COMPUTED_VALUE"""),40134)</f>
        <v>40134</v>
      </c>
      <c r="J3103" s="2">
        <f ca="1">IFERROR(__xludf.DUMMYFUNCTION("""COMPUTED_VALUE"""),40498)</f>
        <v>40498</v>
      </c>
    </row>
    <row r="3104" spans="1:10" x14ac:dyDescent="0.25">
      <c r="A3104" s="1" t="str">
        <f ca="1">IFERROR(__xludf.DUMMYFUNCTION("""COMPUTED_VALUE"""),"Multi Alarm SE")</f>
        <v>Multi Alarm SE</v>
      </c>
      <c r="B3104" s="1" t="str">
        <f ca="1">IFERROR(__xludf.DUMMYFUNCTION("""COMPUTED_VALUE"""),"Zsolt Orsolya")</f>
        <v>Zsolt Orsolya</v>
      </c>
      <c r="C3104" s="1"/>
      <c r="D3104" s="1" t="str">
        <f ca="1">IFERROR(__xludf.DUMMYFUNCTION("""COMPUTED_VALUE"""),"Nő")</f>
        <v>Nő</v>
      </c>
      <c r="E3104" s="1"/>
      <c r="F3104" s="1">
        <f ca="1">IFERROR(__xludf.DUMMYFUNCTION("""COMPUTED_VALUE"""),1993)</f>
        <v>1993</v>
      </c>
      <c r="G3104" s="1">
        <f ca="1">IFERROR(__xludf.DUMMYFUNCTION("""COMPUTED_VALUE"""),1593)</f>
        <v>1593</v>
      </c>
      <c r="H3104" s="1" t="str">
        <f ca="1">IFERROR(__xludf.DUMMYFUNCTION("""COMPUTED_VALUE"""),"MTLSZ001593A09")</f>
        <v>MTLSZ001593A09</v>
      </c>
      <c r="I3104" s="2">
        <f ca="1">IFERROR(__xludf.DUMMYFUNCTION("""COMPUTED_VALUE"""),40134)</f>
        <v>40134</v>
      </c>
      <c r="J3104" s="2">
        <f ca="1">IFERROR(__xludf.DUMMYFUNCTION("""COMPUTED_VALUE"""),40498)</f>
        <v>40498</v>
      </c>
    </row>
    <row r="3105" spans="1:10" x14ac:dyDescent="0.25">
      <c r="A3105" s="1" t="str">
        <f ca="1">IFERROR(__xludf.DUMMYFUNCTION("""COMPUTED_VALUE"""),"DSC-SI")</f>
        <v>DSC-SI</v>
      </c>
      <c r="B3105" s="1" t="str">
        <f ca="1">IFERROR(__xludf.DUMMYFUNCTION("""COMPUTED_VALUE"""),"Csire Máté")</f>
        <v>Csire Máté</v>
      </c>
      <c r="C3105" s="1"/>
      <c r="D3105" s="1" t="str">
        <f ca="1">IFERROR(__xludf.DUMMYFUNCTION("""COMPUTED_VALUE"""),"Férfi")</f>
        <v>Férfi</v>
      </c>
      <c r="E3105" s="1"/>
      <c r="F3105" s="1">
        <f ca="1">IFERROR(__xludf.DUMMYFUNCTION("""COMPUTED_VALUE"""),1988)</f>
        <v>1988</v>
      </c>
      <c r="G3105" s="1">
        <f ca="1">IFERROR(__xludf.DUMMYFUNCTION("""COMPUTED_VALUE"""),2008)</f>
        <v>2008</v>
      </c>
      <c r="H3105" s="1" t="str">
        <f ca="1">IFERROR(__xludf.DUMMYFUNCTION("""COMPUTED_VALUE"""),"MTLSZ002008A09")</f>
        <v>MTLSZ002008A09</v>
      </c>
      <c r="I3105" s="2">
        <f ca="1">IFERROR(__xludf.DUMMYFUNCTION("""COMPUTED_VALUE"""),40127)</f>
        <v>40127</v>
      </c>
      <c r="J3105" s="2">
        <f ca="1">IFERROR(__xludf.DUMMYFUNCTION("""COMPUTED_VALUE"""),40491)</f>
        <v>40491</v>
      </c>
    </row>
    <row r="3106" spans="1:10" x14ac:dyDescent="0.25">
      <c r="A3106" s="1" t="str">
        <f ca="1">IFERROR(__xludf.DUMMYFUNCTION("""COMPUTED_VALUE"""),"DSC-SI")</f>
        <v>DSC-SI</v>
      </c>
      <c r="B3106" s="1" t="str">
        <f ca="1">IFERROR(__xludf.DUMMYFUNCTION("""COMPUTED_VALUE"""),"Nguyen Minh Nhat")</f>
        <v>Nguyen Minh Nhat</v>
      </c>
      <c r="C3106" s="1"/>
      <c r="D3106" s="1" t="str">
        <f ca="1">IFERROR(__xludf.DUMMYFUNCTION("""COMPUTED_VALUE"""),"Férfi")</f>
        <v>Férfi</v>
      </c>
      <c r="E3106" s="1"/>
      <c r="F3106" s="1">
        <f ca="1">IFERROR(__xludf.DUMMYFUNCTION("""COMPUTED_VALUE"""),1984)</f>
        <v>1984</v>
      </c>
      <c r="G3106" s="1">
        <f ca="1">IFERROR(__xludf.DUMMYFUNCTION("""COMPUTED_VALUE"""),1796)</f>
        <v>1796</v>
      </c>
      <c r="H3106" s="1" t="str">
        <f ca="1">IFERROR(__xludf.DUMMYFUNCTION("""COMPUTED_VALUE"""),"MTLSZ001796A09")</f>
        <v>MTLSZ001796A09</v>
      </c>
      <c r="I3106" s="2">
        <f ca="1">IFERROR(__xludf.DUMMYFUNCTION("""COMPUTED_VALUE"""),40127)</f>
        <v>40127</v>
      </c>
      <c r="J3106" s="2">
        <f ca="1">IFERROR(__xludf.DUMMYFUNCTION("""COMPUTED_VALUE"""),40491)</f>
        <v>40491</v>
      </c>
    </row>
    <row r="3107" spans="1:10" x14ac:dyDescent="0.25">
      <c r="A3107" s="1" t="str">
        <f ca="1">IFERROR(__xludf.DUMMYFUNCTION("""COMPUTED_VALUE"""),"Tisza TSE")</f>
        <v>Tisza TSE</v>
      </c>
      <c r="B3107" s="1" t="str">
        <f ca="1">IFERROR(__xludf.DUMMYFUNCTION("""COMPUTED_VALUE"""),"Németh István")</f>
        <v>Németh István</v>
      </c>
      <c r="C3107" s="1"/>
      <c r="D3107" s="1" t="str">
        <f ca="1">IFERROR(__xludf.DUMMYFUNCTION("""COMPUTED_VALUE"""),"Férfi")</f>
        <v>Férfi</v>
      </c>
      <c r="E3107" s="1"/>
      <c r="F3107" s="1">
        <f ca="1">IFERROR(__xludf.DUMMYFUNCTION("""COMPUTED_VALUE"""),1965)</f>
        <v>1965</v>
      </c>
      <c r="G3107" s="1">
        <f ca="1">IFERROR(__xludf.DUMMYFUNCTION("""COMPUTED_VALUE"""),2003)</f>
        <v>2003</v>
      </c>
      <c r="H3107" s="1" t="str">
        <f ca="1">IFERROR(__xludf.DUMMYFUNCTION("""COMPUTED_VALUE"""),"MTLSZ002003A09")</f>
        <v>MTLSZ002003A09</v>
      </c>
      <c r="I3107" s="2">
        <f ca="1">IFERROR(__xludf.DUMMYFUNCTION("""COMPUTED_VALUE"""),40127)</f>
        <v>40127</v>
      </c>
      <c r="J3107" s="2">
        <f ca="1">IFERROR(__xludf.DUMMYFUNCTION("""COMPUTED_VALUE"""),40491)</f>
        <v>40491</v>
      </c>
    </row>
    <row r="3108" spans="1:10" x14ac:dyDescent="0.25">
      <c r="A3108" s="1" t="str">
        <f ca="1">IFERROR(__xludf.DUMMYFUNCTION("""COMPUTED_VALUE"""),"Dunakanyar TSE")</f>
        <v>Dunakanyar TSE</v>
      </c>
      <c r="B3108" s="1" t="str">
        <f ca="1">IFERROR(__xludf.DUMMYFUNCTION("""COMPUTED_VALUE"""),"Berecz András")</f>
        <v>Berecz András</v>
      </c>
      <c r="C3108" s="1"/>
      <c r="D3108" s="1" t="str">
        <f ca="1">IFERROR(__xludf.DUMMYFUNCTION("""COMPUTED_VALUE"""),"Férfi")</f>
        <v>Férfi</v>
      </c>
      <c r="E3108" s="1"/>
      <c r="F3108" s="1">
        <f ca="1">IFERROR(__xludf.DUMMYFUNCTION("""COMPUTED_VALUE"""),1973)</f>
        <v>1973</v>
      </c>
      <c r="G3108" s="1">
        <f ca="1">IFERROR(__xludf.DUMMYFUNCTION("""COMPUTED_VALUE"""),1999)</f>
        <v>1999</v>
      </c>
      <c r="H3108" s="1" t="str">
        <f ca="1">IFERROR(__xludf.DUMMYFUNCTION("""COMPUTED_VALUE"""),"MTLSZ001999A09")</f>
        <v>MTLSZ001999A09</v>
      </c>
      <c r="I3108" s="2">
        <f ca="1">IFERROR(__xludf.DUMMYFUNCTION("""COMPUTED_VALUE"""),40123)</f>
        <v>40123</v>
      </c>
      <c r="J3108" s="2">
        <f ca="1">IFERROR(__xludf.DUMMYFUNCTION("""COMPUTED_VALUE"""),40487)</f>
        <v>40487</v>
      </c>
    </row>
    <row r="3109" spans="1:10" x14ac:dyDescent="0.25">
      <c r="A3109" s="1" t="str">
        <f ca="1">IFERROR(__xludf.DUMMYFUNCTION("""COMPUTED_VALUE"""),"Dunakanyar TSE")</f>
        <v>Dunakanyar TSE</v>
      </c>
      <c r="B3109" s="1" t="str">
        <f ca="1">IFERROR(__xludf.DUMMYFUNCTION("""COMPUTED_VALUE"""),"Petrányi Nikolett")</f>
        <v>Petrányi Nikolett</v>
      </c>
      <c r="C3109" s="1"/>
      <c r="D3109" s="1" t="str">
        <f ca="1">IFERROR(__xludf.DUMMYFUNCTION("""COMPUTED_VALUE"""),"Nő")</f>
        <v>Nő</v>
      </c>
      <c r="E3109" s="1"/>
      <c r="F3109" s="1">
        <f ca="1">IFERROR(__xludf.DUMMYFUNCTION("""COMPUTED_VALUE"""),1990)</f>
        <v>1990</v>
      </c>
      <c r="G3109" s="1">
        <f ca="1">IFERROR(__xludf.DUMMYFUNCTION("""COMPUTED_VALUE"""),2000)</f>
        <v>2000</v>
      </c>
      <c r="H3109" s="1" t="str">
        <f ca="1">IFERROR(__xludf.DUMMYFUNCTION("""COMPUTED_VALUE"""),"MTLSZ002000A09")</f>
        <v>MTLSZ002000A09</v>
      </c>
      <c r="I3109" s="2">
        <f ca="1">IFERROR(__xludf.DUMMYFUNCTION("""COMPUTED_VALUE"""),40123)</f>
        <v>40123</v>
      </c>
      <c r="J3109" s="2">
        <f ca="1">IFERROR(__xludf.DUMMYFUNCTION("""COMPUTED_VALUE"""),40487)</f>
        <v>40487</v>
      </c>
    </row>
    <row r="3110" spans="1:10" x14ac:dyDescent="0.25">
      <c r="A3110" s="1" t="str">
        <f ca="1">IFERROR(__xludf.DUMMYFUNCTION("""COMPUTED_VALUE"""),"Alba-Toll SE")</f>
        <v>Alba-Toll SE</v>
      </c>
      <c r="B3110" s="1" t="str">
        <f ca="1">IFERROR(__xludf.DUMMYFUNCTION("""COMPUTED_VALUE"""),"Strobl Eszter")</f>
        <v>Strobl Eszter</v>
      </c>
      <c r="C3110" s="1"/>
      <c r="D3110" s="1" t="str">
        <f ca="1">IFERROR(__xludf.DUMMYFUNCTION("""COMPUTED_VALUE"""),"Nő")</f>
        <v>Nő</v>
      </c>
      <c r="E3110" s="1"/>
      <c r="F3110" s="1">
        <f ca="1">IFERROR(__xludf.DUMMYFUNCTION("""COMPUTED_VALUE"""),1991)</f>
        <v>1991</v>
      </c>
      <c r="G3110" s="1">
        <f ca="1">IFERROR(__xludf.DUMMYFUNCTION("""COMPUTED_VALUE"""),1405)</f>
        <v>1405</v>
      </c>
      <c r="H3110" s="1" t="str">
        <f ca="1">IFERROR(__xludf.DUMMYFUNCTION("""COMPUTED_VALUE"""),"MTLSZ001405A09")</f>
        <v>MTLSZ001405A09</v>
      </c>
      <c r="I3110" s="2">
        <f ca="1">IFERROR(__xludf.DUMMYFUNCTION("""COMPUTED_VALUE"""),40122)</f>
        <v>40122</v>
      </c>
      <c r="J3110" s="2">
        <f ca="1">IFERROR(__xludf.DUMMYFUNCTION("""COMPUTED_VALUE"""),40486)</f>
        <v>40486</v>
      </c>
    </row>
    <row r="3111" spans="1:10" x14ac:dyDescent="0.25">
      <c r="A3111" s="1" t="str">
        <f ca="1">IFERROR(__xludf.DUMMYFUNCTION("""COMPUTED_VALUE"""),"MAFC")</f>
        <v>MAFC</v>
      </c>
      <c r="B3111" s="1" t="str">
        <f ca="1">IFERROR(__xludf.DUMMYFUNCTION("""COMPUTED_VALUE"""),"Farkas Zsófia")</f>
        <v>Farkas Zsófia</v>
      </c>
      <c r="C3111" s="1"/>
      <c r="D3111" s="1" t="str">
        <f ca="1">IFERROR(__xludf.DUMMYFUNCTION("""COMPUTED_VALUE"""),"Nő")</f>
        <v>Nő</v>
      </c>
      <c r="E3111" s="1"/>
      <c r="F3111" s="1">
        <f ca="1">IFERROR(__xludf.DUMMYFUNCTION("""COMPUTED_VALUE"""),1990)</f>
        <v>1990</v>
      </c>
      <c r="G3111" s="1">
        <f ca="1">IFERROR(__xludf.DUMMYFUNCTION("""COMPUTED_VALUE"""),1797)</f>
        <v>1797</v>
      </c>
      <c r="H3111" s="1" t="str">
        <f ca="1">IFERROR(__xludf.DUMMYFUNCTION("""COMPUTED_VALUE"""),"MTLSZ001797A09")</f>
        <v>MTLSZ001797A09</v>
      </c>
      <c r="I3111" s="2">
        <f ca="1">IFERROR(__xludf.DUMMYFUNCTION("""COMPUTED_VALUE"""),40112)</f>
        <v>40112</v>
      </c>
      <c r="J3111" s="2">
        <f ca="1">IFERROR(__xludf.DUMMYFUNCTION("""COMPUTED_VALUE"""),40476)</f>
        <v>40476</v>
      </c>
    </row>
    <row r="3112" spans="1:10" x14ac:dyDescent="0.25">
      <c r="A3112" s="1" t="str">
        <f ca="1">IFERROR(__xludf.DUMMYFUNCTION("""COMPUTED_VALUE"""),"OSC")</f>
        <v>OSC</v>
      </c>
      <c r="B3112" s="1" t="str">
        <f ca="1">IFERROR(__xludf.DUMMYFUNCTION("""COMPUTED_VALUE"""),"Szilágyi Balázs")</f>
        <v>Szilágyi Balázs</v>
      </c>
      <c r="C3112" s="1"/>
      <c r="D3112" s="1" t="str">
        <f ca="1">IFERROR(__xludf.DUMMYFUNCTION("""COMPUTED_VALUE"""),"Férfi")</f>
        <v>Férfi</v>
      </c>
      <c r="E3112" s="1"/>
      <c r="F3112" s="1">
        <f ca="1">IFERROR(__xludf.DUMMYFUNCTION("""COMPUTED_VALUE"""),1996)</f>
        <v>1996</v>
      </c>
      <c r="G3112" s="1">
        <f ca="1">IFERROR(__xludf.DUMMYFUNCTION("""COMPUTED_VALUE"""),1992)</f>
        <v>1992</v>
      </c>
      <c r="H3112" s="1" t="str">
        <f ca="1">IFERROR(__xludf.DUMMYFUNCTION("""COMPUTED_VALUE"""),"MTLSZ001992A09")</f>
        <v>MTLSZ001992A09</v>
      </c>
      <c r="I3112" s="2">
        <f ca="1">IFERROR(__xludf.DUMMYFUNCTION("""COMPUTED_VALUE"""),40106)</f>
        <v>40106</v>
      </c>
      <c r="J3112" s="2">
        <f ca="1">IFERROR(__xludf.DUMMYFUNCTION("""COMPUTED_VALUE"""),40470)</f>
        <v>40470</v>
      </c>
    </row>
    <row r="3113" spans="1:10" x14ac:dyDescent="0.25">
      <c r="A3113" s="1" t="str">
        <f ca="1">IFERROR(__xludf.DUMMYFUNCTION("""COMPUTED_VALUE"""),"NYVSC")</f>
        <v>NYVSC</v>
      </c>
      <c r="B3113" s="1" t="str">
        <f ca="1">IFERROR(__xludf.DUMMYFUNCTION("""COMPUTED_VALUE"""),"Bessenyei Dávid")</f>
        <v>Bessenyei Dávid</v>
      </c>
      <c r="C3113" s="1"/>
      <c r="D3113" s="1" t="str">
        <f ca="1">IFERROR(__xludf.DUMMYFUNCTION("""COMPUTED_VALUE"""),"Férfi")</f>
        <v>Férfi</v>
      </c>
      <c r="E3113" s="1"/>
      <c r="F3113" s="1">
        <f ca="1">IFERROR(__xludf.DUMMYFUNCTION("""COMPUTED_VALUE"""),1994)</f>
        <v>1994</v>
      </c>
      <c r="G3113" s="1">
        <f ca="1">IFERROR(__xludf.DUMMYFUNCTION("""COMPUTED_VALUE"""),1913)</f>
        <v>1913</v>
      </c>
      <c r="H3113" s="1" t="str">
        <f ca="1">IFERROR(__xludf.DUMMYFUNCTION("""COMPUTED_VALUE"""),"MTLSZ001913A09")</f>
        <v>MTLSZ001913A09</v>
      </c>
      <c r="I3113" s="2">
        <f ca="1">IFERROR(__xludf.DUMMYFUNCTION("""COMPUTED_VALUE"""),40087)</f>
        <v>40087</v>
      </c>
      <c r="J3113" s="2">
        <f ca="1">IFERROR(__xludf.DUMMYFUNCTION("""COMPUTED_VALUE"""),40451)</f>
        <v>40451</v>
      </c>
    </row>
    <row r="3114" spans="1:10" x14ac:dyDescent="0.25">
      <c r="A3114" s="1" t="str">
        <f ca="1">IFERROR(__xludf.DUMMYFUNCTION("""COMPUTED_VALUE"""),"OSC")</f>
        <v>OSC</v>
      </c>
      <c r="B3114" s="1" t="str">
        <f ca="1">IFERROR(__xludf.DUMMYFUNCTION("""COMPUTED_VALUE"""),"Kemény Erzsébet")</f>
        <v>Kemény Erzsébet</v>
      </c>
      <c r="C3114" s="1"/>
      <c r="D3114" s="1" t="str">
        <f ca="1">IFERROR(__xludf.DUMMYFUNCTION("""COMPUTED_VALUE"""),"Nő")</f>
        <v>Nő</v>
      </c>
      <c r="E3114" s="1"/>
      <c r="F3114" s="1">
        <f ca="1">IFERROR(__xludf.DUMMYFUNCTION("""COMPUTED_VALUE"""),1959)</f>
        <v>1959</v>
      </c>
      <c r="G3114" s="1">
        <f ca="1">IFERROR(__xludf.DUMMYFUNCTION("""COMPUTED_VALUE"""),452)</f>
        <v>452</v>
      </c>
      <c r="H3114" s="1" t="str">
        <f ca="1">IFERROR(__xludf.DUMMYFUNCTION("""COMPUTED_VALUE"""),"MTLSZ000452A09")</f>
        <v>MTLSZ000452A09</v>
      </c>
      <c r="I3114" s="2">
        <f ca="1">IFERROR(__xludf.DUMMYFUNCTION("""COMPUTED_VALUE"""),40073)</f>
        <v>40073</v>
      </c>
      <c r="J3114" s="2">
        <f ca="1">IFERROR(__xludf.DUMMYFUNCTION("""COMPUTED_VALUE"""),40437)</f>
        <v>40437</v>
      </c>
    </row>
    <row r="3115" spans="1:10" x14ac:dyDescent="0.25">
      <c r="A3115" s="1" t="str">
        <f ca="1">IFERROR(__xludf.DUMMYFUNCTION("""COMPUTED_VALUE"""),"Dunakanyar TSE")</f>
        <v>Dunakanyar TSE</v>
      </c>
      <c r="B3115" s="1" t="str">
        <f ca="1">IFERROR(__xludf.DUMMYFUNCTION("""COMPUTED_VALUE"""),"Kormos Andrea")</f>
        <v>Kormos Andrea</v>
      </c>
      <c r="C3115" s="1"/>
      <c r="D3115" s="1" t="str">
        <f ca="1">IFERROR(__xludf.DUMMYFUNCTION("""COMPUTED_VALUE"""),"Nő")</f>
        <v>Nő</v>
      </c>
      <c r="E3115" s="1"/>
      <c r="F3115" s="1">
        <f ca="1">IFERROR(__xludf.DUMMYFUNCTION("""COMPUTED_VALUE"""),1991)</f>
        <v>1991</v>
      </c>
      <c r="G3115" s="1">
        <f ca="1">IFERROR(__xludf.DUMMYFUNCTION("""COMPUTED_VALUE"""),1897)</f>
        <v>1897</v>
      </c>
      <c r="H3115" s="1" t="str">
        <f ca="1">IFERROR(__xludf.DUMMYFUNCTION("""COMPUTED_VALUE"""),"MTLSZ001897A09")</f>
        <v>MTLSZ001897A09</v>
      </c>
      <c r="I3115" s="2">
        <f ca="1">IFERROR(__xludf.DUMMYFUNCTION("""COMPUTED_VALUE"""),40070)</f>
        <v>40070</v>
      </c>
      <c r="J3115" s="2">
        <f ca="1">IFERROR(__xludf.DUMMYFUNCTION("""COMPUTED_VALUE"""),40434)</f>
        <v>40434</v>
      </c>
    </row>
    <row r="3116" spans="1:10" x14ac:dyDescent="0.25">
      <c r="A3116" s="1" t="str">
        <f ca="1">IFERROR(__xludf.DUMMYFUNCTION("""COMPUTED_VALUE"""),"Universitas SC")</f>
        <v>Universitas SC</v>
      </c>
      <c r="B3116" s="1" t="str">
        <f ca="1">IFERROR(__xludf.DUMMYFUNCTION("""COMPUTED_VALUE"""),"Kormány Gábor")</f>
        <v>Kormány Gábor</v>
      </c>
      <c r="C3116" s="1"/>
      <c r="D3116" s="1" t="str">
        <f ca="1">IFERROR(__xludf.DUMMYFUNCTION("""COMPUTED_VALUE"""),"Férfi")</f>
        <v>Férfi</v>
      </c>
      <c r="E3116" s="1"/>
      <c r="F3116" s="1">
        <f ca="1">IFERROR(__xludf.DUMMYFUNCTION("""COMPUTED_VALUE"""),1992)</f>
        <v>1992</v>
      </c>
      <c r="G3116" s="1">
        <f ca="1">IFERROR(__xludf.DUMMYFUNCTION("""COMPUTED_VALUE"""),1732)</f>
        <v>1732</v>
      </c>
      <c r="H3116" s="1" t="str">
        <f ca="1">IFERROR(__xludf.DUMMYFUNCTION("""COMPUTED_VALUE"""),"MTLSZ001732A09")</f>
        <v>MTLSZ001732A09</v>
      </c>
      <c r="I3116" s="2">
        <f ca="1">IFERROR(__xludf.DUMMYFUNCTION("""COMPUTED_VALUE"""),40070)</f>
        <v>40070</v>
      </c>
      <c r="J3116" s="2">
        <f ca="1">IFERROR(__xludf.DUMMYFUNCTION("""COMPUTED_VALUE"""),40434)</f>
        <v>40434</v>
      </c>
    </row>
    <row r="3117" spans="1:10" x14ac:dyDescent="0.25">
      <c r="A3117" s="1" t="str">
        <f ca="1">IFERROR(__xludf.DUMMYFUNCTION("""COMPUTED_VALUE"""),"Universitas SC")</f>
        <v>Universitas SC</v>
      </c>
      <c r="B3117" s="1" t="str">
        <f ca="1">IFERROR(__xludf.DUMMYFUNCTION("""COMPUTED_VALUE"""),"Polonyi Viktor")</f>
        <v>Polonyi Viktor</v>
      </c>
      <c r="C3117" s="1"/>
      <c r="D3117" s="1" t="str">
        <f ca="1">IFERROR(__xludf.DUMMYFUNCTION("""COMPUTED_VALUE"""),"Férfi")</f>
        <v>Férfi</v>
      </c>
      <c r="E3117" s="1"/>
      <c r="F3117" s="1">
        <f ca="1">IFERROR(__xludf.DUMMYFUNCTION("""COMPUTED_VALUE"""),1993)</f>
        <v>1993</v>
      </c>
      <c r="G3117" s="1">
        <f ca="1">IFERROR(__xludf.DUMMYFUNCTION("""COMPUTED_VALUE"""),1201)</f>
        <v>1201</v>
      </c>
      <c r="H3117" s="1" t="str">
        <f ca="1">IFERROR(__xludf.DUMMYFUNCTION("""COMPUTED_VALUE"""),"MTLSZ001201A09")</f>
        <v>MTLSZ001201A09</v>
      </c>
      <c r="I3117" s="2">
        <f ca="1">IFERROR(__xludf.DUMMYFUNCTION("""COMPUTED_VALUE"""),40070)</f>
        <v>40070</v>
      </c>
      <c r="J3117" s="2">
        <f ca="1">IFERROR(__xludf.DUMMYFUNCTION("""COMPUTED_VALUE"""),40434)</f>
        <v>40434</v>
      </c>
    </row>
    <row r="3118" spans="1:10" x14ac:dyDescent="0.25">
      <c r="A3118" s="1" t="str">
        <f ca="1">IFERROR(__xludf.DUMMYFUNCTION("""COMPUTED_VALUE"""),"Multi Alarm SE")</f>
        <v>Multi Alarm SE</v>
      </c>
      <c r="B3118" s="1" t="str">
        <f ca="1">IFERROR(__xludf.DUMMYFUNCTION("""COMPUTED_VALUE"""),"Bajcsy Zsófia")</f>
        <v>Bajcsy Zsófia</v>
      </c>
      <c r="C3118" s="1"/>
      <c r="D3118" s="1" t="str">
        <f ca="1">IFERROR(__xludf.DUMMYFUNCTION("""COMPUTED_VALUE"""),"Nő")</f>
        <v>Nő</v>
      </c>
      <c r="E3118" s="1"/>
      <c r="F3118" s="1">
        <f ca="1">IFERROR(__xludf.DUMMYFUNCTION("""COMPUTED_VALUE"""),1989)</f>
        <v>1989</v>
      </c>
      <c r="G3118" s="1">
        <f ca="1">IFERROR(__xludf.DUMMYFUNCTION("""COMPUTED_VALUE"""),27)</f>
        <v>27</v>
      </c>
      <c r="H3118" s="1" t="str">
        <f ca="1">IFERROR(__xludf.DUMMYFUNCTION("""COMPUTED_VALUE"""),"MTLSZ000027A09")</f>
        <v>MTLSZ000027A09</v>
      </c>
      <c r="I3118" s="2">
        <f ca="1">IFERROR(__xludf.DUMMYFUNCTION("""COMPUTED_VALUE"""),40067)</f>
        <v>40067</v>
      </c>
      <c r="J3118" s="2">
        <f ca="1">IFERROR(__xludf.DUMMYFUNCTION("""COMPUTED_VALUE"""),40431)</f>
        <v>40431</v>
      </c>
    </row>
    <row r="3119" spans="1:10" x14ac:dyDescent="0.25">
      <c r="A3119" s="1" t="str">
        <f ca="1">IFERROR(__xludf.DUMMYFUNCTION("""COMPUTED_VALUE"""),"Multi Alarm SE")</f>
        <v>Multi Alarm SE</v>
      </c>
      <c r="B3119" s="1" t="str">
        <f ca="1">IFERROR(__xludf.DUMMYFUNCTION("""COMPUTED_VALUE"""),"Bucsi Endre")</f>
        <v>Bucsi Endre</v>
      </c>
      <c r="C3119" s="1"/>
      <c r="D3119" s="1" t="str">
        <f ca="1">IFERROR(__xludf.DUMMYFUNCTION("""COMPUTED_VALUE"""),"Férfi")</f>
        <v>Férfi</v>
      </c>
      <c r="E3119" s="1"/>
      <c r="F3119" s="1">
        <f ca="1">IFERROR(__xludf.DUMMYFUNCTION("""COMPUTED_VALUE"""),1979)</f>
        <v>1979</v>
      </c>
      <c r="G3119" s="1">
        <f ca="1">IFERROR(__xludf.DUMMYFUNCTION("""COMPUTED_VALUE"""),1543)</f>
        <v>1543</v>
      </c>
      <c r="H3119" s="1" t="str">
        <f ca="1">IFERROR(__xludf.DUMMYFUNCTION("""COMPUTED_VALUE"""),"MTLSZ001543A09")</f>
        <v>MTLSZ001543A09</v>
      </c>
      <c r="I3119" s="2">
        <f ca="1">IFERROR(__xludf.DUMMYFUNCTION("""COMPUTED_VALUE"""),40067)</f>
        <v>40067</v>
      </c>
      <c r="J3119" s="2">
        <f ca="1">IFERROR(__xludf.DUMMYFUNCTION("""COMPUTED_VALUE"""),40431)</f>
        <v>40431</v>
      </c>
    </row>
    <row r="3120" spans="1:10" x14ac:dyDescent="0.25">
      <c r="A3120" s="1" t="str">
        <f ca="1">IFERROR(__xludf.DUMMYFUNCTION("""COMPUTED_VALUE"""),"Multi Alarm SE")</f>
        <v>Multi Alarm SE</v>
      </c>
      <c r="B3120" s="1" t="str">
        <f ca="1">IFERROR(__xludf.DUMMYFUNCTION("""COMPUTED_VALUE"""),"Tóka Rita")</f>
        <v>Tóka Rita</v>
      </c>
      <c r="C3120" s="1"/>
      <c r="D3120" s="1" t="str">
        <f ca="1">IFERROR(__xludf.DUMMYFUNCTION("""COMPUTED_VALUE"""),"Nő")</f>
        <v>Nő</v>
      </c>
      <c r="E3120" s="1"/>
      <c r="F3120" s="1">
        <f ca="1">IFERROR(__xludf.DUMMYFUNCTION("""COMPUTED_VALUE"""),1980)</f>
        <v>1980</v>
      </c>
      <c r="G3120" s="1">
        <f ca="1">IFERROR(__xludf.DUMMYFUNCTION("""COMPUTED_VALUE"""),1812)</f>
        <v>1812</v>
      </c>
      <c r="H3120" s="1" t="str">
        <f ca="1">IFERROR(__xludf.DUMMYFUNCTION("""COMPUTED_VALUE"""),"MTLSZ001812A09")</f>
        <v>MTLSZ001812A09</v>
      </c>
      <c r="I3120" s="2">
        <f ca="1">IFERROR(__xludf.DUMMYFUNCTION("""COMPUTED_VALUE"""),40067)</f>
        <v>40067</v>
      </c>
      <c r="J3120" s="2">
        <f ca="1">IFERROR(__xludf.DUMMYFUNCTION("""COMPUTED_VALUE"""),40431)</f>
        <v>40431</v>
      </c>
    </row>
    <row r="3121" spans="1:10" x14ac:dyDescent="0.25">
      <c r="A3121" s="1" t="str">
        <f ca="1">IFERROR(__xludf.DUMMYFUNCTION("""COMPUTED_VALUE"""),"#N/A")</f>
        <v>#N/A</v>
      </c>
      <c r="B3121" s="1" t="str">
        <f ca="1">IFERROR(__xludf.DUMMYFUNCTION("""COMPUTED_VALUE"""),"Láng András Zoltán")</f>
        <v>Láng András Zoltán</v>
      </c>
      <c r="C3121" s="1"/>
      <c r="D3121" s="1" t="str">
        <f ca="1">IFERROR(__xludf.DUMMYFUNCTION("""COMPUTED_VALUE"""),"Férfi")</f>
        <v>Férfi</v>
      </c>
      <c r="E3121" s="1"/>
      <c r="F3121" s="1">
        <f ca="1">IFERROR(__xludf.DUMMYFUNCTION("""COMPUTED_VALUE"""),1957)</f>
        <v>1957</v>
      </c>
      <c r="G3121" s="1">
        <f ca="1">IFERROR(__xludf.DUMMYFUNCTION("""COMPUTED_VALUE"""),1821)</f>
        <v>1821</v>
      </c>
      <c r="H3121" s="1" t="str">
        <f ca="1">IFERROR(__xludf.DUMMYFUNCTION("""COMPUTED_VALUE"""),"MTLSZ001821A09")</f>
        <v>MTLSZ001821A09</v>
      </c>
      <c r="I3121" s="2">
        <f ca="1">IFERROR(__xludf.DUMMYFUNCTION("""COMPUTED_VALUE"""),40067)</f>
        <v>40067</v>
      </c>
      <c r="J3121" s="2">
        <f ca="1">IFERROR(__xludf.DUMMYFUNCTION("""COMPUTED_VALUE"""),40431)</f>
        <v>40431</v>
      </c>
    </row>
    <row r="3122" spans="1:10" x14ac:dyDescent="0.25">
      <c r="A3122" s="1" t="str">
        <f ca="1">IFERROR(__xludf.DUMMYFUNCTION("""COMPUTED_VALUE"""),"Ságvári DSE")</f>
        <v>Ságvári DSE</v>
      </c>
      <c r="B3122" s="1" t="str">
        <f ca="1">IFERROR(__xludf.DUMMYFUNCTION("""COMPUTED_VALUE"""),"Bozsó Mariann")</f>
        <v>Bozsó Mariann</v>
      </c>
      <c r="C3122" s="1"/>
      <c r="D3122" s="1" t="str">
        <f ca="1">IFERROR(__xludf.DUMMYFUNCTION("""COMPUTED_VALUE"""),"Nő")</f>
        <v>Nő</v>
      </c>
      <c r="E3122" s="1"/>
      <c r="F3122" s="1">
        <f ca="1">IFERROR(__xludf.DUMMYFUNCTION("""COMPUTED_VALUE"""),1994)</f>
        <v>1994</v>
      </c>
      <c r="G3122" s="1">
        <f ca="1">IFERROR(__xludf.DUMMYFUNCTION("""COMPUTED_VALUE"""),1819)</f>
        <v>1819</v>
      </c>
      <c r="H3122" s="1" t="str">
        <f ca="1">IFERROR(__xludf.DUMMYFUNCTION("""COMPUTED_VALUE"""),"MTLSZ001819A09")</f>
        <v>MTLSZ001819A09</v>
      </c>
      <c r="I3122" s="2">
        <f ca="1">IFERROR(__xludf.DUMMYFUNCTION("""COMPUTED_VALUE"""),40066)</f>
        <v>40066</v>
      </c>
      <c r="J3122" s="2">
        <f ca="1">IFERROR(__xludf.DUMMYFUNCTION("""COMPUTED_VALUE"""),40430)</f>
        <v>40430</v>
      </c>
    </row>
    <row r="3123" spans="1:10" x14ac:dyDescent="0.25">
      <c r="A3123" s="1" t="str">
        <f ca="1">IFERROR(__xludf.DUMMYFUNCTION("""COMPUTED_VALUE"""),"Ságvári DSE")</f>
        <v>Ságvári DSE</v>
      </c>
      <c r="B3123" s="1" t="str">
        <f ca="1">IFERROR(__xludf.DUMMYFUNCTION("""COMPUTED_VALUE"""),"Sándor Anna")</f>
        <v>Sándor Anna</v>
      </c>
      <c r="C3123" s="1"/>
      <c r="D3123" s="1" t="str">
        <f ca="1">IFERROR(__xludf.DUMMYFUNCTION("""COMPUTED_VALUE"""),"Nő")</f>
        <v>Nő</v>
      </c>
      <c r="E3123" s="1"/>
      <c r="F3123" s="1">
        <f ca="1">IFERROR(__xludf.DUMMYFUNCTION("""COMPUTED_VALUE"""),1993)</f>
        <v>1993</v>
      </c>
      <c r="G3123" s="1">
        <f ca="1">IFERROR(__xludf.DUMMYFUNCTION("""COMPUTED_VALUE"""),1874)</f>
        <v>1874</v>
      </c>
      <c r="H3123" s="1" t="str">
        <f ca="1">IFERROR(__xludf.DUMMYFUNCTION("""COMPUTED_VALUE"""),"MTLSZ001874A09")</f>
        <v>MTLSZ001874A09</v>
      </c>
      <c r="I3123" s="2">
        <f ca="1">IFERROR(__xludf.DUMMYFUNCTION("""COMPUTED_VALUE"""),40066)</f>
        <v>40066</v>
      </c>
      <c r="J3123" s="2">
        <f ca="1">IFERROR(__xludf.DUMMYFUNCTION("""COMPUTED_VALUE"""),40430)</f>
        <v>40430</v>
      </c>
    </row>
    <row r="3124" spans="1:10" x14ac:dyDescent="0.25">
      <c r="A3124" s="1" t="str">
        <f ca="1">IFERROR(__xludf.DUMMYFUNCTION("""COMPUTED_VALUE"""),"Ságvári DSE")</f>
        <v>Ságvári DSE</v>
      </c>
      <c r="B3124" s="1" t="str">
        <f ca="1">IFERROR(__xludf.DUMMYFUNCTION("""COMPUTED_VALUE"""),"Szirovicza Ákos")</f>
        <v>Szirovicza Ákos</v>
      </c>
      <c r="C3124" s="1"/>
      <c r="D3124" s="1" t="str">
        <f ca="1">IFERROR(__xludf.DUMMYFUNCTION("""COMPUTED_VALUE"""),"Férfi")</f>
        <v>Férfi</v>
      </c>
      <c r="E3124" s="1"/>
      <c r="F3124" s="1">
        <f ca="1">IFERROR(__xludf.DUMMYFUNCTION("""COMPUTED_VALUE"""),1995)</f>
        <v>1995</v>
      </c>
      <c r="G3124" s="1">
        <f ca="1">IFERROR(__xludf.DUMMYFUNCTION("""COMPUTED_VALUE"""),1654)</f>
        <v>1654</v>
      </c>
      <c r="H3124" s="1" t="str">
        <f ca="1">IFERROR(__xludf.DUMMYFUNCTION("""COMPUTED_VALUE"""),"MTLSZ001654A09")</f>
        <v>MTLSZ001654A09</v>
      </c>
      <c r="I3124" s="2">
        <f ca="1">IFERROR(__xludf.DUMMYFUNCTION("""COMPUTED_VALUE"""),40066)</f>
        <v>40066</v>
      </c>
      <c r="J3124" s="2">
        <f ca="1">IFERROR(__xludf.DUMMYFUNCTION("""COMPUTED_VALUE"""),40430)</f>
        <v>40430</v>
      </c>
    </row>
    <row r="3125" spans="1:10" x14ac:dyDescent="0.25">
      <c r="A3125" s="1" t="str">
        <f ca="1">IFERROR(__xludf.DUMMYFUNCTION("""COMPUTED_VALUE"""),"Rosco SE")</f>
        <v>Rosco SE</v>
      </c>
      <c r="B3125" s="1" t="str">
        <f ca="1">IFERROR(__xludf.DUMMYFUNCTION("""COMPUTED_VALUE"""),"Retkes Csaba")</f>
        <v>Retkes Csaba</v>
      </c>
      <c r="C3125" s="1"/>
      <c r="D3125" s="1" t="str">
        <f ca="1">IFERROR(__xludf.DUMMYFUNCTION("""COMPUTED_VALUE"""),"Férfi")</f>
        <v>Férfi</v>
      </c>
      <c r="E3125" s="1"/>
      <c r="F3125" s="1">
        <f ca="1">IFERROR(__xludf.DUMMYFUNCTION("""COMPUTED_VALUE"""),1977)</f>
        <v>1977</v>
      </c>
      <c r="G3125" s="1">
        <f ca="1">IFERROR(__xludf.DUMMYFUNCTION("""COMPUTED_VALUE"""),806)</f>
        <v>806</v>
      </c>
      <c r="H3125" s="1" t="str">
        <f ca="1">IFERROR(__xludf.DUMMYFUNCTION("""COMPUTED_VALUE"""),"MTLSZ000806A09")</f>
        <v>MTLSZ000806A09</v>
      </c>
      <c r="I3125" s="2">
        <f ca="1">IFERROR(__xludf.DUMMYFUNCTION("""COMPUTED_VALUE"""),40065)</f>
        <v>40065</v>
      </c>
      <c r="J3125" s="2">
        <f ca="1">IFERROR(__xludf.DUMMYFUNCTION("""COMPUTED_VALUE"""),40429)</f>
        <v>40429</v>
      </c>
    </row>
    <row r="3126" spans="1:10" x14ac:dyDescent="0.25">
      <c r="A3126" s="1" t="str">
        <f ca="1">IFERROR(__xludf.DUMMYFUNCTION("""COMPUTED_VALUE"""),"DSK")</f>
        <v>DSK</v>
      </c>
      <c r="B3126" s="1" t="str">
        <f ca="1">IFERROR(__xludf.DUMMYFUNCTION("""COMPUTED_VALUE"""),"Pusztai Ádám")</f>
        <v>Pusztai Ádám</v>
      </c>
      <c r="C3126" s="1"/>
      <c r="D3126" s="1" t="str">
        <f ca="1">IFERROR(__xludf.DUMMYFUNCTION("""COMPUTED_VALUE"""),"Férfi")</f>
        <v>Férfi</v>
      </c>
      <c r="E3126" s="1"/>
      <c r="F3126" s="1">
        <f ca="1">IFERROR(__xludf.DUMMYFUNCTION("""COMPUTED_VALUE"""),1983)</f>
        <v>1983</v>
      </c>
      <c r="G3126" s="1">
        <f ca="1">IFERROR(__xludf.DUMMYFUNCTION("""COMPUTED_VALUE"""),789)</f>
        <v>789</v>
      </c>
      <c r="H3126" s="1" t="str">
        <f ca="1">IFERROR(__xludf.DUMMYFUNCTION("""COMPUTED_VALUE"""),"MTLSZ000789A09")</f>
        <v>MTLSZ000789A09</v>
      </c>
      <c r="I3126" s="2">
        <f ca="1">IFERROR(__xludf.DUMMYFUNCTION("""COMPUTED_VALUE"""),40064)</f>
        <v>40064</v>
      </c>
      <c r="J3126" s="2">
        <f ca="1">IFERROR(__xludf.DUMMYFUNCTION("""COMPUTED_VALUE"""),40428)</f>
        <v>40428</v>
      </c>
    </row>
    <row r="3127" spans="1:10" x14ac:dyDescent="0.25">
      <c r="A3127" s="1" t="str">
        <f ca="1">IFERROR(__xludf.DUMMYFUNCTION("""COMPUTED_VALUE"""),"Danubius KSE")</f>
        <v>Danubius KSE</v>
      </c>
      <c r="B3127" s="1" t="str">
        <f ca="1">IFERROR(__xludf.DUMMYFUNCTION("""COMPUTED_VALUE"""),"Konics Gerda")</f>
        <v>Konics Gerda</v>
      </c>
      <c r="C3127" s="1"/>
      <c r="D3127" s="1" t="str">
        <f ca="1">IFERROR(__xludf.DUMMYFUNCTION("""COMPUTED_VALUE"""),"Nő")</f>
        <v>Nő</v>
      </c>
      <c r="E3127" s="1"/>
      <c r="F3127" s="1">
        <f ca="1">IFERROR(__xludf.DUMMYFUNCTION("""COMPUTED_VALUE"""),1999)</f>
        <v>1999</v>
      </c>
      <c r="G3127" s="1">
        <f ca="1">IFERROR(__xludf.DUMMYFUNCTION("""COMPUTED_VALUE"""),1907)</f>
        <v>1907</v>
      </c>
      <c r="H3127" s="1" t="str">
        <f ca="1">IFERROR(__xludf.DUMMYFUNCTION("""COMPUTED_VALUE"""),"MTLSZ001907A09")</f>
        <v>MTLSZ001907A09</v>
      </c>
      <c r="I3127" s="2">
        <f ca="1">IFERROR(__xludf.DUMMYFUNCTION("""COMPUTED_VALUE"""),40064)</f>
        <v>40064</v>
      </c>
      <c r="J3127" s="2">
        <f ca="1">IFERROR(__xludf.DUMMYFUNCTION("""COMPUTED_VALUE"""),40428)</f>
        <v>40428</v>
      </c>
    </row>
    <row r="3128" spans="1:10" x14ac:dyDescent="0.25">
      <c r="A3128" s="1" t="str">
        <f ca="1">IFERROR(__xludf.DUMMYFUNCTION("""COMPUTED_VALUE"""),"HZSE")</f>
        <v>HZSE</v>
      </c>
      <c r="B3128" s="1" t="str">
        <f ca="1">IFERROR(__xludf.DUMMYFUNCTION("""COMPUTED_VALUE"""),"Szikra Viktória")</f>
        <v>Szikra Viktória</v>
      </c>
      <c r="C3128" s="1"/>
      <c r="D3128" s="1" t="str">
        <f ca="1">IFERROR(__xludf.DUMMYFUNCTION("""COMPUTED_VALUE"""),"Nő")</f>
        <v>Nő</v>
      </c>
      <c r="E3128" s="1"/>
      <c r="F3128" s="1">
        <f ca="1">IFERROR(__xludf.DUMMYFUNCTION("""COMPUTED_VALUE"""),1979)</f>
        <v>1979</v>
      </c>
      <c r="G3128" s="1">
        <f ca="1">IFERROR(__xludf.DUMMYFUNCTION("""COMPUTED_VALUE"""),1954)</f>
        <v>1954</v>
      </c>
      <c r="H3128" s="1" t="str">
        <f ca="1">IFERROR(__xludf.DUMMYFUNCTION("""COMPUTED_VALUE"""),"MTLSZ001954A09")</f>
        <v>MTLSZ001954A09</v>
      </c>
      <c r="I3128" s="2">
        <f ca="1">IFERROR(__xludf.DUMMYFUNCTION("""COMPUTED_VALUE"""),40064)</f>
        <v>40064</v>
      </c>
      <c r="J3128" s="2">
        <f ca="1">IFERROR(__xludf.DUMMYFUNCTION("""COMPUTED_VALUE"""),40428)</f>
        <v>40428</v>
      </c>
    </row>
    <row r="3129" spans="1:10" x14ac:dyDescent="0.25">
      <c r="A3129" s="1" t="str">
        <f ca="1">IFERROR(__xludf.DUMMYFUNCTION("""COMPUTED_VALUE"""),"Reac SE")</f>
        <v>Reac SE</v>
      </c>
      <c r="B3129" s="1" t="str">
        <f ca="1">IFERROR(__xludf.DUMMYFUNCTION("""COMPUTED_VALUE"""),"Józsa Krisztina")</f>
        <v>Józsa Krisztina</v>
      </c>
      <c r="C3129" s="1"/>
      <c r="D3129" s="1" t="str">
        <f ca="1">IFERROR(__xludf.DUMMYFUNCTION("""COMPUTED_VALUE"""),"Nő")</f>
        <v>Nő</v>
      </c>
      <c r="E3129" s="1"/>
      <c r="F3129" s="1">
        <f ca="1">IFERROR(__xludf.DUMMYFUNCTION("""COMPUTED_VALUE"""),1994)</f>
        <v>1994</v>
      </c>
      <c r="G3129" s="1">
        <f ca="1">IFERROR(__xludf.DUMMYFUNCTION("""COMPUTED_VALUE"""),1900)</f>
        <v>1900</v>
      </c>
      <c r="H3129" s="1" t="str">
        <f ca="1">IFERROR(__xludf.DUMMYFUNCTION("""COMPUTED_VALUE"""),"MTLSZ001900A09")</f>
        <v>MTLSZ001900A09</v>
      </c>
      <c r="I3129" s="2">
        <f ca="1">IFERROR(__xludf.DUMMYFUNCTION("""COMPUTED_VALUE"""),40064)</f>
        <v>40064</v>
      </c>
      <c r="J3129" s="2">
        <f ca="1">IFERROR(__xludf.DUMMYFUNCTION("""COMPUTED_VALUE"""),40428)</f>
        <v>40428</v>
      </c>
    </row>
    <row r="3130" spans="1:10" x14ac:dyDescent="0.25">
      <c r="A3130" s="1" t="str">
        <f ca="1">IFERROR(__xludf.DUMMYFUNCTION("""COMPUTED_VALUE"""),"Reac SE")</f>
        <v>Reac SE</v>
      </c>
      <c r="B3130" s="1" t="str">
        <f ca="1">IFERROR(__xludf.DUMMYFUNCTION("""COMPUTED_VALUE"""),"Nagy Péter")</f>
        <v>Nagy Péter</v>
      </c>
      <c r="C3130" s="1"/>
      <c r="D3130" s="1" t="str">
        <f ca="1">IFERROR(__xludf.DUMMYFUNCTION("""COMPUTED_VALUE"""),"Férfi")</f>
        <v>Férfi</v>
      </c>
      <c r="E3130" s="1"/>
      <c r="F3130" s="1">
        <f ca="1">IFERROR(__xludf.DUMMYFUNCTION("""COMPUTED_VALUE"""),1991)</f>
        <v>1991</v>
      </c>
      <c r="G3130" s="1">
        <f ca="1">IFERROR(__xludf.DUMMYFUNCTION("""COMPUTED_VALUE"""),694)</f>
        <v>694</v>
      </c>
      <c r="H3130" s="1" t="str">
        <f ca="1">IFERROR(__xludf.DUMMYFUNCTION("""COMPUTED_VALUE"""),"MTLSZ000694A09")</f>
        <v>MTLSZ000694A09</v>
      </c>
      <c r="I3130" s="2">
        <f ca="1">IFERROR(__xludf.DUMMYFUNCTION("""COMPUTED_VALUE"""),40064)</f>
        <v>40064</v>
      </c>
      <c r="J3130" s="2">
        <f ca="1">IFERROR(__xludf.DUMMYFUNCTION("""COMPUTED_VALUE"""),40428)</f>
        <v>40428</v>
      </c>
    </row>
    <row r="3131" spans="1:10" x14ac:dyDescent="0.25">
      <c r="A3131" s="1" t="str">
        <f ca="1">IFERROR(__xludf.DUMMYFUNCTION("""COMPUTED_VALUE"""),"Reac SE")</f>
        <v>Reac SE</v>
      </c>
      <c r="B3131" s="1" t="str">
        <f ca="1">IFERROR(__xludf.DUMMYFUNCTION("""COMPUTED_VALUE"""),"Nagy Tamás")</f>
        <v>Nagy Tamás</v>
      </c>
      <c r="C3131" s="1"/>
      <c r="D3131" s="1" t="str">
        <f ca="1">IFERROR(__xludf.DUMMYFUNCTION("""COMPUTED_VALUE"""),"Férfi")</f>
        <v>Férfi</v>
      </c>
      <c r="E3131" s="1"/>
      <c r="F3131" s="1">
        <f ca="1">IFERROR(__xludf.DUMMYFUNCTION("""COMPUTED_VALUE"""),1991)</f>
        <v>1991</v>
      </c>
      <c r="G3131" s="1">
        <f ca="1">IFERROR(__xludf.DUMMYFUNCTION("""COMPUTED_VALUE"""),697)</f>
        <v>697</v>
      </c>
      <c r="H3131" s="1" t="str">
        <f ca="1">IFERROR(__xludf.DUMMYFUNCTION("""COMPUTED_VALUE"""),"MTLSZ000697A09")</f>
        <v>MTLSZ000697A09</v>
      </c>
      <c r="I3131" s="2">
        <f ca="1">IFERROR(__xludf.DUMMYFUNCTION("""COMPUTED_VALUE"""),40064)</f>
        <v>40064</v>
      </c>
      <c r="J3131" s="2">
        <f ca="1">IFERROR(__xludf.DUMMYFUNCTION("""COMPUTED_VALUE"""),40428)</f>
        <v>40428</v>
      </c>
    </row>
    <row r="3132" spans="1:10" x14ac:dyDescent="0.25">
      <c r="A3132" s="1" t="str">
        <f ca="1">IFERROR(__xludf.DUMMYFUNCTION("""COMPUTED_VALUE"""),"Reac SE")</f>
        <v>Reac SE</v>
      </c>
      <c r="B3132" s="1" t="str">
        <f ca="1">IFERROR(__xludf.DUMMYFUNCTION("""COMPUTED_VALUE"""),"Sáfrán Judit")</f>
        <v>Sáfrán Judit</v>
      </c>
      <c r="C3132" s="1"/>
      <c r="D3132" s="1" t="str">
        <f ca="1">IFERROR(__xludf.DUMMYFUNCTION("""COMPUTED_VALUE"""),"Nő")</f>
        <v>Nő</v>
      </c>
      <c r="E3132" s="1"/>
      <c r="F3132" s="1">
        <f ca="1">IFERROR(__xludf.DUMMYFUNCTION("""COMPUTED_VALUE"""),1995)</f>
        <v>1995</v>
      </c>
      <c r="G3132" s="1">
        <f ca="1">IFERROR(__xludf.DUMMYFUNCTION("""COMPUTED_VALUE"""),1902)</f>
        <v>1902</v>
      </c>
      <c r="H3132" s="1" t="str">
        <f ca="1">IFERROR(__xludf.DUMMYFUNCTION("""COMPUTED_VALUE"""),"MTLSZ001902A09")</f>
        <v>MTLSZ001902A09</v>
      </c>
      <c r="I3132" s="2">
        <f ca="1">IFERROR(__xludf.DUMMYFUNCTION("""COMPUTED_VALUE"""),40064)</f>
        <v>40064</v>
      </c>
      <c r="J3132" s="2">
        <f ca="1">IFERROR(__xludf.DUMMYFUNCTION("""COMPUTED_VALUE"""),40428)</f>
        <v>40428</v>
      </c>
    </row>
    <row r="3133" spans="1:10" x14ac:dyDescent="0.25">
      <c r="A3133" s="1" t="str">
        <f ca="1">IFERROR(__xludf.DUMMYFUNCTION("""COMPUTED_VALUE"""),"Reac SE")</f>
        <v>Reac SE</v>
      </c>
      <c r="B3133" s="1" t="str">
        <f ca="1">IFERROR(__xludf.DUMMYFUNCTION("""COMPUTED_VALUE"""),"Szabó Bettina")</f>
        <v>Szabó Bettina</v>
      </c>
      <c r="C3133" s="1"/>
      <c r="D3133" s="1" t="str">
        <f ca="1">IFERROR(__xludf.DUMMYFUNCTION("""COMPUTED_VALUE"""),"Nő")</f>
        <v>Nő</v>
      </c>
      <c r="E3133" s="1"/>
      <c r="F3133" s="1">
        <f ca="1">IFERROR(__xludf.DUMMYFUNCTION("""COMPUTED_VALUE"""),1995)</f>
        <v>1995</v>
      </c>
      <c r="G3133" s="1">
        <f ca="1">IFERROR(__xludf.DUMMYFUNCTION("""COMPUTED_VALUE"""),1903)</f>
        <v>1903</v>
      </c>
      <c r="H3133" s="1" t="str">
        <f ca="1">IFERROR(__xludf.DUMMYFUNCTION("""COMPUTED_VALUE"""),"MTLSZ001903A09")</f>
        <v>MTLSZ001903A09</v>
      </c>
      <c r="I3133" s="2">
        <f ca="1">IFERROR(__xludf.DUMMYFUNCTION("""COMPUTED_VALUE"""),40064)</f>
        <v>40064</v>
      </c>
      <c r="J3133" s="2">
        <f ca="1">IFERROR(__xludf.DUMMYFUNCTION("""COMPUTED_VALUE"""),40428)</f>
        <v>40428</v>
      </c>
    </row>
    <row r="3134" spans="1:10" x14ac:dyDescent="0.25">
      <c r="A3134" s="1" t="str">
        <f ca="1">IFERROR(__xludf.DUMMYFUNCTION("""COMPUTED_VALUE"""),"DSC-SI")</f>
        <v>DSC-SI</v>
      </c>
      <c r="B3134" s="1" t="str">
        <f ca="1">IFERROR(__xludf.DUMMYFUNCTION("""COMPUTED_VALUE"""),"Aranyos Anita")</f>
        <v>Aranyos Anita</v>
      </c>
      <c r="C3134" s="1"/>
      <c r="D3134" s="1" t="str">
        <f ca="1">IFERROR(__xludf.DUMMYFUNCTION("""COMPUTED_VALUE"""),"Nő")</f>
        <v>Nő</v>
      </c>
      <c r="E3134" s="1"/>
      <c r="F3134" s="1">
        <f ca="1">IFERROR(__xludf.DUMMYFUNCTION("""COMPUTED_VALUE"""),1993)</f>
        <v>1993</v>
      </c>
      <c r="G3134" s="1">
        <f ca="1">IFERROR(__xludf.DUMMYFUNCTION("""COMPUTED_VALUE"""),1736)</f>
        <v>1736</v>
      </c>
      <c r="H3134" s="1" t="str">
        <f ca="1">IFERROR(__xludf.DUMMYFUNCTION("""COMPUTED_VALUE"""),"MTLSZ001736A09")</f>
        <v>MTLSZ001736A09</v>
      </c>
      <c r="I3134" s="2">
        <f ca="1">IFERROR(__xludf.DUMMYFUNCTION("""COMPUTED_VALUE"""),40063)</f>
        <v>40063</v>
      </c>
      <c r="J3134" s="2">
        <f ca="1">IFERROR(__xludf.DUMMYFUNCTION("""COMPUTED_VALUE"""),40427)</f>
        <v>40427</v>
      </c>
    </row>
    <row r="3135" spans="1:10" x14ac:dyDescent="0.25">
      <c r="A3135" s="1" t="str">
        <f ca="1">IFERROR(__xludf.DUMMYFUNCTION("""COMPUTED_VALUE"""),"DSC-SI")</f>
        <v>DSC-SI</v>
      </c>
      <c r="B3135" s="1" t="str">
        <f ca="1">IFERROR(__xludf.DUMMYFUNCTION("""COMPUTED_VALUE"""),"Gáll Levente")</f>
        <v>Gáll Levente</v>
      </c>
      <c r="C3135" s="1"/>
      <c r="D3135" s="1" t="str">
        <f ca="1">IFERROR(__xludf.DUMMYFUNCTION("""COMPUTED_VALUE"""),"Férfi")</f>
        <v>Férfi</v>
      </c>
      <c r="E3135" s="1"/>
      <c r="F3135" s="1">
        <f ca="1">IFERROR(__xludf.DUMMYFUNCTION("""COMPUTED_VALUE"""),1997)</f>
        <v>1997</v>
      </c>
      <c r="G3135" s="1">
        <f ca="1">IFERROR(__xludf.DUMMYFUNCTION("""COMPUTED_VALUE"""),1890)</f>
        <v>1890</v>
      </c>
      <c r="H3135" s="1" t="str">
        <f ca="1">IFERROR(__xludf.DUMMYFUNCTION("""COMPUTED_VALUE"""),"MTLSZ001890A09")</f>
        <v>MTLSZ001890A09</v>
      </c>
      <c r="I3135" s="2">
        <f ca="1">IFERROR(__xludf.DUMMYFUNCTION("""COMPUTED_VALUE"""),40063)</f>
        <v>40063</v>
      </c>
      <c r="J3135" s="2">
        <f ca="1">IFERROR(__xludf.DUMMYFUNCTION("""COMPUTED_VALUE"""),40427)</f>
        <v>40427</v>
      </c>
    </row>
    <row r="3136" spans="1:10" x14ac:dyDescent="0.25">
      <c r="A3136" s="1" t="str">
        <f ca="1">IFERROR(__xludf.DUMMYFUNCTION("""COMPUTED_VALUE"""),"DSC-SI")</f>
        <v>DSC-SI</v>
      </c>
      <c r="B3136" s="1" t="str">
        <f ca="1">IFERROR(__xludf.DUMMYFUNCTION("""COMPUTED_VALUE"""),"Kispál Mónika")</f>
        <v>Kispál Mónika</v>
      </c>
      <c r="C3136" s="1"/>
      <c r="D3136" s="1" t="str">
        <f ca="1">IFERROR(__xludf.DUMMYFUNCTION("""COMPUTED_VALUE"""),"Nő")</f>
        <v>Nő</v>
      </c>
      <c r="E3136" s="1"/>
      <c r="F3136" s="1">
        <f ca="1">IFERROR(__xludf.DUMMYFUNCTION("""COMPUTED_VALUE"""),1990)</f>
        <v>1990</v>
      </c>
      <c r="G3136" s="1">
        <f ca="1">IFERROR(__xludf.DUMMYFUNCTION("""COMPUTED_VALUE"""),481)</f>
        <v>481</v>
      </c>
      <c r="H3136" s="1" t="str">
        <f ca="1">IFERROR(__xludf.DUMMYFUNCTION("""COMPUTED_VALUE"""),"MTLSZ000481A09")</f>
        <v>MTLSZ000481A09</v>
      </c>
      <c r="I3136" s="2">
        <f ca="1">IFERROR(__xludf.DUMMYFUNCTION("""COMPUTED_VALUE"""),40063)</f>
        <v>40063</v>
      </c>
      <c r="J3136" s="2">
        <f ca="1">IFERROR(__xludf.DUMMYFUNCTION("""COMPUTED_VALUE"""),40427)</f>
        <v>40427</v>
      </c>
    </row>
    <row r="3137" spans="1:10" x14ac:dyDescent="0.25">
      <c r="A3137" s="1" t="str">
        <f ca="1">IFERROR(__xludf.DUMMYFUNCTION("""COMPUTED_VALUE"""),"DSC-SI")</f>
        <v>DSC-SI</v>
      </c>
      <c r="B3137" s="1" t="str">
        <f ca="1">IFERROR(__xludf.DUMMYFUNCTION("""COMPUTED_VALUE"""),"Nádas Balázs")</f>
        <v>Nádas Balázs</v>
      </c>
      <c r="C3137" s="1"/>
      <c r="D3137" s="1" t="str">
        <f ca="1">IFERROR(__xludf.DUMMYFUNCTION("""COMPUTED_VALUE"""),"Férfi")</f>
        <v>Férfi</v>
      </c>
      <c r="E3137" s="1"/>
      <c r="F3137" s="1">
        <f ca="1">IFERROR(__xludf.DUMMYFUNCTION("""COMPUTED_VALUE"""),1995)</f>
        <v>1995</v>
      </c>
      <c r="G3137" s="1">
        <f ca="1">IFERROR(__xludf.DUMMYFUNCTION("""COMPUTED_VALUE"""),1740)</f>
        <v>1740</v>
      </c>
      <c r="H3137" s="1" t="str">
        <f ca="1">IFERROR(__xludf.DUMMYFUNCTION("""COMPUTED_VALUE"""),"MTLSZ001740A09")</f>
        <v>MTLSZ001740A09</v>
      </c>
      <c r="I3137" s="2">
        <f ca="1">IFERROR(__xludf.DUMMYFUNCTION("""COMPUTED_VALUE"""),40063)</f>
        <v>40063</v>
      </c>
      <c r="J3137" s="2">
        <f ca="1">IFERROR(__xludf.DUMMYFUNCTION("""COMPUTED_VALUE"""),40427)</f>
        <v>40427</v>
      </c>
    </row>
    <row r="3138" spans="1:10" x14ac:dyDescent="0.25">
      <c r="A3138" s="1" t="str">
        <f ca="1">IFERROR(__xludf.DUMMYFUNCTION("""COMPUTED_VALUE"""),"DSC-SI")</f>
        <v>DSC-SI</v>
      </c>
      <c r="B3138" s="1" t="str">
        <f ca="1">IFERROR(__xludf.DUMMYFUNCTION("""COMPUTED_VALUE"""),"Szilágyi Gábor")</f>
        <v>Szilágyi Gábor</v>
      </c>
      <c r="C3138" s="1"/>
      <c r="D3138" s="1" t="str">
        <f ca="1">IFERROR(__xludf.DUMMYFUNCTION("""COMPUTED_VALUE"""),"Férfi")</f>
        <v>Férfi</v>
      </c>
      <c r="E3138" s="1"/>
      <c r="F3138" s="1">
        <f ca="1">IFERROR(__xludf.DUMMYFUNCTION("""COMPUTED_VALUE"""),1994)</f>
        <v>1994</v>
      </c>
      <c r="G3138" s="1">
        <f ca="1">IFERROR(__xludf.DUMMYFUNCTION("""COMPUTED_VALUE"""),1680)</f>
        <v>1680</v>
      </c>
      <c r="H3138" s="1" t="str">
        <f ca="1">IFERROR(__xludf.DUMMYFUNCTION("""COMPUTED_VALUE"""),"MTLSZ001680A09")</f>
        <v>MTLSZ001680A09</v>
      </c>
      <c r="I3138" s="2">
        <f ca="1">IFERROR(__xludf.DUMMYFUNCTION("""COMPUTED_VALUE"""),40063)</f>
        <v>40063</v>
      </c>
      <c r="J3138" s="2">
        <f ca="1">IFERROR(__xludf.DUMMYFUNCTION("""COMPUTED_VALUE"""),40427)</f>
        <v>40427</v>
      </c>
    </row>
    <row r="3139" spans="1:10" x14ac:dyDescent="0.25">
      <c r="A3139" s="1" t="str">
        <f ca="1">IFERROR(__xludf.DUMMYFUNCTION("""COMPUTED_VALUE"""),"DSK")</f>
        <v>DSK</v>
      </c>
      <c r="B3139" s="1" t="str">
        <f ca="1">IFERROR(__xludf.DUMMYFUNCTION("""COMPUTED_VALUE"""),"Bánfalvi Gergő")</f>
        <v>Bánfalvi Gergő</v>
      </c>
      <c r="C3139" s="1"/>
      <c r="D3139" s="1" t="str">
        <f ca="1">IFERROR(__xludf.DUMMYFUNCTION("""COMPUTED_VALUE"""),"Férfi")</f>
        <v>Férfi</v>
      </c>
      <c r="E3139" s="1"/>
      <c r="F3139" s="1">
        <f ca="1">IFERROR(__xludf.DUMMYFUNCTION("""COMPUTED_VALUE"""),1996)</f>
        <v>1996</v>
      </c>
      <c r="G3139" s="1">
        <f ca="1">IFERROR(__xludf.DUMMYFUNCTION("""COMPUTED_VALUE"""),1875)</f>
        <v>1875</v>
      </c>
      <c r="H3139" s="1" t="str">
        <f ca="1">IFERROR(__xludf.DUMMYFUNCTION("""COMPUTED_VALUE"""),"MTLSZ001875A09")</f>
        <v>MTLSZ001875A09</v>
      </c>
      <c r="I3139" s="2">
        <f ca="1">IFERROR(__xludf.DUMMYFUNCTION("""COMPUTED_VALUE"""),40059)</f>
        <v>40059</v>
      </c>
      <c r="J3139" s="2">
        <f ca="1">IFERROR(__xludf.DUMMYFUNCTION("""COMPUTED_VALUE"""),40423)</f>
        <v>40423</v>
      </c>
    </row>
    <row r="3140" spans="1:10" x14ac:dyDescent="0.25">
      <c r="A3140" s="1" t="str">
        <f ca="1">IFERROR(__xludf.DUMMYFUNCTION("""COMPUTED_VALUE"""),"DSK")</f>
        <v>DSK</v>
      </c>
      <c r="B3140" s="1" t="str">
        <f ca="1">IFERROR(__xludf.DUMMYFUNCTION("""COMPUTED_VALUE"""),"Nagy Dávid")</f>
        <v>Nagy Dávid</v>
      </c>
      <c r="C3140" s="1"/>
      <c r="D3140" s="1" t="str">
        <f ca="1">IFERROR(__xludf.DUMMYFUNCTION("""COMPUTED_VALUE"""),"Férfi")</f>
        <v>Férfi</v>
      </c>
      <c r="E3140" s="1"/>
      <c r="F3140" s="1">
        <f ca="1">IFERROR(__xludf.DUMMYFUNCTION("""COMPUTED_VALUE"""),1996)</f>
        <v>1996</v>
      </c>
      <c r="G3140" s="1">
        <f ca="1">IFERROR(__xludf.DUMMYFUNCTION("""COMPUTED_VALUE"""),1877)</f>
        <v>1877</v>
      </c>
      <c r="H3140" s="1" t="str">
        <f ca="1">IFERROR(__xludf.DUMMYFUNCTION("""COMPUTED_VALUE"""),"MTLSZ001877A09")</f>
        <v>MTLSZ001877A09</v>
      </c>
      <c r="I3140" s="2">
        <f ca="1">IFERROR(__xludf.DUMMYFUNCTION("""COMPUTED_VALUE"""),40059)</f>
        <v>40059</v>
      </c>
      <c r="J3140" s="2">
        <f ca="1">IFERROR(__xludf.DUMMYFUNCTION("""COMPUTED_VALUE"""),40423)</f>
        <v>40423</v>
      </c>
    </row>
    <row r="3141" spans="1:10" x14ac:dyDescent="0.25">
      <c r="A3141" s="1" t="str">
        <f ca="1">IFERROR(__xludf.DUMMYFUNCTION("""COMPUTED_VALUE"""),"DSK")</f>
        <v>DSK</v>
      </c>
      <c r="B3141" s="1" t="str">
        <f ca="1">IFERROR(__xludf.DUMMYFUNCTION("""COMPUTED_VALUE"""),"Szellő Anett")</f>
        <v>Szellő Anett</v>
      </c>
      <c r="C3141" s="1"/>
      <c r="D3141" s="1" t="str">
        <f ca="1">IFERROR(__xludf.DUMMYFUNCTION("""COMPUTED_VALUE"""),"Nő")</f>
        <v>Nő</v>
      </c>
      <c r="E3141" s="1"/>
      <c r="F3141" s="1">
        <f ca="1">IFERROR(__xludf.DUMMYFUNCTION("""COMPUTED_VALUE"""),1995)</f>
        <v>1995</v>
      </c>
      <c r="G3141" s="1">
        <f ca="1">IFERROR(__xludf.DUMMYFUNCTION("""COMPUTED_VALUE"""),1878)</f>
        <v>1878</v>
      </c>
      <c r="H3141" s="1" t="str">
        <f ca="1">IFERROR(__xludf.DUMMYFUNCTION("""COMPUTED_VALUE"""),"MTLSZ001878A09")</f>
        <v>MTLSZ001878A09</v>
      </c>
      <c r="I3141" s="2">
        <f ca="1">IFERROR(__xludf.DUMMYFUNCTION("""COMPUTED_VALUE"""),40059)</f>
        <v>40059</v>
      </c>
      <c r="J3141" s="2">
        <f ca="1">IFERROR(__xludf.DUMMYFUNCTION("""COMPUTED_VALUE"""),40423)</f>
        <v>40423</v>
      </c>
    </row>
    <row r="3142" spans="1:10" x14ac:dyDescent="0.25">
      <c r="A3142" s="1" t="str">
        <f ca="1">IFERROR(__xludf.DUMMYFUNCTION("""COMPUTED_VALUE"""),"DSK")</f>
        <v>DSK</v>
      </c>
      <c r="B3142" s="1" t="str">
        <f ca="1">IFERROR(__xludf.DUMMYFUNCTION("""COMPUTED_VALUE"""),"Tóth Patrik")</f>
        <v>Tóth Patrik</v>
      </c>
      <c r="C3142" s="1"/>
      <c r="D3142" s="1" t="str">
        <f ca="1">IFERROR(__xludf.DUMMYFUNCTION("""COMPUTED_VALUE"""),"Férfi")</f>
        <v>Férfi</v>
      </c>
      <c r="E3142" s="1"/>
      <c r="F3142" s="1">
        <f ca="1">IFERROR(__xludf.DUMMYFUNCTION("""COMPUTED_VALUE"""),1995)</f>
        <v>1995</v>
      </c>
      <c r="G3142" s="1">
        <f ca="1">IFERROR(__xludf.DUMMYFUNCTION("""COMPUTED_VALUE"""),1917)</f>
        <v>1917</v>
      </c>
      <c r="H3142" s="1" t="str">
        <f ca="1">IFERROR(__xludf.DUMMYFUNCTION("""COMPUTED_VALUE"""),"MTLSZ001917A09")</f>
        <v>MTLSZ001917A09</v>
      </c>
      <c r="I3142" s="2">
        <f ca="1">IFERROR(__xludf.DUMMYFUNCTION("""COMPUTED_VALUE"""),40059)</f>
        <v>40059</v>
      </c>
      <c r="J3142" s="2">
        <f ca="1">IFERROR(__xludf.DUMMYFUNCTION("""COMPUTED_VALUE"""),40423)</f>
        <v>40423</v>
      </c>
    </row>
    <row r="3143" spans="1:10" x14ac:dyDescent="0.25">
      <c r="A3143" s="1" t="str">
        <f ca="1">IFERROR(__xludf.DUMMYFUNCTION("""COMPUTED_VALUE"""),"Klébi DSE")</f>
        <v>Klébi DSE</v>
      </c>
      <c r="B3143" s="1" t="str">
        <f ca="1">IFERROR(__xludf.DUMMYFUNCTION("""COMPUTED_VALUE"""),"Borsos Benedek")</f>
        <v>Borsos Benedek</v>
      </c>
      <c r="C3143" s="1"/>
      <c r="D3143" s="1" t="str">
        <f ca="1">IFERROR(__xludf.DUMMYFUNCTION("""COMPUTED_VALUE"""),"Férfi")</f>
        <v>Férfi</v>
      </c>
      <c r="E3143" s="1"/>
      <c r="F3143" s="1">
        <f ca="1">IFERROR(__xludf.DUMMYFUNCTION("""COMPUTED_VALUE"""),1996)</f>
        <v>1996</v>
      </c>
      <c r="G3143" s="1">
        <f ca="1">IFERROR(__xludf.DUMMYFUNCTION("""COMPUTED_VALUE"""),1760)</f>
        <v>1760</v>
      </c>
      <c r="H3143" s="1" t="str">
        <f ca="1">IFERROR(__xludf.DUMMYFUNCTION("""COMPUTED_VALUE"""),"MTLSZ001760A09")</f>
        <v>MTLSZ001760A09</v>
      </c>
      <c r="I3143" s="2">
        <f ca="1">IFERROR(__xludf.DUMMYFUNCTION("""COMPUTED_VALUE"""),40059)</f>
        <v>40059</v>
      </c>
      <c r="J3143" s="2">
        <f ca="1">IFERROR(__xludf.DUMMYFUNCTION("""COMPUTED_VALUE"""),40423)</f>
        <v>40423</v>
      </c>
    </row>
    <row r="3144" spans="1:10" x14ac:dyDescent="0.25">
      <c r="A3144" s="1" t="str">
        <f ca="1">IFERROR(__xludf.DUMMYFUNCTION("""COMPUTED_VALUE"""),"Klébi DSE")</f>
        <v>Klébi DSE</v>
      </c>
      <c r="B3144" s="1" t="str">
        <f ca="1">IFERROR(__xludf.DUMMYFUNCTION("""COMPUTED_VALUE"""),"Fáth Ádám")</f>
        <v>Fáth Ádám</v>
      </c>
      <c r="C3144" s="1"/>
      <c r="D3144" s="1" t="str">
        <f ca="1">IFERROR(__xludf.DUMMYFUNCTION("""COMPUTED_VALUE"""),"Férfi")</f>
        <v>Férfi</v>
      </c>
      <c r="E3144" s="1"/>
      <c r="F3144" s="1">
        <f ca="1">IFERROR(__xludf.DUMMYFUNCTION("""COMPUTED_VALUE"""),1990)</f>
        <v>1990</v>
      </c>
      <c r="G3144" s="1">
        <f ca="1">IFERROR(__xludf.DUMMYFUNCTION("""COMPUTED_VALUE"""),1362)</f>
        <v>1362</v>
      </c>
      <c r="H3144" s="1" t="str">
        <f ca="1">IFERROR(__xludf.DUMMYFUNCTION("""COMPUTED_VALUE"""),"MTLSZ001362A09")</f>
        <v>MTLSZ001362A09</v>
      </c>
      <c r="I3144" s="2">
        <f ca="1">IFERROR(__xludf.DUMMYFUNCTION("""COMPUTED_VALUE"""),40059)</f>
        <v>40059</v>
      </c>
      <c r="J3144" s="2">
        <f ca="1">IFERROR(__xludf.DUMMYFUNCTION("""COMPUTED_VALUE"""),40423)</f>
        <v>40423</v>
      </c>
    </row>
    <row r="3145" spans="1:10" x14ac:dyDescent="0.25">
      <c r="A3145" s="1" t="str">
        <f ca="1">IFERROR(__xludf.DUMMYFUNCTION("""COMPUTED_VALUE"""),"Klébi DSE")</f>
        <v>Klébi DSE</v>
      </c>
      <c r="B3145" s="1" t="str">
        <f ca="1">IFERROR(__xludf.DUMMYFUNCTION("""COMPUTED_VALUE"""),"Mester Botond")</f>
        <v>Mester Botond</v>
      </c>
      <c r="C3145" s="1"/>
      <c r="D3145" s="1" t="str">
        <f ca="1">IFERROR(__xludf.DUMMYFUNCTION("""COMPUTED_VALUE"""),"Férfi")</f>
        <v>Férfi</v>
      </c>
      <c r="E3145" s="1"/>
      <c r="F3145" s="1">
        <f ca="1">IFERROR(__xludf.DUMMYFUNCTION("""COMPUTED_VALUE"""),1996)</f>
        <v>1996</v>
      </c>
      <c r="G3145" s="1">
        <f ca="1">IFERROR(__xludf.DUMMYFUNCTION("""COMPUTED_VALUE"""),1936)</f>
        <v>1936</v>
      </c>
      <c r="H3145" s="1" t="str">
        <f ca="1">IFERROR(__xludf.DUMMYFUNCTION("""COMPUTED_VALUE"""),"MTLSZ001936A09")</f>
        <v>MTLSZ001936A09</v>
      </c>
      <c r="I3145" s="2">
        <f ca="1">IFERROR(__xludf.DUMMYFUNCTION("""COMPUTED_VALUE"""),40059)</f>
        <v>40059</v>
      </c>
      <c r="J3145" s="2">
        <f ca="1">IFERROR(__xludf.DUMMYFUNCTION("""COMPUTED_VALUE"""),40423)</f>
        <v>40423</v>
      </c>
    </row>
    <row r="3146" spans="1:10" x14ac:dyDescent="0.25">
      <c r="A3146" s="1" t="str">
        <f ca="1">IFERROR(__xludf.DUMMYFUNCTION("""COMPUTED_VALUE"""),"Bodajki TSE")</f>
        <v>Bodajki TSE</v>
      </c>
      <c r="B3146" s="1" t="str">
        <f ca="1">IFERROR(__xludf.DUMMYFUNCTION("""COMPUTED_VALUE"""),"Bíró Cintia Edina")</f>
        <v>Bíró Cintia Edina</v>
      </c>
      <c r="C3146" s="1"/>
      <c r="D3146" s="1" t="str">
        <f ca="1">IFERROR(__xludf.DUMMYFUNCTION("""COMPUTED_VALUE"""),"Nő")</f>
        <v>Nő</v>
      </c>
      <c r="E3146" s="1"/>
      <c r="F3146" s="1">
        <f ca="1">IFERROR(__xludf.DUMMYFUNCTION("""COMPUTED_VALUE"""),1994)</f>
        <v>1994</v>
      </c>
      <c r="G3146" s="1">
        <f ca="1">IFERROR(__xludf.DUMMYFUNCTION("""COMPUTED_VALUE"""),1826)</f>
        <v>1826</v>
      </c>
      <c r="H3146" s="1" t="str">
        <f ca="1">IFERROR(__xludf.DUMMYFUNCTION("""COMPUTED_VALUE"""),"MTLSZ001826A09")</f>
        <v>MTLSZ001826A09</v>
      </c>
      <c r="I3146" s="2">
        <f ca="1">IFERROR(__xludf.DUMMYFUNCTION("""COMPUTED_VALUE"""),40057)</f>
        <v>40057</v>
      </c>
      <c r="J3146" s="2">
        <f ca="1">IFERROR(__xludf.DUMMYFUNCTION("""COMPUTED_VALUE"""),40421)</f>
        <v>40421</v>
      </c>
    </row>
    <row r="3147" spans="1:10" x14ac:dyDescent="0.25">
      <c r="A3147" s="1" t="str">
        <f ca="1">IFERROR(__xludf.DUMMYFUNCTION("""COMPUTED_VALUE"""),"BTBK")</f>
        <v>BTBK</v>
      </c>
      <c r="B3147" s="1" t="str">
        <f ca="1">IFERROR(__xludf.DUMMYFUNCTION("""COMPUTED_VALUE"""),"Vásárhelyi Bálint")</f>
        <v>Vásárhelyi Bálint</v>
      </c>
      <c r="C3147" s="1"/>
      <c r="D3147" s="1" t="str">
        <f ca="1">IFERROR(__xludf.DUMMYFUNCTION("""COMPUTED_VALUE"""),"Férfi")</f>
        <v>Férfi</v>
      </c>
      <c r="E3147" s="1"/>
      <c r="F3147" s="1">
        <f ca="1">IFERROR(__xludf.DUMMYFUNCTION("""COMPUTED_VALUE"""),1951)</f>
        <v>1951</v>
      </c>
      <c r="G3147" s="1">
        <f ca="1">IFERROR(__xludf.DUMMYFUNCTION("""COMPUTED_VALUE"""),1951)</f>
        <v>1951</v>
      </c>
      <c r="H3147" s="1" t="str">
        <f ca="1">IFERROR(__xludf.DUMMYFUNCTION("""COMPUTED_VALUE"""),"MTLSZ001951A09")</f>
        <v>MTLSZ001951A09</v>
      </c>
      <c r="I3147" s="2">
        <f ca="1">IFERROR(__xludf.DUMMYFUNCTION("""COMPUTED_VALUE"""),39940)</f>
        <v>39940</v>
      </c>
      <c r="J3147" s="2">
        <f ca="1">IFERROR(__xludf.DUMMYFUNCTION("""COMPUTED_VALUE"""),40304)</f>
        <v>40304</v>
      </c>
    </row>
    <row r="3148" spans="1:10" x14ac:dyDescent="0.25">
      <c r="A3148" s="1" t="str">
        <f ca="1">IFERROR(__xludf.DUMMYFUNCTION("""COMPUTED_VALUE"""),"Alba-Toll SE")</f>
        <v>Alba-Toll SE</v>
      </c>
      <c r="B3148" s="1" t="str">
        <f ca="1">IFERROR(__xludf.DUMMYFUNCTION("""COMPUTED_VALUE"""),"Brandsoetter Florian")</f>
        <v>Brandsoetter Florian</v>
      </c>
      <c r="C3148" s="1"/>
      <c r="D3148" s="1" t="str">
        <f ca="1">IFERROR(__xludf.DUMMYFUNCTION("""COMPUTED_VALUE"""),"Férfi")</f>
        <v>Férfi</v>
      </c>
      <c r="E3148" s="1"/>
      <c r="F3148" s="1">
        <f ca="1">IFERROR(__xludf.DUMMYFUNCTION("""COMPUTED_VALUE"""),1988)</f>
        <v>1988</v>
      </c>
      <c r="G3148" s="1">
        <f ca="1">IFERROR(__xludf.DUMMYFUNCTION("""COMPUTED_VALUE"""),2117)</f>
        <v>2117</v>
      </c>
      <c r="H3148" s="1" t="str">
        <f ca="1">IFERROR(__xludf.DUMMYFUNCTION("""COMPUTED_VALUE"""),"MTLSZ002117A10")</f>
        <v>MTLSZ002117A10</v>
      </c>
      <c r="I3148" s="2">
        <f ca="1">IFERROR(__xludf.DUMMYFUNCTION("""COMPUTED_VALUE"""),40276)</f>
        <v>40276</v>
      </c>
      <c r="J3148" s="2">
        <f ca="1">IFERROR(__xludf.DUMMYFUNCTION("""COMPUTED_VALUE"""),40279)</f>
        <v>40279</v>
      </c>
    </row>
    <row r="3149" spans="1:10" x14ac:dyDescent="0.25">
      <c r="A3149" s="1" t="str">
        <f ca="1">IFERROR(__xludf.DUMMYFUNCTION("""COMPUTED_VALUE"""),"OSC")</f>
        <v>OSC</v>
      </c>
      <c r="B3149" s="1" t="str">
        <f ca="1">IFERROR(__xludf.DUMMYFUNCTION("""COMPUTED_VALUE"""),"Csanda Lajos")</f>
        <v>Csanda Lajos</v>
      </c>
      <c r="C3149" s="1"/>
      <c r="D3149" s="1" t="str">
        <f ca="1">IFERROR(__xludf.DUMMYFUNCTION("""COMPUTED_VALUE"""),"Férfi")</f>
        <v>Férfi</v>
      </c>
      <c r="E3149" s="1"/>
      <c r="F3149" s="1">
        <f ca="1">IFERROR(__xludf.DUMMYFUNCTION("""COMPUTED_VALUE"""),1949)</f>
        <v>1949</v>
      </c>
      <c r="G3149" s="1">
        <f ca="1">IFERROR(__xludf.DUMMYFUNCTION("""COMPUTED_VALUE"""),126)</f>
        <v>126</v>
      </c>
      <c r="H3149" s="1" t="str">
        <f ca="1">IFERROR(__xludf.DUMMYFUNCTION("""COMPUTED_VALUE"""),"MTLSZ000126A09")</f>
        <v>MTLSZ000126A09</v>
      </c>
      <c r="I3149" s="2">
        <f ca="1">IFERROR(__xludf.DUMMYFUNCTION("""COMPUTED_VALUE"""),39904)</f>
        <v>39904</v>
      </c>
      <c r="J3149" s="2">
        <f ca="1">IFERROR(__xludf.DUMMYFUNCTION("""COMPUTED_VALUE"""),40268)</f>
        <v>40268</v>
      </c>
    </row>
    <row r="3150" spans="1:10" x14ac:dyDescent="0.25">
      <c r="A3150" s="1" t="str">
        <f ca="1">IFERROR(__xludf.DUMMYFUNCTION("""COMPUTED_VALUE"""),"ZKSE")</f>
        <v>ZKSE</v>
      </c>
      <c r="B3150" s="1" t="str">
        <f ca="1">IFERROR(__xludf.DUMMYFUNCTION("""COMPUTED_VALUE"""),"Csajbók Judit")</f>
        <v>Csajbók Judit</v>
      </c>
      <c r="C3150" s="1"/>
      <c r="D3150" s="1" t="str">
        <f ca="1">IFERROR(__xludf.DUMMYFUNCTION("""COMPUTED_VALUE"""),"Nő")</f>
        <v>Nő</v>
      </c>
      <c r="E3150" s="1"/>
      <c r="F3150" s="1">
        <f ca="1">IFERROR(__xludf.DUMMYFUNCTION("""COMPUTED_VALUE"""),1990)</f>
        <v>1990</v>
      </c>
      <c r="G3150" s="1">
        <f ca="1">IFERROR(__xludf.DUMMYFUNCTION("""COMPUTED_VALUE"""),125)</f>
        <v>125</v>
      </c>
      <c r="H3150" s="1" t="str">
        <f ca="1">IFERROR(__xludf.DUMMYFUNCTION("""COMPUTED_VALUE"""),"MTLSZ000125A09")</f>
        <v>MTLSZ000125A09</v>
      </c>
      <c r="I3150" s="2">
        <f ca="1">IFERROR(__xludf.DUMMYFUNCTION("""COMPUTED_VALUE"""),39883)</f>
        <v>39883</v>
      </c>
      <c r="J3150" s="2">
        <f ca="1">IFERROR(__xludf.DUMMYFUNCTION("""COMPUTED_VALUE"""),40247)</f>
        <v>40247</v>
      </c>
    </row>
    <row r="3151" spans="1:10" x14ac:dyDescent="0.25">
      <c r="A3151" s="1" t="str">
        <f ca="1">IFERROR(__xludf.DUMMYFUNCTION("""COMPUTED_VALUE"""),"Multi Alarm SE")</f>
        <v>Multi Alarm SE</v>
      </c>
      <c r="B3151" s="1" t="str">
        <f ca="1">IFERROR(__xludf.DUMMYFUNCTION("""COMPUTED_VALUE"""),"Delattre Aurelien")</f>
        <v>Delattre Aurelien</v>
      </c>
      <c r="C3151" s="1"/>
      <c r="D3151" s="1" t="str">
        <f ca="1">IFERROR(__xludf.DUMMYFUNCTION("""COMPUTED_VALUE"""),"Férfi")</f>
        <v>Férfi</v>
      </c>
      <c r="E3151" s="1"/>
      <c r="F3151" s="1">
        <f ca="1">IFERROR(__xludf.DUMMYFUNCTION("""COMPUTED_VALUE"""),1990)</f>
        <v>1990</v>
      </c>
      <c r="G3151" s="1">
        <f ca="1">IFERROR(__xludf.DUMMYFUNCTION("""COMPUTED_VALUE"""),2107)</f>
        <v>2107</v>
      </c>
      <c r="H3151" s="1" t="str">
        <f ca="1">IFERROR(__xludf.DUMMYFUNCTION("""COMPUTED_VALUE"""),"MTLSZ002107A10")</f>
        <v>MTLSZ002107A10</v>
      </c>
      <c r="I3151" s="2">
        <f ca="1">IFERROR(__xludf.DUMMYFUNCTION("""COMPUTED_VALUE"""),40239)</f>
        <v>40239</v>
      </c>
      <c r="J3151" s="2">
        <f ca="1">IFERROR(__xludf.DUMMYFUNCTION("""COMPUTED_VALUE"""),40244)</f>
        <v>40244</v>
      </c>
    </row>
    <row r="3152" spans="1:10" x14ac:dyDescent="0.25">
      <c r="A3152" s="1" t="str">
        <f ca="1">IFERROR(__xludf.DUMMYFUNCTION("""COMPUTED_VALUE"""),"Multi Alarm SE")</f>
        <v>Multi Alarm SE</v>
      </c>
      <c r="B3152" s="1" t="str">
        <f ca="1">IFERROR(__xludf.DUMMYFUNCTION("""COMPUTED_VALUE"""),"Fourcade Gregorie")</f>
        <v>Fourcade Gregorie</v>
      </c>
      <c r="C3152" s="1"/>
      <c r="D3152" s="1" t="str">
        <f ca="1">IFERROR(__xludf.DUMMYFUNCTION("""COMPUTED_VALUE"""),"Férfi")</f>
        <v>Férfi</v>
      </c>
      <c r="E3152" s="1"/>
      <c r="F3152" s="1">
        <f ca="1">IFERROR(__xludf.DUMMYFUNCTION("""COMPUTED_VALUE"""),1985)</f>
        <v>1985</v>
      </c>
      <c r="G3152" s="1">
        <f ca="1">IFERROR(__xludf.DUMMYFUNCTION("""COMPUTED_VALUE"""),2105)</f>
        <v>2105</v>
      </c>
      <c r="H3152" s="1" t="str">
        <f ca="1">IFERROR(__xludf.DUMMYFUNCTION("""COMPUTED_VALUE"""),"MTLSZ002105A10")</f>
        <v>MTLSZ002105A10</v>
      </c>
      <c r="I3152" s="2">
        <f ca="1">IFERROR(__xludf.DUMMYFUNCTION("""COMPUTED_VALUE"""),40239)</f>
        <v>40239</v>
      </c>
      <c r="J3152" s="2">
        <f ca="1">IFERROR(__xludf.DUMMYFUNCTION("""COMPUTED_VALUE"""),40244)</f>
        <v>40244</v>
      </c>
    </row>
    <row r="3153" spans="1:10" x14ac:dyDescent="0.25">
      <c r="A3153" s="1" t="str">
        <f ca="1">IFERROR(__xludf.DUMMYFUNCTION("""COMPUTED_VALUE"""),"Multi Alarm SE")</f>
        <v>Multi Alarm SE</v>
      </c>
      <c r="B3153" s="1" t="str">
        <f ca="1">IFERROR(__xludf.DUMMYFUNCTION("""COMPUTED_VALUE"""),"Fraisse Fabien")</f>
        <v>Fraisse Fabien</v>
      </c>
      <c r="C3153" s="1"/>
      <c r="D3153" s="1" t="str">
        <f ca="1">IFERROR(__xludf.DUMMYFUNCTION("""COMPUTED_VALUE"""),"Férfi")</f>
        <v>Férfi</v>
      </c>
      <c r="E3153" s="1"/>
      <c r="F3153" s="1">
        <f ca="1">IFERROR(__xludf.DUMMYFUNCTION("""COMPUTED_VALUE"""),1986)</f>
        <v>1986</v>
      </c>
      <c r="G3153" s="1">
        <f ca="1">IFERROR(__xludf.DUMMYFUNCTION("""COMPUTED_VALUE"""),2108)</f>
        <v>2108</v>
      </c>
      <c r="H3153" s="1" t="str">
        <f ca="1">IFERROR(__xludf.DUMMYFUNCTION("""COMPUTED_VALUE"""),"MTLSZ002108A10")</f>
        <v>MTLSZ002108A10</v>
      </c>
      <c r="I3153" s="2">
        <f ca="1">IFERROR(__xludf.DUMMYFUNCTION("""COMPUTED_VALUE"""),40239)</f>
        <v>40239</v>
      </c>
      <c r="J3153" s="2">
        <f ca="1">IFERROR(__xludf.DUMMYFUNCTION("""COMPUTED_VALUE"""),40244)</f>
        <v>40244</v>
      </c>
    </row>
    <row r="3154" spans="1:10" x14ac:dyDescent="0.25">
      <c r="A3154" s="1" t="str">
        <f ca="1">IFERROR(__xludf.DUMMYFUNCTION("""COMPUTED_VALUE"""),"Multi Alarm SE")</f>
        <v>Multi Alarm SE</v>
      </c>
      <c r="B3154" s="1" t="str">
        <f ca="1">IFERROR(__xludf.DUMMYFUNCTION("""COMPUTED_VALUE"""),"Lemoine Marion")</f>
        <v>Lemoine Marion</v>
      </c>
      <c r="C3154" s="1"/>
      <c r="D3154" s="1" t="str">
        <f ca="1">IFERROR(__xludf.DUMMYFUNCTION("""COMPUTED_VALUE"""),"Nő")</f>
        <v>Nő</v>
      </c>
      <c r="E3154" s="1"/>
      <c r="F3154" s="1">
        <f ca="1">IFERROR(__xludf.DUMMYFUNCTION("""COMPUTED_VALUE"""),1984)</f>
        <v>1984</v>
      </c>
      <c r="G3154" s="1">
        <f ca="1">IFERROR(__xludf.DUMMYFUNCTION("""COMPUTED_VALUE"""),2106)</f>
        <v>2106</v>
      </c>
      <c r="H3154" s="1" t="str">
        <f ca="1">IFERROR(__xludf.DUMMYFUNCTION("""COMPUTED_VALUE"""),"MTLSZ002106A10")</f>
        <v>MTLSZ002106A10</v>
      </c>
      <c r="I3154" s="2">
        <f ca="1">IFERROR(__xludf.DUMMYFUNCTION("""COMPUTED_VALUE"""),40239)</f>
        <v>40239</v>
      </c>
      <c r="J3154" s="2">
        <f ca="1">IFERROR(__xludf.DUMMYFUNCTION("""COMPUTED_VALUE"""),40244)</f>
        <v>40244</v>
      </c>
    </row>
    <row r="3155" spans="1:10" x14ac:dyDescent="0.25">
      <c r="A3155" s="1" t="str">
        <f ca="1">IFERROR(__xludf.DUMMYFUNCTION("""COMPUTED_VALUE"""),"Multi Alarm SE")</f>
        <v>Multi Alarm SE</v>
      </c>
      <c r="B3155" s="1" t="str">
        <f ca="1">IFERROR(__xludf.DUMMYFUNCTION("""COMPUTED_VALUE"""),"Pougajendirane Arnaud")</f>
        <v>Pougajendirane Arnaud</v>
      </c>
      <c r="C3155" s="1"/>
      <c r="D3155" s="1" t="str">
        <f ca="1">IFERROR(__xludf.DUMMYFUNCTION("""COMPUTED_VALUE"""),"Férfi")</f>
        <v>Férfi</v>
      </c>
      <c r="E3155" s="1"/>
      <c r="F3155" s="1">
        <f ca="1">IFERROR(__xludf.DUMMYFUNCTION("""COMPUTED_VALUE"""),1984)</f>
        <v>1984</v>
      </c>
      <c r="G3155" s="1">
        <f ca="1">IFERROR(__xludf.DUMMYFUNCTION("""COMPUTED_VALUE"""),2104)</f>
        <v>2104</v>
      </c>
      <c r="H3155" s="1" t="str">
        <f ca="1">IFERROR(__xludf.DUMMYFUNCTION("""COMPUTED_VALUE"""),"MTLSZ002104A10")</f>
        <v>MTLSZ002104A10</v>
      </c>
      <c r="I3155" s="2">
        <f ca="1">IFERROR(__xludf.DUMMYFUNCTION("""COMPUTED_VALUE"""),40239)</f>
        <v>40239</v>
      </c>
      <c r="J3155" s="2">
        <f ca="1">IFERROR(__xludf.DUMMYFUNCTION("""COMPUTED_VALUE"""),40244)</f>
        <v>40244</v>
      </c>
    </row>
    <row r="3156" spans="1:10" x14ac:dyDescent="0.25">
      <c r="A3156" s="1" t="str">
        <f ca="1">IFERROR(__xludf.DUMMYFUNCTION("""COMPUTED_VALUE"""),"Multi Alarm SE")</f>
        <v>Multi Alarm SE</v>
      </c>
      <c r="B3156" s="1" t="str">
        <f ca="1">IFERROR(__xludf.DUMMYFUNCTION("""COMPUTED_VALUE"""),"Pougajendirane Bruno")</f>
        <v>Pougajendirane Bruno</v>
      </c>
      <c r="C3156" s="1"/>
      <c r="D3156" s="1" t="str">
        <f ca="1">IFERROR(__xludf.DUMMYFUNCTION("""COMPUTED_VALUE"""),"Férfi")</f>
        <v>Férfi</v>
      </c>
      <c r="E3156" s="1"/>
      <c r="F3156" s="1">
        <f ca="1">IFERROR(__xludf.DUMMYFUNCTION("""COMPUTED_VALUE"""),1986)</f>
        <v>1986</v>
      </c>
      <c r="G3156" s="1">
        <f ca="1">IFERROR(__xludf.DUMMYFUNCTION("""COMPUTED_VALUE"""),2103)</f>
        <v>2103</v>
      </c>
      <c r="H3156" s="1" t="str">
        <f ca="1">IFERROR(__xludf.DUMMYFUNCTION("""COMPUTED_VALUE"""),"MTLSZ002103A10")</f>
        <v>MTLSZ002103A10</v>
      </c>
      <c r="I3156" s="2">
        <f ca="1">IFERROR(__xludf.DUMMYFUNCTION("""COMPUTED_VALUE"""),40239)</f>
        <v>40239</v>
      </c>
      <c r="J3156" s="2">
        <f ca="1">IFERROR(__xludf.DUMMYFUNCTION("""COMPUTED_VALUE"""),40244)</f>
        <v>40244</v>
      </c>
    </row>
    <row r="3157" spans="1:10" x14ac:dyDescent="0.25">
      <c r="A3157" s="1" t="str">
        <f ca="1">IFERROR(__xludf.DUMMYFUNCTION("""COMPUTED_VALUE"""),"Multi Alarm SE")</f>
        <v>Multi Alarm SE</v>
      </c>
      <c r="B3157" s="1" t="str">
        <f ca="1">IFERROR(__xludf.DUMMYFUNCTION("""COMPUTED_VALUE"""),"Pougajendirane Laurent")</f>
        <v>Pougajendirane Laurent</v>
      </c>
      <c r="C3157" s="1"/>
      <c r="D3157" s="1" t="str">
        <f ca="1">IFERROR(__xludf.DUMMYFUNCTION("""COMPUTED_VALUE"""),"Férfi")</f>
        <v>Férfi</v>
      </c>
      <c r="E3157" s="1"/>
      <c r="F3157" s="1">
        <f ca="1">IFERROR(__xludf.DUMMYFUNCTION("""COMPUTED_VALUE"""),1989)</f>
        <v>1989</v>
      </c>
      <c r="G3157" s="1">
        <f ca="1">IFERROR(__xludf.DUMMYFUNCTION("""COMPUTED_VALUE"""),2102)</f>
        <v>2102</v>
      </c>
      <c r="H3157" s="1" t="str">
        <f ca="1">IFERROR(__xludf.DUMMYFUNCTION("""COMPUTED_VALUE"""),"MTLSZ002102A10")</f>
        <v>MTLSZ002102A10</v>
      </c>
      <c r="I3157" s="2">
        <f ca="1">IFERROR(__xludf.DUMMYFUNCTION("""COMPUTED_VALUE"""),40239)</f>
        <v>40239</v>
      </c>
      <c r="J3157" s="2">
        <f ca="1">IFERROR(__xludf.DUMMYFUNCTION("""COMPUTED_VALUE"""),40244)</f>
        <v>40244</v>
      </c>
    </row>
    <row r="3158" spans="1:10" x14ac:dyDescent="0.25">
      <c r="A3158" s="1" t="str">
        <f ca="1">IFERROR(__xludf.DUMMYFUNCTION("""COMPUTED_VALUE"""),"HZSE")</f>
        <v>HZSE</v>
      </c>
      <c r="B3158" s="1" t="str">
        <f ca="1">IFERROR(__xludf.DUMMYFUNCTION("""COMPUTED_VALUE"""),"Marton Ramóna")</f>
        <v>Marton Ramóna</v>
      </c>
      <c r="C3158" s="1"/>
      <c r="D3158" s="1" t="str">
        <f ca="1">IFERROR(__xludf.DUMMYFUNCTION("""COMPUTED_VALUE"""),"Nő")</f>
        <v>Nő</v>
      </c>
      <c r="E3158" s="1"/>
      <c r="F3158" s="1">
        <f ca="1">IFERROR(__xludf.DUMMYFUNCTION("""COMPUTED_VALUE"""),1991)</f>
        <v>1991</v>
      </c>
      <c r="G3158" s="1">
        <f ca="1">IFERROR(__xludf.DUMMYFUNCTION("""COMPUTED_VALUE"""),1940)</f>
        <v>1940</v>
      </c>
      <c r="H3158" s="1" t="str">
        <f ca="1">IFERROR(__xludf.DUMMYFUNCTION("""COMPUTED_VALUE"""),"MTLSZ001940A09")</f>
        <v>MTLSZ001940A09</v>
      </c>
      <c r="I3158" s="2">
        <f ca="1">IFERROR(__xludf.DUMMYFUNCTION("""COMPUTED_VALUE"""),39877)</f>
        <v>39877</v>
      </c>
      <c r="J3158" s="2">
        <f ca="1">IFERROR(__xludf.DUMMYFUNCTION("""COMPUTED_VALUE"""),40241)</f>
        <v>40241</v>
      </c>
    </row>
    <row r="3159" spans="1:10" x14ac:dyDescent="0.25">
      <c r="A3159" s="1" t="str">
        <f ca="1">IFERROR(__xludf.DUMMYFUNCTION("""COMPUTED_VALUE"""),"Universitas SC")</f>
        <v>Universitas SC</v>
      </c>
      <c r="B3159" s="1" t="str">
        <f ca="1">IFERROR(__xludf.DUMMYFUNCTION("""COMPUTED_VALUE"""),"Farkas Péter")</f>
        <v>Farkas Péter</v>
      </c>
      <c r="C3159" s="1"/>
      <c r="D3159" s="1" t="str">
        <f ca="1">IFERROR(__xludf.DUMMYFUNCTION("""COMPUTED_VALUE"""),"Férfi")</f>
        <v>Férfi</v>
      </c>
      <c r="E3159" s="1"/>
      <c r="F3159" s="1">
        <f ca="1">IFERROR(__xludf.DUMMYFUNCTION("""COMPUTED_VALUE"""),1982)</f>
        <v>1982</v>
      </c>
      <c r="G3159" s="1">
        <f ca="1">IFERROR(__xludf.DUMMYFUNCTION("""COMPUTED_VALUE"""),230)</f>
        <v>230</v>
      </c>
      <c r="H3159" s="1" t="str">
        <f ca="1">IFERROR(__xludf.DUMMYFUNCTION("""COMPUTED_VALUE"""),"MTLSZ000230A09")</f>
        <v>MTLSZ000230A09</v>
      </c>
      <c r="I3159" s="2">
        <f ca="1">IFERROR(__xludf.DUMMYFUNCTION("""COMPUTED_VALUE"""),39877)</f>
        <v>39877</v>
      </c>
      <c r="J3159" s="2">
        <f ca="1">IFERROR(__xludf.DUMMYFUNCTION("""COMPUTED_VALUE"""),40241)</f>
        <v>40241</v>
      </c>
    </row>
    <row r="3160" spans="1:10" x14ac:dyDescent="0.25">
      <c r="A3160" s="1" t="str">
        <f ca="1">IFERROR(__xludf.DUMMYFUNCTION("""COMPUTED_VALUE"""),"HZSE")</f>
        <v>HZSE</v>
      </c>
      <c r="B3160" s="1" t="str">
        <f ca="1">IFERROR(__xludf.DUMMYFUNCTION("""COMPUTED_VALUE"""),"Urbán Máté")</f>
        <v>Urbán Máté</v>
      </c>
      <c r="C3160" s="1"/>
      <c r="D3160" s="1" t="str">
        <f ca="1">IFERROR(__xludf.DUMMYFUNCTION("""COMPUTED_VALUE"""),"Férfi")</f>
        <v>Férfi</v>
      </c>
      <c r="E3160" s="1"/>
      <c r="F3160" s="1">
        <f ca="1">IFERROR(__xludf.DUMMYFUNCTION("""COMPUTED_VALUE"""),1992)</f>
        <v>1992</v>
      </c>
      <c r="G3160" s="1">
        <f ca="1">IFERROR(__xludf.DUMMYFUNCTION("""COMPUTED_VALUE"""),1696)</f>
        <v>1696</v>
      </c>
      <c r="H3160" s="1" t="str">
        <f ca="1">IFERROR(__xludf.DUMMYFUNCTION("""COMPUTED_VALUE"""),"MTLSZ001696A09")</f>
        <v>MTLSZ001696A09</v>
      </c>
      <c r="I3160" s="2">
        <f ca="1">IFERROR(__xludf.DUMMYFUNCTION("""COMPUTED_VALUE"""),39863)</f>
        <v>39863</v>
      </c>
      <c r="J3160" s="2">
        <f ca="1">IFERROR(__xludf.DUMMYFUNCTION("""COMPUTED_VALUE"""),40227)</f>
        <v>40227</v>
      </c>
    </row>
    <row r="3161" spans="1:10" x14ac:dyDescent="0.25">
      <c r="A3161" s="1" t="str">
        <f ca="1">IFERROR(__xludf.DUMMYFUNCTION("""COMPUTED_VALUE"""),"ZKSE")</f>
        <v>ZKSE</v>
      </c>
      <c r="B3161" s="1" t="str">
        <f ca="1">IFERROR(__xludf.DUMMYFUNCTION("""COMPUTED_VALUE"""),"Varga Péter")</f>
        <v>Varga Péter</v>
      </c>
      <c r="C3161" s="1"/>
      <c r="D3161" s="1" t="str">
        <f ca="1">IFERROR(__xludf.DUMMYFUNCTION("""COMPUTED_VALUE"""),"Férfi")</f>
        <v>Férfi</v>
      </c>
      <c r="E3161" s="1"/>
      <c r="F3161" s="1">
        <f ca="1">IFERROR(__xludf.DUMMYFUNCTION("""COMPUTED_VALUE"""),1988)</f>
        <v>1988</v>
      </c>
      <c r="G3161" s="1">
        <f ca="1">IFERROR(__xludf.DUMMYFUNCTION("""COMPUTED_VALUE"""),1704)</f>
        <v>1704</v>
      </c>
      <c r="H3161" s="1" t="str">
        <f ca="1">IFERROR(__xludf.DUMMYFUNCTION("""COMPUTED_VALUE"""),"MTLSZ001704A09")</f>
        <v>MTLSZ001704A09</v>
      </c>
      <c r="I3161" s="2">
        <f ca="1">IFERROR(__xludf.DUMMYFUNCTION("""COMPUTED_VALUE"""),39863)</f>
        <v>39863</v>
      </c>
      <c r="J3161" s="2">
        <f ca="1">IFERROR(__xludf.DUMMYFUNCTION("""COMPUTED_VALUE"""),40227)</f>
        <v>40227</v>
      </c>
    </row>
    <row r="3162" spans="1:10" x14ac:dyDescent="0.25">
      <c r="A3162" s="1" t="str">
        <f ca="1">IFERROR(__xludf.DUMMYFUNCTION("""COMPUTED_VALUE"""),"BTBK")</f>
        <v>BTBK</v>
      </c>
      <c r="B3162" s="1" t="str">
        <f ca="1">IFERROR(__xludf.DUMMYFUNCTION("""COMPUTED_VALUE"""),"Godán Tímea")</f>
        <v>Godán Tímea</v>
      </c>
      <c r="C3162" s="1"/>
      <c r="D3162" s="1" t="str">
        <f ca="1">IFERROR(__xludf.DUMMYFUNCTION("""COMPUTED_VALUE"""),"Nő")</f>
        <v>Nő</v>
      </c>
      <c r="E3162" s="1"/>
      <c r="F3162" s="1">
        <f ca="1">IFERROR(__xludf.DUMMYFUNCTION("""COMPUTED_VALUE"""),1983)</f>
        <v>1983</v>
      </c>
      <c r="G3162" s="1">
        <f ca="1">IFERROR(__xludf.DUMMYFUNCTION("""COMPUTED_VALUE"""),1569)</f>
        <v>1569</v>
      </c>
      <c r="H3162" s="1" t="str">
        <f ca="1">IFERROR(__xludf.DUMMYFUNCTION("""COMPUTED_VALUE"""),"MTLSZ001569A09")</f>
        <v>MTLSZ001569A09</v>
      </c>
      <c r="I3162" s="2">
        <f ca="1">IFERROR(__xludf.DUMMYFUNCTION("""COMPUTED_VALUE"""),39843)</f>
        <v>39843</v>
      </c>
      <c r="J3162" s="2">
        <f ca="1">IFERROR(__xludf.DUMMYFUNCTION("""COMPUTED_VALUE"""),40207)</f>
        <v>40207</v>
      </c>
    </row>
    <row r="3163" spans="1:10" x14ac:dyDescent="0.25">
      <c r="A3163" s="1" t="str">
        <f ca="1">IFERROR(__xludf.DUMMYFUNCTION("""COMPUTED_VALUE"""),"DSC-SI")</f>
        <v>DSC-SI</v>
      </c>
      <c r="B3163" s="1" t="str">
        <f ca="1">IFERROR(__xludf.DUMMYFUNCTION("""COMPUTED_VALUE"""),"Kapitány Tibor")</f>
        <v>Kapitány Tibor</v>
      </c>
      <c r="C3163" s="1"/>
      <c r="D3163" s="1" t="str">
        <f ca="1">IFERROR(__xludf.DUMMYFUNCTION("""COMPUTED_VALUE"""),"Férfi")</f>
        <v>Férfi</v>
      </c>
      <c r="E3163" s="1"/>
      <c r="F3163" s="1">
        <f ca="1">IFERROR(__xludf.DUMMYFUNCTION("""COMPUTED_VALUE"""),1986)</f>
        <v>1986</v>
      </c>
      <c r="G3163" s="1">
        <f ca="1">IFERROR(__xludf.DUMMYFUNCTION("""COMPUTED_VALUE"""),432)</f>
        <v>432</v>
      </c>
      <c r="H3163" s="1" t="str">
        <f ca="1">IFERROR(__xludf.DUMMYFUNCTION("""COMPUTED_VALUE"""),"MTLSZ000432A09")</f>
        <v>MTLSZ000432A09</v>
      </c>
      <c r="I3163" s="2">
        <f ca="1">IFERROR(__xludf.DUMMYFUNCTION("""COMPUTED_VALUE"""),39836)</f>
        <v>39836</v>
      </c>
      <c r="J3163" s="2">
        <f ca="1">IFERROR(__xludf.DUMMYFUNCTION("""COMPUTED_VALUE"""),40200)</f>
        <v>40200</v>
      </c>
    </row>
    <row r="3164" spans="1:10" x14ac:dyDescent="0.25">
      <c r="A3164" s="1" t="str">
        <f ca="1">IFERROR(__xludf.DUMMYFUNCTION("""COMPUTED_VALUE"""),"DSC-SI")</f>
        <v>DSC-SI</v>
      </c>
      <c r="B3164" s="1" t="str">
        <f ca="1">IFERROR(__xludf.DUMMYFUNCTION("""COMPUTED_VALUE"""),"Varga Zoltán")</f>
        <v>Varga Zoltán</v>
      </c>
      <c r="C3164" s="1"/>
      <c r="D3164" s="1" t="str">
        <f ca="1">IFERROR(__xludf.DUMMYFUNCTION("""COMPUTED_VALUE"""),"Férfi")</f>
        <v>Férfi</v>
      </c>
      <c r="E3164" s="1"/>
      <c r="F3164" s="1">
        <f ca="1">IFERROR(__xludf.DUMMYFUNCTION("""COMPUTED_VALUE"""),1983)</f>
        <v>1983</v>
      </c>
      <c r="G3164" s="1">
        <f ca="1">IFERROR(__xludf.DUMMYFUNCTION("""COMPUTED_VALUE"""),1099)</f>
        <v>1099</v>
      </c>
      <c r="H3164" s="1" t="str">
        <f ca="1">IFERROR(__xludf.DUMMYFUNCTION("""COMPUTED_VALUE"""),"MTLSZ001099A09")</f>
        <v>MTLSZ001099A09</v>
      </c>
      <c r="I3164" s="2">
        <f ca="1">IFERROR(__xludf.DUMMYFUNCTION("""COMPUTED_VALUE"""),39836)</f>
        <v>39836</v>
      </c>
      <c r="J3164" s="2">
        <f ca="1">IFERROR(__xludf.DUMMYFUNCTION("""COMPUTED_VALUE"""),40200)</f>
        <v>40200</v>
      </c>
    </row>
    <row r="3165" spans="1:10" x14ac:dyDescent="0.25">
      <c r="A3165" s="1" t="str">
        <f ca="1">IFERROR(__xludf.DUMMYFUNCTION("""COMPUTED_VALUE"""),"Klébi DSE")</f>
        <v>Klébi DSE</v>
      </c>
      <c r="B3165" s="1" t="str">
        <f ca="1">IFERROR(__xludf.DUMMYFUNCTION("""COMPUTED_VALUE"""),"Izsák Bálint")</f>
        <v>Izsák Bálint</v>
      </c>
      <c r="C3165" s="1"/>
      <c r="D3165" s="1" t="str">
        <f ca="1">IFERROR(__xludf.DUMMYFUNCTION("""COMPUTED_VALUE"""),"Férfi")</f>
        <v>Férfi</v>
      </c>
      <c r="E3165" s="1"/>
      <c r="F3165" s="1">
        <f ca="1">IFERROR(__xludf.DUMMYFUNCTION("""COMPUTED_VALUE"""),1995)</f>
        <v>1995</v>
      </c>
      <c r="G3165" s="1">
        <f ca="1">IFERROR(__xludf.DUMMYFUNCTION("""COMPUTED_VALUE"""),1938)</f>
        <v>1938</v>
      </c>
      <c r="H3165" s="1" t="str">
        <f ca="1">IFERROR(__xludf.DUMMYFUNCTION("""COMPUTED_VALUE"""),"MTLSZ001938A09")</f>
        <v>MTLSZ001938A09</v>
      </c>
      <c r="I3165" s="2">
        <f ca="1">IFERROR(__xludf.DUMMYFUNCTION("""COMPUTED_VALUE"""),39821)</f>
        <v>39821</v>
      </c>
      <c r="J3165" s="2">
        <f ca="1">IFERROR(__xludf.DUMMYFUNCTION("""COMPUTED_VALUE"""),40185)</f>
        <v>40185</v>
      </c>
    </row>
    <row r="3166" spans="1:10" x14ac:dyDescent="0.25">
      <c r="A3166" s="1" t="str">
        <f ca="1">IFERROR(__xludf.DUMMYFUNCTION("""COMPUTED_VALUE"""),"#N/A")</f>
        <v>#N/A</v>
      </c>
      <c r="B3166" s="1" t="str">
        <f ca="1">IFERROR(__xludf.DUMMYFUNCTION("""COMPUTED_VALUE"""),"Istenes Anna")</f>
        <v>Istenes Anna</v>
      </c>
      <c r="C3166" s="1"/>
      <c r="D3166" s="1" t="str">
        <f ca="1">IFERROR(__xludf.DUMMYFUNCTION("""COMPUTED_VALUE"""),"Nő")</f>
        <v>Nő</v>
      </c>
      <c r="E3166" s="1"/>
      <c r="F3166" s="1">
        <f ca="1">IFERROR(__xludf.DUMMYFUNCTION("""COMPUTED_VALUE"""),1974)</f>
        <v>1974</v>
      </c>
      <c r="G3166" s="1">
        <f ca="1">IFERROR(__xludf.DUMMYFUNCTION("""COMPUTED_VALUE"""),399)</f>
        <v>399</v>
      </c>
      <c r="H3166" s="1" t="str">
        <f ca="1">IFERROR(__xludf.DUMMYFUNCTION("""COMPUTED_VALUE"""),"MTLSZ000399A08")</f>
        <v>MTLSZ000399A08</v>
      </c>
      <c r="I3166" s="2">
        <f ca="1">IFERROR(__xludf.DUMMYFUNCTION("""COMPUTED_VALUE"""),39794)</f>
        <v>39794</v>
      </c>
      <c r="J3166" s="2">
        <f ca="1">IFERROR(__xludf.DUMMYFUNCTION("""COMPUTED_VALUE"""),40158)</f>
        <v>40158</v>
      </c>
    </row>
    <row r="3167" spans="1:10" x14ac:dyDescent="0.25">
      <c r="A3167" s="1" t="str">
        <f ca="1">IFERROR(__xludf.DUMMYFUNCTION("""COMPUTED_VALUE"""),"#N/A")</f>
        <v>#N/A</v>
      </c>
      <c r="B3167" s="1" t="str">
        <f ca="1">IFERROR(__xludf.DUMMYFUNCTION("""COMPUTED_VALUE"""),"Rózsahegyi Rita")</f>
        <v>Rózsahegyi Rita</v>
      </c>
      <c r="C3167" s="1"/>
      <c r="D3167" s="1" t="str">
        <f ca="1">IFERROR(__xludf.DUMMYFUNCTION("""COMPUTED_VALUE"""),"Nő")</f>
        <v>Nő</v>
      </c>
      <c r="E3167" s="1"/>
      <c r="F3167" s="1">
        <f ca="1">IFERROR(__xludf.DUMMYFUNCTION("""COMPUTED_VALUE"""),1974)</f>
        <v>1974</v>
      </c>
      <c r="G3167" s="1">
        <f ca="1">IFERROR(__xludf.DUMMYFUNCTION("""COMPUTED_VALUE"""),819)</f>
        <v>819</v>
      </c>
      <c r="H3167" s="1" t="str">
        <f ca="1">IFERROR(__xludf.DUMMYFUNCTION("""COMPUTED_VALUE"""),"MTLSZ000819A08")</f>
        <v>MTLSZ000819A08</v>
      </c>
      <c r="I3167" s="2">
        <f ca="1">IFERROR(__xludf.DUMMYFUNCTION("""COMPUTED_VALUE"""),39794)</f>
        <v>39794</v>
      </c>
      <c r="J3167" s="2">
        <f ca="1">IFERROR(__xludf.DUMMYFUNCTION("""COMPUTED_VALUE"""),40158)</f>
        <v>40158</v>
      </c>
    </row>
    <row r="3168" spans="1:10" x14ac:dyDescent="0.25">
      <c r="A3168" s="1" t="str">
        <f ca="1">IFERROR(__xludf.DUMMYFUNCTION("""COMPUTED_VALUE"""),"Klébi DSE")</f>
        <v>Klébi DSE</v>
      </c>
      <c r="B3168" s="1" t="str">
        <f ca="1">IFERROR(__xludf.DUMMYFUNCTION("""COMPUTED_VALUE"""),"Schin Ádám")</f>
        <v>Schin Ádám</v>
      </c>
      <c r="C3168" s="1"/>
      <c r="D3168" s="1" t="str">
        <f ca="1">IFERROR(__xludf.DUMMYFUNCTION("""COMPUTED_VALUE"""),"Férfi")</f>
        <v>Férfi</v>
      </c>
      <c r="E3168" s="1"/>
      <c r="F3168" s="1">
        <f ca="1">IFERROR(__xludf.DUMMYFUNCTION("""COMPUTED_VALUE"""),1997)</f>
        <v>1997</v>
      </c>
      <c r="G3168" s="1">
        <f ca="1">IFERROR(__xludf.DUMMYFUNCTION("""COMPUTED_VALUE"""),1933)</f>
        <v>1933</v>
      </c>
      <c r="H3168" s="1" t="str">
        <f ca="1">IFERROR(__xludf.DUMMYFUNCTION("""COMPUTED_VALUE"""),"MTLSZ001933A08")</f>
        <v>MTLSZ001933A08</v>
      </c>
      <c r="I3168" s="2">
        <f ca="1">IFERROR(__xludf.DUMMYFUNCTION("""COMPUTED_VALUE"""),39785)</f>
        <v>39785</v>
      </c>
      <c r="J3168" s="2">
        <f ca="1">IFERROR(__xludf.DUMMYFUNCTION("""COMPUTED_VALUE"""),40149)</f>
        <v>40149</v>
      </c>
    </row>
    <row r="3169" spans="1:10" x14ac:dyDescent="0.25">
      <c r="A3169" s="1" t="str">
        <f ca="1">IFERROR(__xludf.DUMMYFUNCTION("""COMPUTED_VALUE"""),"DSK")</f>
        <v>DSK</v>
      </c>
      <c r="B3169" s="1" t="str">
        <f ca="1">IFERROR(__xludf.DUMMYFUNCTION("""COMPUTED_VALUE"""),"Dézsiné Tóth Ágnes")</f>
        <v>Dézsiné Tóth Ágnes</v>
      </c>
      <c r="C3169" s="1"/>
      <c r="D3169" s="1" t="str">
        <f ca="1">IFERROR(__xludf.DUMMYFUNCTION("""COMPUTED_VALUE"""),"Nő")</f>
        <v>Nő</v>
      </c>
      <c r="E3169" s="1"/>
      <c r="F3169" s="1">
        <f ca="1">IFERROR(__xludf.DUMMYFUNCTION("""COMPUTED_VALUE"""),1970)</f>
        <v>1970</v>
      </c>
      <c r="G3169" s="1">
        <f ca="1">IFERROR(__xludf.DUMMYFUNCTION("""COMPUTED_VALUE"""),192)</f>
        <v>192</v>
      </c>
      <c r="H3169" s="1" t="str">
        <f ca="1">IFERROR(__xludf.DUMMYFUNCTION("""COMPUTED_VALUE"""),"MTLSZ000192A08")</f>
        <v>MTLSZ000192A08</v>
      </c>
      <c r="I3169" s="2">
        <f ca="1">IFERROR(__xludf.DUMMYFUNCTION("""COMPUTED_VALUE"""),39783)</f>
        <v>39783</v>
      </c>
      <c r="J3169" s="2">
        <f ca="1">IFERROR(__xludf.DUMMYFUNCTION("""COMPUTED_VALUE"""),40147)</f>
        <v>40147</v>
      </c>
    </row>
    <row r="3170" spans="1:10" x14ac:dyDescent="0.25">
      <c r="A3170" s="1" t="str">
        <f ca="1">IFERROR(__xludf.DUMMYFUNCTION("""COMPUTED_VALUE"""),"DSK")</f>
        <v>DSK</v>
      </c>
      <c r="B3170" s="1" t="str">
        <f ca="1">IFERROR(__xludf.DUMMYFUNCTION("""COMPUTED_VALUE"""),"Fityó Mihály")</f>
        <v>Fityó Mihály</v>
      </c>
      <c r="C3170" s="1"/>
      <c r="D3170" s="1" t="str">
        <f ca="1">IFERROR(__xludf.DUMMYFUNCTION("""COMPUTED_VALUE"""),"Férfi")</f>
        <v>Férfi</v>
      </c>
      <c r="E3170" s="1"/>
      <c r="F3170" s="1">
        <f ca="1">IFERROR(__xludf.DUMMYFUNCTION("""COMPUTED_VALUE"""),1974)</f>
        <v>1974</v>
      </c>
      <c r="G3170" s="1">
        <f ca="1">IFERROR(__xludf.DUMMYFUNCTION("""COMPUTED_VALUE"""),1444)</f>
        <v>1444</v>
      </c>
      <c r="H3170" s="1" t="str">
        <f ca="1">IFERROR(__xludf.DUMMYFUNCTION("""COMPUTED_VALUE"""),"MTLSZ001444A08")</f>
        <v>MTLSZ001444A08</v>
      </c>
      <c r="I3170" s="2">
        <f ca="1">IFERROR(__xludf.DUMMYFUNCTION("""COMPUTED_VALUE"""),39783)</f>
        <v>39783</v>
      </c>
      <c r="J3170" s="2">
        <f ca="1">IFERROR(__xludf.DUMMYFUNCTION("""COMPUTED_VALUE"""),40147)</f>
        <v>40147</v>
      </c>
    </row>
    <row r="3171" spans="1:10" x14ac:dyDescent="0.25">
      <c r="A3171" s="1" t="str">
        <f ca="1">IFERROR(__xludf.DUMMYFUNCTION("""COMPUTED_VALUE"""),"DSK")</f>
        <v>DSK</v>
      </c>
      <c r="B3171" s="1" t="str">
        <f ca="1">IFERROR(__xludf.DUMMYFUNCTION("""COMPUTED_VALUE"""),"Germányi Gyula")</f>
        <v>Germányi Gyula</v>
      </c>
      <c r="C3171" s="1"/>
      <c r="D3171" s="1" t="str">
        <f ca="1">IFERROR(__xludf.DUMMYFUNCTION("""COMPUTED_VALUE"""),"Férfi")</f>
        <v>Férfi</v>
      </c>
      <c r="E3171" s="1"/>
      <c r="F3171" s="1">
        <f ca="1">IFERROR(__xludf.DUMMYFUNCTION("""COMPUTED_VALUE"""),1986)</f>
        <v>1986</v>
      </c>
      <c r="G3171" s="1">
        <f ca="1">IFERROR(__xludf.DUMMYFUNCTION("""COMPUTED_VALUE"""),292)</f>
        <v>292</v>
      </c>
      <c r="H3171" s="1" t="str">
        <f ca="1">IFERROR(__xludf.DUMMYFUNCTION("""COMPUTED_VALUE"""),"MTLSZ000292A08")</f>
        <v>MTLSZ000292A08</v>
      </c>
      <c r="I3171" s="2">
        <f ca="1">IFERROR(__xludf.DUMMYFUNCTION("""COMPUTED_VALUE"""),39783)</f>
        <v>39783</v>
      </c>
      <c r="J3171" s="2">
        <f ca="1">IFERROR(__xludf.DUMMYFUNCTION("""COMPUTED_VALUE"""),40147)</f>
        <v>40147</v>
      </c>
    </row>
    <row r="3172" spans="1:10" x14ac:dyDescent="0.25">
      <c r="A3172" s="1" t="str">
        <f ca="1">IFERROR(__xludf.DUMMYFUNCTION("""COMPUTED_VALUE"""),"DSK")</f>
        <v>DSK</v>
      </c>
      <c r="B3172" s="1" t="str">
        <f ca="1">IFERROR(__xludf.DUMMYFUNCTION("""COMPUTED_VALUE"""),"Germányi Sándor")</f>
        <v>Germányi Sándor</v>
      </c>
      <c r="C3172" s="1"/>
      <c r="D3172" s="1" t="str">
        <f ca="1">IFERROR(__xludf.DUMMYFUNCTION("""COMPUTED_VALUE"""),"Férfi")</f>
        <v>Férfi</v>
      </c>
      <c r="E3172" s="1"/>
      <c r="F3172" s="1">
        <f ca="1">IFERROR(__xludf.DUMMYFUNCTION("""COMPUTED_VALUE"""),1985)</f>
        <v>1985</v>
      </c>
      <c r="G3172" s="1">
        <f ca="1">IFERROR(__xludf.DUMMYFUNCTION("""COMPUTED_VALUE"""),293)</f>
        <v>293</v>
      </c>
      <c r="H3172" s="1" t="str">
        <f ca="1">IFERROR(__xludf.DUMMYFUNCTION("""COMPUTED_VALUE"""),"MTLSZ000293A08")</f>
        <v>MTLSZ000293A08</v>
      </c>
      <c r="I3172" s="2">
        <f ca="1">IFERROR(__xludf.DUMMYFUNCTION("""COMPUTED_VALUE"""),39783)</f>
        <v>39783</v>
      </c>
      <c r="J3172" s="2">
        <f ca="1">IFERROR(__xludf.DUMMYFUNCTION("""COMPUTED_VALUE"""),40147)</f>
        <v>40147</v>
      </c>
    </row>
    <row r="3173" spans="1:10" x14ac:dyDescent="0.25">
      <c r="A3173" s="1" t="str">
        <f ca="1">IFERROR(__xludf.DUMMYFUNCTION("""COMPUTED_VALUE"""),"DSK")</f>
        <v>DSK</v>
      </c>
      <c r="B3173" s="1" t="str">
        <f ca="1">IFERROR(__xludf.DUMMYFUNCTION("""COMPUTED_VALUE"""),"Guba Mónika")</f>
        <v>Guba Mónika</v>
      </c>
      <c r="C3173" s="1"/>
      <c r="D3173" s="1" t="str">
        <f ca="1">IFERROR(__xludf.DUMMYFUNCTION("""COMPUTED_VALUE"""),"Nő")</f>
        <v>Nő</v>
      </c>
      <c r="E3173" s="1"/>
      <c r="F3173" s="1">
        <f ca="1">IFERROR(__xludf.DUMMYFUNCTION("""COMPUTED_VALUE"""),1989)</f>
        <v>1989</v>
      </c>
      <c r="G3173" s="1">
        <f ca="1">IFERROR(__xludf.DUMMYFUNCTION("""COMPUTED_VALUE"""),306)</f>
        <v>306</v>
      </c>
      <c r="H3173" s="1" t="str">
        <f ca="1">IFERROR(__xludf.DUMMYFUNCTION("""COMPUTED_VALUE"""),"MTLSZ000306A08")</f>
        <v>MTLSZ000306A08</v>
      </c>
      <c r="I3173" s="2">
        <f ca="1">IFERROR(__xludf.DUMMYFUNCTION("""COMPUTED_VALUE"""),39783)</f>
        <v>39783</v>
      </c>
      <c r="J3173" s="2">
        <f ca="1">IFERROR(__xludf.DUMMYFUNCTION("""COMPUTED_VALUE"""),40147)</f>
        <v>40147</v>
      </c>
    </row>
    <row r="3174" spans="1:10" x14ac:dyDescent="0.25">
      <c r="A3174" s="1" t="str">
        <f ca="1">IFERROR(__xludf.DUMMYFUNCTION("""COMPUTED_VALUE"""),"DSK")</f>
        <v>DSK</v>
      </c>
      <c r="B3174" s="1" t="str">
        <f ca="1">IFERROR(__xludf.DUMMYFUNCTION("""COMPUTED_VALUE"""),"Horváth Zoltán")</f>
        <v>Horváth Zoltán</v>
      </c>
      <c r="C3174" s="1"/>
      <c r="D3174" s="1" t="str">
        <f ca="1">IFERROR(__xludf.DUMMYFUNCTION("""COMPUTED_VALUE"""),"Férfi")</f>
        <v>Férfi</v>
      </c>
      <c r="E3174" s="1"/>
      <c r="F3174" s="1">
        <f ca="1">IFERROR(__xludf.DUMMYFUNCTION("""COMPUTED_VALUE"""),1986)</f>
        <v>1986</v>
      </c>
      <c r="G3174" s="1">
        <f ca="1">IFERROR(__xludf.DUMMYFUNCTION("""COMPUTED_VALUE"""),383)</f>
        <v>383</v>
      </c>
      <c r="H3174" s="1" t="str">
        <f ca="1">IFERROR(__xludf.DUMMYFUNCTION("""COMPUTED_VALUE"""),"MTLSZ000383A08")</f>
        <v>MTLSZ000383A08</v>
      </c>
      <c r="I3174" s="2">
        <f ca="1">IFERROR(__xludf.DUMMYFUNCTION("""COMPUTED_VALUE"""),39783)</f>
        <v>39783</v>
      </c>
      <c r="J3174" s="2">
        <f ca="1">IFERROR(__xludf.DUMMYFUNCTION("""COMPUTED_VALUE"""),40147)</f>
        <v>40147</v>
      </c>
    </row>
    <row r="3175" spans="1:10" x14ac:dyDescent="0.25">
      <c r="A3175" s="1" t="str">
        <f ca="1">IFERROR(__xludf.DUMMYFUNCTION("""COMPUTED_VALUE"""),"Kőrisfa SZTE")</f>
        <v>Kőrisfa SZTE</v>
      </c>
      <c r="B3175" s="1" t="str">
        <f ca="1">IFERROR(__xludf.DUMMYFUNCTION("""COMPUTED_VALUE"""),"Benke Lucinda")</f>
        <v>Benke Lucinda</v>
      </c>
      <c r="C3175" s="1"/>
      <c r="D3175" s="1" t="str">
        <f ca="1">IFERROR(__xludf.DUMMYFUNCTION("""COMPUTED_VALUE"""),"Nő")</f>
        <v>Nő</v>
      </c>
      <c r="E3175" s="1"/>
      <c r="F3175" s="1">
        <f ca="1">IFERROR(__xludf.DUMMYFUNCTION("""COMPUTED_VALUE"""),1977)</f>
        <v>1977</v>
      </c>
      <c r="G3175" s="1">
        <f ca="1">IFERROR(__xludf.DUMMYFUNCTION("""COMPUTED_VALUE"""),1595)</f>
        <v>1595</v>
      </c>
      <c r="H3175" s="1" t="str">
        <f ca="1">IFERROR(__xludf.DUMMYFUNCTION("""COMPUTED_VALUE"""),"MTLSZ001595A08")</f>
        <v>MTLSZ001595A08</v>
      </c>
      <c r="I3175" s="2">
        <f ca="1">IFERROR(__xludf.DUMMYFUNCTION("""COMPUTED_VALUE"""),39783)</f>
        <v>39783</v>
      </c>
      <c r="J3175" s="2">
        <f ca="1">IFERROR(__xludf.DUMMYFUNCTION("""COMPUTED_VALUE"""),40147)</f>
        <v>40147</v>
      </c>
    </row>
    <row r="3176" spans="1:10" x14ac:dyDescent="0.25">
      <c r="A3176" s="1" t="str">
        <f ca="1">IFERROR(__xludf.DUMMYFUNCTION("""COMPUTED_VALUE"""),"Kőrisfa SZTE")</f>
        <v>Kőrisfa SZTE</v>
      </c>
      <c r="B3176" s="1" t="str">
        <f ca="1">IFERROR(__xludf.DUMMYFUNCTION("""COMPUTED_VALUE"""),"Budai Krisztina")</f>
        <v>Budai Krisztina</v>
      </c>
      <c r="C3176" s="1"/>
      <c r="D3176" s="1" t="str">
        <f ca="1">IFERROR(__xludf.DUMMYFUNCTION("""COMPUTED_VALUE"""),"Nő")</f>
        <v>Nő</v>
      </c>
      <c r="E3176" s="1"/>
      <c r="F3176" s="1">
        <f ca="1">IFERROR(__xludf.DUMMYFUNCTION("""COMPUTED_VALUE"""),1972)</f>
        <v>1972</v>
      </c>
      <c r="G3176" s="1">
        <f ca="1">IFERROR(__xludf.DUMMYFUNCTION("""COMPUTED_VALUE"""),117)</f>
        <v>117</v>
      </c>
      <c r="H3176" s="1" t="str">
        <f ca="1">IFERROR(__xludf.DUMMYFUNCTION("""COMPUTED_VALUE"""),"MTLSZ000117A08")</f>
        <v>MTLSZ000117A08</v>
      </c>
      <c r="I3176" s="2">
        <f ca="1">IFERROR(__xludf.DUMMYFUNCTION("""COMPUTED_VALUE"""),39783)</f>
        <v>39783</v>
      </c>
      <c r="J3176" s="2">
        <f ca="1">IFERROR(__xludf.DUMMYFUNCTION("""COMPUTED_VALUE"""),40147)</f>
        <v>40147</v>
      </c>
    </row>
    <row r="3177" spans="1:10" x14ac:dyDescent="0.25">
      <c r="A3177" s="1" t="str">
        <f ca="1">IFERROR(__xludf.DUMMYFUNCTION("""COMPUTED_VALUE"""),"Kőrisfa SZTE")</f>
        <v>Kőrisfa SZTE</v>
      </c>
      <c r="B3177" s="1" t="str">
        <f ca="1">IFERROR(__xludf.DUMMYFUNCTION("""COMPUTED_VALUE"""),"Gresiczki Balázs")</f>
        <v>Gresiczki Balázs</v>
      </c>
      <c r="C3177" s="1"/>
      <c r="D3177" s="1" t="str">
        <f ca="1">IFERROR(__xludf.DUMMYFUNCTION("""COMPUTED_VALUE"""),"Férfi")</f>
        <v>Férfi</v>
      </c>
      <c r="E3177" s="1"/>
      <c r="F3177" s="1">
        <f ca="1">IFERROR(__xludf.DUMMYFUNCTION("""COMPUTED_VALUE"""),1981)</f>
        <v>1981</v>
      </c>
      <c r="G3177" s="1">
        <f ca="1">IFERROR(__xludf.DUMMYFUNCTION("""COMPUTED_VALUE"""),304)</f>
        <v>304</v>
      </c>
      <c r="H3177" s="1" t="str">
        <f ca="1">IFERROR(__xludf.DUMMYFUNCTION("""COMPUTED_VALUE"""),"MTLSZ000304A08")</f>
        <v>MTLSZ000304A08</v>
      </c>
      <c r="I3177" s="2">
        <f ca="1">IFERROR(__xludf.DUMMYFUNCTION("""COMPUTED_VALUE"""),39783)</f>
        <v>39783</v>
      </c>
      <c r="J3177" s="2">
        <f ca="1">IFERROR(__xludf.DUMMYFUNCTION("""COMPUTED_VALUE"""),40147)</f>
        <v>40147</v>
      </c>
    </row>
    <row r="3178" spans="1:10" x14ac:dyDescent="0.25">
      <c r="A3178" s="1" t="str">
        <f ca="1">IFERROR(__xludf.DUMMYFUNCTION("""COMPUTED_VALUE"""),"Kőrisfa SZTE")</f>
        <v>Kőrisfa SZTE</v>
      </c>
      <c r="B3178" s="1" t="str">
        <f ca="1">IFERROR(__xludf.DUMMYFUNCTION("""COMPUTED_VALUE"""),"Maka Zoltán")</f>
        <v>Maka Zoltán</v>
      </c>
      <c r="C3178" s="1"/>
      <c r="D3178" s="1" t="str">
        <f ca="1">IFERROR(__xludf.DUMMYFUNCTION("""COMPUTED_VALUE"""),"Férfi")</f>
        <v>Férfi</v>
      </c>
      <c r="E3178" s="1"/>
      <c r="F3178" s="1">
        <f ca="1">IFERROR(__xludf.DUMMYFUNCTION("""COMPUTED_VALUE"""),1985)</f>
        <v>1985</v>
      </c>
      <c r="G3178" s="1">
        <f ca="1">IFERROR(__xludf.DUMMYFUNCTION("""COMPUTED_VALUE"""),1665)</f>
        <v>1665</v>
      </c>
      <c r="H3178" s="1" t="str">
        <f ca="1">IFERROR(__xludf.DUMMYFUNCTION("""COMPUTED_VALUE"""),"MTLSZ001665A08")</f>
        <v>MTLSZ001665A08</v>
      </c>
      <c r="I3178" s="2">
        <f ca="1">IFERROR(__xludf.DUMMYFUNCTION("""COMPUTED_VALUE"""),39783)</f>
        <v>39783</v>
      </c>
      <c r="J3178" s="2">
        <f ca="1">IFERROR(__xludf.DUMMYFUNCTION("""COMPUTED_VALUE"""),40147)</f>
        <v>40147</v>
      </c>
    </row>
    <row r="3179" spans="1:10" x14ac:dyDescent="0.25">
      <c r="A3179" s="1" t="str">
        <f ca="1">IFERROR(__xludf.DUMMYFUNCTION("""COMPUTED_VALUE"""),"Kőrisfa SZTE")</f>
        <v>Kőrisfa SZTE</v>
      </c>
      <c r="B3179" s="1" t="str">
        <f ca="1">IFERROR(__xludf.DUMMYFUNCTION("""COMPUTED_VALUE"""),"Palotai János")</f>
        <v>Palotai János</v>
      </c>
      <c r="C3179" s="1"/>
      <c r="D3179" s="1" t="str">
        <f ca="1">IFERROR(__xludf.DUMMYFUNCTION("""COMPUTED_VALUE"""),"Férfi")</f>
        <v>Férfi</v>
      </c>
      <c r="E3179" s="1"/>
      <c r="F3179" s="1">
        <f ca="1">IFERROR(__xludf.DUMMYFUNCTION("""COMPUTED_VALUE"""),1961)</f>
        <v>1961</v>
      </c>
      <c r="G3179" s="1">
        <f ca="1">IFERROR(__xludf.DUMMYFUNCTION("""COMPUTED_VALUE"""),739)</f>
        <v>739</v>
      </c>
      <c r="H3179" s="1" t="str">
        <f ca="1">IFERROR(__xludf.DUMMYFUNCTION("""COMPUTED_VALUE"""),"MTLSZ000739A08")</f>
        <v>MTLSZ000739A08</v>
      </c>
      <c r="I3179" s="2">
        <f ca="1">IFERROR(__xludf.DUMMYFUNCTION("""COMPUTED_VALUE"""),39783)</f>
        <v>39783</v>
      </c>
      <c r="J3179" s="2">
        <f ca="1">IFERROR(__xludf.DUMMYFUNCTION("""COMPUTED_VALUE"""),40147)</f>
        <v>40147</v>
      </c>
    </row>
    <row r="3180" spans="1:10" x14ac:dyDescent="0.25">
      <c r="A3180" s="1" t="str">
        <f ca="1">IFERROR(__xludf.DUMMYFUNCTION("""COMPUTED_VALUE"""),"Kőrisfa SZTE")</f>
        <v>Kőrisfa SZTE</v>
      </c>
      <c r="B3180" s="1" t="str">
        <f ca="1">IFERROR(__xludf.DUMMYFUNCTION("""COMPUTED_VALUE"""),"Pörge Rita")</f>
        <v>Pörge Rita</v>
      </c>
      <c r="C3180" s="1"/>
      <c r="D3180" s="1" t="str">
        <f ca="1">IFERROR(__xludf.DUMMYFUNCTION("""COMPUTED_VALUE"""),"Nő")</f>
        <v>Nő</v>
      </c>
      <c r="E3180" s="1"/>
      <c r="F3180" s="1">
        <f ca="1">IFERROR(__xludf.DUMMYFUNCTION("""COMPUTED_VALUE"""),1974)</f>
        <v>1974</v>
      </c>
      <c r="G3180" s="1">
        <f ca="1">IFERROR(__xludf.DUMMYFUNCTION("""COMPUTED_VALUE"""),791)</f>
        <v>791</v>
      </c>
      <c r="H3180" s="1" t="str">
        <f ca="1">IFERROR(__xludf.DUMMYFUNCTION("""COMPUTED_VALUE"""),"MTLSZ000791A08")</f>
        <v>MTLSZ000791A08</v>
      </c>
      <c r="I3180" s="2">
        <f ca="1">IFERROR(__xludf.DUMMYFUNCTION("""COMPUTED_VALUE"""),39783)</f>
        <v>39783</v>
      </c>
      <c r="J3180" s="2">
        <f ca="1">IFERROR(__xludf.DUMMYFUNCTION("""COMPUTED_VALUE"""),40147)</f>
        <v>40147</v>
      </c>
    </row>
    <row r="3181" spans="1:10" x14ac:dyDescent="0.25">
      <c r="A3181" s="1" t="str">
        <f ca="1">IFERROR(__xludf.DUMMYFUNCTION("""COMPUTED_VALUE"""),"Óvártoll TE")</f>
        <v>Óvártoll TE</v>
      </c>
      <c r="B3181" s="1" t="str">
        <f ca="1">IFERROR(__xludf.DUMMYFUNCTION("""COMPUTED_VALUE"""),"Árvai Adrienne")</f>
        <v>Árvai Adrienne</v>
      </c>
      <c r="C3181" s="1"/>
      <c r="D3181" s="1" t="str">
        <f ca="1">IFERROR(__xludf.DUMMYFUNCTION("""COMPUTED_VALUE"""),"Nő")</f>
        <v>Nő</v>
      </c>
      <c r="E3181" s="1"/>
      <c r="F3181" s="1">
        <f ca="1">IFERROR(__xludf.DUMMYFUNCTION("""COMPUTED_VALUE"""),1978)</f>
        <v>1978</v>
      </c>
      <c r="G3181" s="1">
        <f ca="1">IFERROR(__xludf.DUMMYFUNCTION("""COMPUTED_VALUE"""),1574)</f>
        <v>1574</v>
      </c>
      <c r="H3181" s="1" t="str">
        <f ca="1">IFERROR(__xludf.DUMMYFUNCTION("""COMPUTED_VALUE"""),"MTLSZ001574A08")</f>
        <v>MTLSZ001574A08</v>
      </c>
      <c r="I3181" s="2">
        <f ca="1">IFERROR(__xludf.DUMMYFUNCTION("""COMPUTED_VALUE"""),39783)</f>
        <v>39783</v>
      </c>
      <c r="J3181" s="2">
        <f ca="1">IFERROR(__xludf.DUMMYFUNCTION("""COMPUTED_VALUE"""),40147)</f>
        <v>40147</v>
      </c>
    </row>
    <row r="3182" spans="1:10" x14ac:dyDescent="0.25">
      <c r="A3182" s="1" t="str">
        <f ca="1">IFERROR(__xludf.DUMMYFUNCTION("""COMPUTED_VALUE"""),"Óvártoll TE")</f>
        <v>Óvártoll TE</v>
      </c>
      <c r="B3182" s="1" t="str">
        <f ca="1">IFERROR(__xludf.DUMMYFUNCTION("""COMPUTED_VALUE"""),"Bolla István")</f>
        <v>Bolla István</v>
      </c>
      <c r="C3182" s="1"/>
      <c r="D3182" s="1" t="str">
        <f ca="1">IFERROR(__xludf.DUMMYFUNCTION("""COMPUTED_VALUE"""),"Férfi")</f>
        <v>Férfi</v>
      </c>
      <c r="E3182" s="1"/>
      <c r="F3182" s="1">
        <f ca="1">IFERROR(__xludf.DUMMYFUNCTION("""COMPUTED_VALUE"""),1967)</f>
        <v>1967</v>
      </c>
      <c r="G3182" s="1">
        <f ca="1">IFERROR(__xludf.DUMMYFUNCTION("""COMPUTED_VALUE"""),1575)</f>
        <v>1575</v>
      </c>
      <c r="H3182" s="1" t="str">
        <f ca="1">IFERROR(__xludf.DUMMYFUNCTION("""COMPUTED_VALUE"""),"MTLSZ001575A08")</f>
        <v>MTLSZ001575A08</v>
      </c>
      <c r="I3182" s="2">
        <f ca="1">IFERROR(__xludf.DUMMYFUNCTION("""COMPUTED_VALUE"""),39783)</f>
        <v>39783</v>
      </c>
      <c r="J3182" s="2">
        <f ca="1">IFERROR(__xludf.DUMMYFUNCTION("""COMPUTED_VALUE"""),40147)</f>
        <v>40147</v>
      </c>
    </row>
    <row r="3183" spans="1:10" x14ac:dyDescent="0.25">
      <c r="A3183" s="1" t="str">
        <f ca="1">IFERROR(__xludf.DUMMYFUNCTION("""COMPUTED_VALUE"""),"Óvártoll TE")</f>
        <v>Óvártoll TE</v>
      </c>
      <c r="B3183" s="1" t="str">
        <f ca="1">IFERROR(__xludf.DUMMYFUNCTION("""COMPUTED_VALUE"""),"Bordács Gábor")</f>
        <v>Bordács Gábor</v>
      </c>
      <c r="C3183" s="1"/>
      <c r="D3183" s="1" t="str">
        <f ca="1">IFERROR(__xludf.DUMMYFUNCTION("""COMPUTED_VALUE"""),"Férfi")</f>
        <v>Férfi</v>
      </c>
      <c r="E3183" s="1"/>
      <c r="F3183" s="1">
        <f ca="1">IFERROR(__xludf.DUMMYFUNCTION("""COMPUTED_VALUE"""),1975)</f>
        <v>1975</v>
      </c>
      <c r="G3183" s="1">
        <f ca="1">IFERROR(__xludf.DUMMYFUNCTION("""COMPUTED_VALUE"""),1626)</f>
        <v>1626</v>
      </c>
      <c r="H3183" s="1" t="str">
        <f ca="1">IFERROR(__xludf.DUMMYFUNCTION("""COMPUTED_VALUE"""),"MTLSZ001626A08")</f>
        <v>MTLSZ001626A08</v>
      </c>
      <c r="I3183" s="2">
        <f ca="1">IFERROR(__xludf.DUMMYFUNCTION("""COMPUTED_VALUE"""),39783)</f>
        <v>39783</v>
      </c>
      <c r="J3183" s="2">
        <f ca="1">IFERROR(__xludf.DUMMYFUNCTION("""COMPUTED_VALUE"""),40147)</f>
        <v>40147</v>
      </c>
    </row>
    <row r="3184" spans="1:10" x14ac:dyDescent="0.25">
      <c r="A3184" s="1" t="str">
        <f ca="1">IFERROR(__xludf.DUMMYFUNCTION("""COMPUTED_VALUE"""),"Óvártoll TE")</f>
        <v>Óvártoll TE</v>
      </c>
      <c r="B3184" s="1" t="str">
        <f ca="1">IFERROR(__xludf.DUMMYFUNCTION("""COMPUTED_VALUE"""),"Bordás Csilla")</f>
        <v>Bordás Csilla</v>
      </c>
      <c r="C3184" s="1"/>
      <c r="D3184" s="1" t="str">
        <f ca="1">IFERROR(__xludf.DUMMYFUNCTION("""COMPUTED_VALUE"""),"Nő")</f>
        <v>Nő</v>
      </c>
      <c r="E3184" s="1"/>
      <c r="F3184" s="1">
        <f ca="1">IFERROR(__xludf.DUMMYFUNCTION("""COMPUTED_VALUE"""),1971)</f>
        <v>1971</v>
      </c>
      <c r="G3184" s="1">
        <f ca="1">IFERROR(__xludf.DUMMYFUNCTION("""COMPUTED_VALUE"""),1576)</f>
        <v>1576</v>
      </c>
      <c r="H3184" s="1" t="str">
        <f ca="1">IFERROR(__xludf.DUMMYFUNCTION("""COMPUTED_VALUE"""),"MTLSZ001576A08")</f>
        <v>MTLSZ001576A08</v>
      </c>
      <c r="I3184" s="2">
        <f ca="1">IFERROR(__xludf.DUMMYFUNCTION("""COMPUTED_VALUE"""),39783)</f>
        <v>39783</v>
      </c>
      <c r="J3184" s="2">
        <f ca="1">IFERROR(__xludf.DUMMYFUNCTION("""COMPUTED_VALUE"""),40147)</f>
        <v>40147</v>
      </c>
    </row>
    <row r="3185" spans="1:10" x14ac:dyDescent="0.25">
      <c r="A3185" s="1" t="str">
        <f ca="1">IFERROR(__xludf.DUMMYFUNCTION("""COMPUTED_VALUE"""),"Óvártoll TE")</f>
        <v>Óvártoll TE</v>
      </c>
      <c r="B3185" s="1" t="str">
        <f ca="1">IFERROR(__xludf.DUMMYFUNCTION("""COMPUTED_VALUE"""),"Gajdácsi Erzsébet")</f>
        <v>Gajdácsi Erzsébet</v>
      </c>
      <c r="C3185" s="1"/>
      <c r="D3185" s="1" t="str">
        <f ca="1">IFERROR(__xludf.DUMMYFUNCTION("""COMPUTED_VALUE"""),"Nő")</f>
        <v>Nő</v>
      </c>
      <c r="E3185" s="1"/>
      <c r="F3185" s="1">
        <f ca="1">IFERROR(__xludf.DUMMYFUNCTION("""COMPUTED_VALUE"""),1984)</f>
        <v>1984</v>
      </c>
      <c r="G3185" s="1">
        <f ca="1">IFERROR(__xludf.DUMMYFUNCTION("""COMPUTED_VALUE"""),1693)</f>
        <v>1693</v>
      </c>
      <c r="H3185" s="1" t="str">
        <f ca="1">IFERROR(__xludf.DUMMYFUNCTION("""COMPUTED_VALUE"""),"MTLSZ001693A08")</f>
        <v>MTLSZ001693A08</v>
      </c>
      <c r="I3185" s="2">
        <f ca="1">IFERROR(__xludf.DUMMYFUNCTION("""COMPUTED_VALUE"""),39783)</f>
        <v>39783</v>
      </c>
      <c r="J3185" s="2">
        <f ca="1">IFERROR(__xludf.DUMMYFUNCTION("""COMPUTED_VALUE"""),40147)</f>
        <v>40147</v>
      </c>
    </row>
    <row r="3186" spans="1:10" x14ac:dyDescent="0.25">
      <c r="A3186" s="1" t="str">
        <f ca="1">IFERROR(__xludf.DUMMYFUNCTION("""COMPUTED_VALUE"""),"Óvártoll TE")</f>
        <v>Óvártoll TE</v>
      </c>
      <c r="B3186" s="1" t="str">
        <f ca="1">IFERROR(__xludf.DUMMYFUNCTION("""COMPUTED_VALUE"""),"Galambos Nóra")</f>
        <v>Galambos Nóra</v>
      </c>
      <c r="C3186" s="1"/>
      <c r="D3186" s="1" t="str">
        <f ca="1">IFERROR(__xludf.DUMMYFUNCTION("""COMPUTED_VALUE"""),"Nő")</f>
        <v>Nő</v>
      </c>
      <c r="E3186" s="1"/>
      <c r="F3186" s="1">
        <f ca="1">IFERROR(__xludf.DUMMYFUNCTION("""COMPUTED_VALUE"""),1988)</f>
        <v>1988</v>
      </c>
      <c r="G3186" s="1">
        <f ca="1">IFERROR(__xludf.DUMMYFUNCTION("""COMPUTED_VALUE"""),1577)</f>
        <v>1577</v>
      </c>
      <c r="H3186" s="1" t="str">
        <f ca="1">IFERROR(__xludf.DUMMYFUNCTION("""COMPUTED_VALUE"""),"MTLSZ001577A08")</f>
        <v>MTLSZ001577A08</v>
      </c>
      <c r="I3186" s="2">
        <f ca="1">IFERROR(__xludf.DUMMYFUNCTION("""COMPUTED_VALUE"""),39783)</f>
        <v>39783</v>
      </c>
      <c r="J3186" s="2">
        <f ca="1">IFERROR(__xludf.DUMMYFUNCTION("""COMPUTED_VALUE"""),40147)</f>
        <v>40147</v>
      </c>
    </row>
    <row r="3187" spans="1:10" x14ac:dyDescent="0.25">
      <c r="A3187" s="1" t="str">
        <f ca="1">IFERROR(__xludf.DUMMYFUNCTION("""COMPUTED_VALUE"""),"Óvártoll TE")</f>
        <v>Óvártoll TE</v>
      </c>
      <c r="B3187" s="1" t="str">
        <f ca="1">IFERROR(__xludf.DUMMYFUNCTION("""COMPUTED_VALUE"""),"Hegedűs Péter")</f>
        <v>Hegedűs Péter</v>
      </c>
      <c r="C3187" s="1"/>
      <c r="D3187" s="1" t="str">
        <f ca="1">IFERROR(__xludf.DUMMYFUNCTION("""COMPUTED_VALUE"""),"Férfi")</f>
        <v>Férfi</v>
      </c>
      <c r="E3187" s="1"/>
      <c r="F3187" s="1">
        <f ca="1">IFERROR(__xludf.DUMMYFUNCTION("""COMPUTED_VALUE"""),1983)</f>
        <v>1983</v>
      </c>
      <c r="G3187" s="1">
        <f ca="1">IFERROR(__xludf.DUMMYFUNCTION("""COMPUTED_VALUE"""),1578)</f>
        <v>1578</v>
      </c>
      <c r="H3187" s="1" t="str">
        <f ca="1">IFERROR(__xludf.DUMMYFUNCTION("""COMPUTED_VALUE"""),"MTLSZ001578A08")</f>
        <v>MTLSZ001578A08</v>
      </c>
      <c r="I3187" s="2">
        <f ca="1">IFERROR(__xludf.DUMMYFUNCTION("""COMPUTED_VALUE"""),39783)</f>
        <v>39783</v>
      </c>
      <c r="J3187" s="2">
        <f ca="1">IFERROR(__xludf.DUMMYFUNCTION("""COMPUTED_VALUE"""),40147)</f>
        <v>40147</v>
      </c>
    </row>
    <row r="3188" spans="1:10" x14ac:dyDescent="0.25">
      <c r="A3188" s="1" t="str">
        <f ca="1">IFERROR(__xludf.DUMMYFUNCTION("""COMPUTED_VALUE"""),"Óvártoll TE")</f>
        <v>Óvártoll TE</v>
      </c>
      <c r="B3188" s="1" t="str">
        <f ca="1">IFERROR(__xludf.DUMMYFUNCTION("""COMPUTED_VALUE"""),"Kóczán Bernadett")</f>
        <v>Kóczán Bernadett</v>
      </c>
      <c r="C3188" s="1"/>
      <c r="D3188" s="1" t="str">
        <f ca="1">IFERROR(__xludf.DUMMYFUNCTION("""COMPUTED_VALUE"""),"Nő")</f>
        <v>Nő</v>
      </c>
      <c r="E3188" s="1"/>
      <c r="F3188" s="1">
        <f ca="1">IFERROR(__xludf.DUMMYFUNCTION("""COMPUTED_VALUE"""),1986)</f>
        <v>1986</v>
      </c>
      <c r="G3188" s="1">
        <f ca="1">IFERROR(__xludf.DUMMYFUNCTION("""COMPUTED_VALUE"""),1579)</f>
        <v>1579</v>
      </c>
      <c r="H3188" s="1" t="str">
        <f ca="1">IFERROR(__xludf.DUMMYFUNCTION("""COMPUTED_VALUE"""),"MTLSZ001579A08")</f>
        <v>MTLSZ001579A08</v>
      </c>
      <c r="I3188" s="2">
        <f ca="1">IFERROR(__xludf.DUMMYFUNCTION("""COMPUTED_VALUE"""),39783)</f>
        <v>39783</v>
      </c>
      <c r="J3188" s="2">
        <f ca="1">IFERROR(__xludf.DUMMYFUNCTION("""COMPUTED_VALUE"""),40147)</f>
        <v>40147</v>
      </c>
    </row>
    <row r="3189" spans="1:10" x14ac:dyDescent="0.25">
      <c r="A3189" s="1" t="str">
        <f ca="1">IFERROR(__xludf.DUMMYFUNCTION("""COMPUTED_VALUE"""),"Óvártoll TE")</f>
        <v>Óvártoll TE</v>
      </c>
      <c r="B3189" s="1" t="str">
        <f ca="1">IFERROR(__xludf.DUMMYFUNCTION("""COMPUTED_VALUE"""),"Ludván Lilla")</f>
        <v>Ludván Lilla</v>
      </c>
      <c r="C3189" s="1"/>
      <c r="D3189" s="1" t="str">
        <f ca="1">IFERROR(__xludf.DUMMYFUNCTION("""COMPUTED_VALUE"""),"Nő")</f>
        <v>Nő</v>
      </c>
      <c r="E3189" s="1"/>
      <c r="F3189" s="1">
        <f ca="1">IFERROR(__xludf.DUMMYFUNCTION("""COMPUTED_VALUE"""),1977)</f>
        <v>1977</v>
      </c>
      <c r="G3189" s="1">
        <f ca="1">IFERROR(__xludf.DUMMYFUNCTION("""COMPUTED_VALUE"""),1580)</f>
        <v>1580</v>
      </c>
      <c r="H3189" s="1" t="str">
        <f ca="1">IFERROR(__xludf.DUMMYFUNCTION("""COMPUTED_VALUE"""),"MTLSZ001580A08")</f>
        <v>MTLSZ001580A08</v>
      </c>
      <c r="I3189" s="2">
        <f ca="1">IFERROR(__xludf.DUMMYFUNCTION("""COMPUTED_VALUE"""),39783)</f>
        <v>39783</v>
      </c>
      <c r="J3189" s="2">
        <f ca="1">IFERROR(__xludf.DUMMYFUNCTION("""COMPUTED_VALUE"""),40147)</f>
        <v>40147</v>
      </c>
    </row>
    <row r="3190" spans="1:10" x14ac:dyDescent="0.25">
      <c r="A3190" s="1" t="str">
        <f ca="1">IFERROR(__xludf.DUMMYFUNCTION("""COMPUTED_VALUE"""),"Óvártoll TE")</f>
        <v>Óvártoll TE</v>
      </c>
      <c r="B3190" s="1" t="str">
        <f ca="1">IFERROR(__xludf.DUMMYFUNCTION("""COMPUTED_VALUE"""),"Sík László")</f>
        <v>Sík László</v>
      </c>
      <c r="C3190" s="1"/>
      <c r="D3190" s="1" t="str">
        <f ca="1">IFERROR(__xludf.DUMMYFUNCTION("""COMPUTED_VALUE"""),"Férfi")</f>
        <v>Férfi</v>
      </c>
      <c r="E3190" s="1"/>
      <c r="F3190" s="1">
        <f ca="1">IFERROR(__xludf.DUMMYFUNCTION("""COMPUTED_VALUE"""),1964)</f>
        <v>1964</v>
      </c>
      <c r="G3190" s="1">
        <f ca="1">IFERROR(__xludf.DUMMYFUNCTION("""COMPUTED_VALUE"""),1582)</f>
        <v>1582</v>
      </c>
      <c r="H3190" s="1" t="str">
        <f ca="1">IFERROR(__xludf.DUMMYFUNCTION("""COMPUTED_VALUE"""),"MTLSZ001582A08")</f>
        <v>MTLSZ001582A08</v>
      </c>
      <c r="I3190" s="2">
        <f ca="1">IFERROR(__xludf.DUMMYFUNCTION("""COMPUTED_VALUE"""),39783)</f>
        <v>39783</v>
      </c>
      <c r="J3190" s="2">
        <f ca="1">IFERROR(__xludf.DUMMYFUNCTION("""COMPUTED_VALUE"""),40147)</f>
        <v>40147</v>
      </c>
    </row>
    <row r="3191" spans="1:10" x14ac:dyDescent="0.25">
      <c r="A3191" s="1" t="str">
        <f ca="1">IFERROR(__xludf.DUMMYFUNCTION("""COMPUTED_VALUE"""),"Óvártoll TE")</f>
        <v>Óvártoll TE</v>
      </c>
      <c r="B3191" s="1" t="str">
        <f ca="1">IFERROR(__xludf.DUMMYFUNCTION("""COMPUTED_VALUE"""),"Vargáné Varga Bernadett")</f>
        <v>Vargáné Varga Bernadett</v>
      </c>
      <c r="C3191" s="1"/>
      <c r="D3191" s="1" t="str">
        <f ca="1">IFERROR(__xludf.DUMMYFUNCTION("""COMPUTED_VALUE"""),"Nő")</f>
        <v>Nő</v>
      </c>
      <c r="E3191" s="1"/>
      <c r="F3191" s="1">
        <f ca="1">IFERROR(__xludf.DUMMYFUNCTION("""COMPUTED_VALUE"""),1977)</f>
        <v>1977</v>
      </c>
      <c r="G3191" s="1">
        <f ca="1">IFERROR(__xludf.DUMMYFUNCTION("""COMPUTED_VALUE"""),1585)</f>
        <v>1585</v>
      </c>
      <c r="H3191" s="1" t="str">
        <f ca="1">IFERROR(__xludf.DUMMYFUNCTION("""COMPUTED_VALUE"""),"MTLSZ001585A08")</f>
        <v>MTLSZ001585A08</v>
      </c>
      <c r="I3191" s="2">
        <f ca="1">IFERROR(__xludf.DUMMYFUNCTION("""COMPUTED_VALUE"""),39783)</f>
        <v>39783</v>
      </c>
      <c r="J3191" s="2">
        <f ca="1">IFERROR(__xludf.DUMMYFUNCTION("""COMPUTED_VALUE"""),40147)</f>
        <v>40147</v>
      </c>
    </row>
    <row r="3192" spans="1:10" x14ac:dyDescent="0.25">
      <c r="A3192" s="1" t="str">
        <f ca="1">IFERROR(__xludf.DUMMYFUNCTION("""COMPUTED_VALUE"""),"Szolnoki Honvéd SE")</f>
        <v>Szolnoki Honvéd SE</v>
      </c>
      <c r="B3192" s="1" t="str">
        <f ca="1">IFERROR(__xludf.DUMMYFUNCTION("""COMPUTED_VALUE"""),"Csertői László")</f>
        <v>Csertői László</v>
      </c>
      <c r="C3192" s="1"/>
      <c r="D3192" s="1" t="str">
        <f ca="1">IFERROR(__xludf.DUMMYFUNCTION("""COMPUTED_VALUE"""),"Férfi")</f>
        <v>Férfi</v>
      </c>
      <c r="E3192" s="1"/>
      <c r="F3192" s="1">
        <f ca="1">IFERROR(__xludf.DUMMYFUNCTION("""COMPUTED_VALUE"""),1955)</f>
        <v>1955</v>
      </c>
      <c r="G3192" s="1">
        <f ca="1">IFERROR(__xludf.DUMMYFUNCTION("""COMPUTED_VALUE"""),1698)</f>
        <v>1698</v>
      </c>
      <c r="H3192" s="1" t="str">
        <f ca="1">IFERROR(__xludf.DUMMYFUNCTION("""COMPUTED_VALUE"""),"MTLSZ001698A08")</f>
        <v>MTLSZ001698A08</v>
      </c>
      <c r="I3192" s="2">
        <f ca="1">IFERROR(__xludf.DUMMYFUNCTION("""COMPUTED_VALUE"""),39780)</f>
        <v>39780</v>
      </c>
      <c r="J3192" s="2">
        <f ca="1">IFERROR(__xludf.DUMMYFUNCTION("""COMPUTED_VALUE"""),40144)</f>
        <v>40144</v>
      </c>
    </row>
    <row r="3193" spans="1:10" x14ac:dyDescent="0.25">
      <c r="A3193" s="1" t="str">
        <f ca="1">IFERROR(__xludf.DUMMYFUNCTION("""COMPUTED_VALUE"""),"Szolnoki Honvéd SE")</f>
        <v>Szolnoki Honvéd SE</v>
      </c>
      <c r="B3193" s="1" t="str">
        <f ca="1">IFERROR(__xludf.DUMMYFUNCTION("""COMPUTED_VALUE"""),"Fazekas László")</f>
        <v>Fazekas László</v>
      </c>
      <c r="C3193" s="1"/>
      <c r="D3193" s="1" t="str">
        <f ca="1">IFERROR(__xludf.DUMMYFUNCTION("""COMPUTED_VALUE"""),"Férfi")</f>
        <v>Férfi</v>
      </c>
      <c r="E3193" s="1"/>
      <c r="F3193" s="1">
        <f ca="1">IFERROR(__xludf.DUMMYFUNCTION("""COMPUTED_VALUE"""),1968)</f>
        <v>1968</v>
      </c>
      <c r="G3193" s="1">
        <f ca="1">IFERROR(__xludf.DUMMYFUNCTION("""COMPUTED_VALUE"""),1685)</f>
        <v>1685</v>
      </c>
      <c r="H3193" s="1" t="str">
        <f ca="1">IFERROR(__xludf.DUMMYFUNCTION("""COMPUTED_VALUE"""),"MTLSZ001685A08")</f>
        <v>MTLSZ001685A08</v>
      </c>
      <c r="I3193" s="2">
        <f ca="1">IFERROR(__xludf.DUMMYFUNCTION("""COMPUTED_VALUE"""),39780)</f>
        <v>39780</v>
      </c>
      <c r="J3193" s="2">
        <f ca="1">IFERROR(__xludf.DUMMYFUNCTION("""COMPUTED_VALUE"""),40144)</f>
        <v>40144</v>
      </c>
    </row>
    <row r="3194" spans="1:10" x14ac:dyDescent="0.25">
      <c r="A3194" s="1" t="str">
        <f ca="1">IFERROR(__xludf.DUMMYFUNCTION("""COMPUTED_VALUE"""),"Szolnoki Honvéd SE")</f>
        <v>Szolnoki Honvéd SE</v>
      </c>
      <c r="B3194" s="1" t="str">
        <f ca="1">IFERROR(__xludf.DUMMYFUNCTION("""COMPUTED_VALUE"""),"Fidel Ákos")</f>
        <v>Fidel Ákos</v>
      </c>
      <c r="C3194" s="1"/>
      <c r="D3194" s="1" t="str">
        <f ca="1">IFERROR(__xludf.DUMMYFUNCTION("""COMPUTED_VALUE"""),"Férfi")</f>
        <v>Férfi</v>
      </c>
      <c r="E3194" s="1"/>
      <c r="F3194" s="1">
        <f ca="1">IFERROR(__xludf.DUMMYFUNCTION("""COMPUTED_VALUE"""),1975)</f>
        <v>1975</v>
      </c>
      <c r="G3194" s="1">
        <f ca="1">IFERROR(__xludf.DUMMYFUNCTION("""COMPUTED_VALUE"""),1699)</f>
        <v>1699</v>
      </c>
      <c r="H3194" s="1" t="str">
        <f ca="1">IFERROR(__xludf.DUMMYFUNCTION("""COMPUTED_VALUE"""),"MTLSZ001699A08")</f>
        <v>MTLSZ001699A08</v>
      </c>
      <c r="I3194" s="2">
        <f ca="1">IFERROR(__xludf.DUMMYFUNCTION("""COMPUTED_VALUE"""),39780)</f>
        <v>39780</v>
      </c>
      <c r="J3194" s="2">
        <f ca="1">IFERROR(__xludf.DUMMYFUNCTION("""COMPUTED_VALUE"""),40144)</f>
        <v>40144</v>
      </c>
    </row>
    <row r="3195" spans="1:10" x14ac:dyDescent="0.25">
      <c r="A3195" s="1" t="str">
        <f ca="1">IFERROR(__xludf.DUMMYFUNCTION("""COMPUTED_VALUE"""),"Szolnoki Honvéd SE")</f>
        <v>Szolnoki Honvéd SE</v>
      </c>
      <c r="B3195" s="1" t="str">
        <f ca="1">IFERROR(__xludf.DUMMYFUNCTION("""COMPUTED_VALUE"""),"Labancz Gábor")</f>
        <v>Labancz Gábor</v>
      </c>
      <c r="C3195" s="1"/>
      <c r="D3195" s="1" t="str">
        <f ca="1">IFERROR(__xludf.DUMMYFUNCTION("""COMPUTED_VALUE"""),"Férfi")</f>
        <v>Férfi</v>
      </c>
      <c r="E3195" s="1"/>
      <c r="F3195" s="1">
        <f ca="1">IFERROR(__xludf.DUMMYFUNCTION("""COMPUTED_VALUE"""),1984)</f>
        <v>1984</v>
      </c>
      <c r="G3195" s="1">
        <f ca="1">IFERROR(__xludf.DUMMYFUNCTION("""COMPUTED_VALUE"""),1777)</f>
        <v>1777</v>
      </c>
      <c r="H3195" s="1" t="str">
        <f ca="1">IFERROR(__xludf.DUMMYFUNCTION("""COMPUTED_VALUE"""),"MTLSZ001777A08")</f>
        <v>MTLSZ001777A08</v>
      </c>
      <c r="I3195" s="2">
        <f ca="1">IFERROR(__xludf.DUMMYFUNCTION("""COMPUTED_VALUE"""),39780)</f>
        <v>39780</v>
      </c>
      <c r="J3195" s="2">
        <f ca="1">IFERROR(__xludf.DUMMYFUNCTION("""COMPUTED_VALUE"""),40144)</f>
        <v>40144</v>
      </c>
    </row>
    <row r="3196" spans="1:10" x14ac:dyDescent="0.25">
      <c r="A3196" s="1" t="str">
        <f ca="1">IFERROR(__xludf.DUMMYFUNCTION("""COMPUTED_VALUE"""),"Szolnoki Honvéd SE")</f>
        <v>Szolnoki Honvéd SE</v>
      </c>
      <c r="B3196" s="1" t="str">
        <f ca="1">IFERROR(__xludf.DUMMYFUNCTION("""COMPUTED_VALUE"""),"Majercsikné Dargai Éva")</f>
        <v>Majercsikné Dargai Éva</v>
      </c>
      <c r="C3196" s="1"/>
      <c r="D3196" s="1" t="str">
        <f ca="1">IFERROR(__xludf.DUMMYFUNCTION("""COMPUTED_VALUE"""),"Nő")</f>
        <v>Nő</v>
      </c>
      <c r="E3196" s="1"/>
      <c r="F3196" s="1">
        <f ca="1">IFERROR(__xludf.DUMMYFUNCTION("""COMPUTED_VALUE"""),1960)</f>
        <v>1960</v>
      </c>
      <c r="G3196" s="1">
        <f ca="1">IFERROR(__xludf.DUMMYFUNCTION("""COMPUTED_VALUE"""),1728)</f>
        <v>1728</v>
      </c>
      <c r="H3196" s="1" t="str">
        <f ca="1">IFERROR(__xludf.DUMMYFUNCTION("""COMPUTED_VALUE"""),"MTLSZ001728A08")</f>
        <v>MTLSZ001728A08</v>
      </c>
      <c r="I3196" s="2">
        <f ca="1">IFERROR(__xludf.DUMMYFUNCTION("""COMPUTED_VALUE"""),39780)</f>
        <v>39780</v>
      </c>
      <c r="J3196" s="2">
        <f ca="1">IFERROR(__xludf.DUMMYFUNCTION("""COMPUTED_VALUE"""),40144)</f>
        <v>40144</v>
      </c>
    </row>
    <row r="3197" spans="1:10" x14ac:dyDescent="0.25">
      <c r="A3197" s="1" t="str">
        <f ca="1">IFERROR(__xludf.DUMMYFUNCTION("""COMPUTED_VALUE"""),"Szolnoki Honvéd SE")</f>
        <v>Szolnoki Honvéd SE</v>
      </c>
      <c r="B3197" s="1" t="str">
        <f ca="1">IFERROR(__xludf.DUMMYFUNCTION("""COMPUTED_VALUE"""),"Nagy Renáta")</f>
        <v>Nagy Renáta</v>
      </c>
      <c r="C3197" s="1"/>
      <c r="D3197" s="1" t="str">
        <f ca="1">IFERROR(__xludf.DUMMYFUNCTION("""COMPUTED_VALUE"""),"Nő")</f>
        <v>Nő</v>
      </c>
      <c r="E3197" s="1"/>
      <c r="F3197" s="1">
        <f ca="1">IFERROR(__xludf.DUMMYFUNCTION("""COMPUTED_VALUE"""),1979)</f>
        <v>1979</v>
      </c>
      <c r="G3197" s="1">
        <f ca="1">IFERROR(__xludf.DUMMYFUNCTION("""COMPUTED_VALUE"""),1702)</f>
        <v>1702</v>
      </c>
      <c r="H3197" s="1" t="str">
        <f ca="1">IFERROR(__xludf.DUMMYFUNCTION("""COMPUTED_VALUE"""),"MTLSZ001702A08")</f>
        <v>MTLSZ001702A08</v>
      </c>
      <c r="I3197" s="2">
        <f ca="1">IFERROR(__xludf.DUMMYFUNCTION("""COMPUTED_VALUE"""),39780)</f>
        <v>39780</v>
      </c>
      <c r="J3197" s="2">
        <f ca="1">IFERROR(__xludf.DUMMYFUNCTION("""COMPUTED_VALUE"""),40144)</f>
        <v>40144</v>
      </c>
    </row>
    <row r="3198" spans="1:10" x14ac:dyDescent="0.25">
      <c r="A3198" s="1" t="str">
        <f ca="1">IFERROR(__xludf.DUMMYFUNCTION("""COMPUTED_VALUE"""),"Alba-Toll SE")</f>
        <v>Alba-Toll SE</v>
      </c>
      <c r="B3198" s="1" t="str">
        <f ca="1">IFERROR(__xludf.DUMMYFUNCTION("""COMPUTED_VALUE"""),"Bánhegyi Gábor")</f>
        <v>Bánhegyi Gábor</v>
      </c>
      <c r="C3198" s="1"/>
      <c r="D3198" s="1" t="str">
        <f ca="1">IFERROR(__xludf.DUMMYFUNCTION("""COMPUTED_VALUE"""),"Férfi")</f>
        <v>Férfi</v>
      </c>
      <c r="E3198" s="1"/>
      <c r="F3198" s="1">
        <f ca="1">IFERROR(__xludf.DUMMYFUNCTION("""COMPUTED_VALUE"""),1962)</f>
        <v>1962</v>
      </c>
      <c r="G3198" s="1">
        <f ca="1">IFERROR(__xludf.DUMMYFUNCTION("""COMPUTED_VALUE"""),51)</f>
        <v>51</v>
      </c>
      <c r="H3198" s="1" t="str">
        <f ca="1">IFERROR(__xludf.DUMMYFUNCTION("""COMPUTED_VALUE"""),"MTLSZ000051A08")</f>
        <v>MTLSZ000051A08</v>
      </c>
      <c r="I3198" s="2">
        <f ca="1">IFERROR(__xludf.DUMMYFUNCTION("""COMPUTED_VALUE"""),39779)</f>
        <v>39779</v>
      </c>
      <c r="J3198" s="2">
        <f ca="1">IFERROR(__xludf.DUMMYFUNCTION("""COMPUTED_VALUE"""),40143)</f>
        <v>40143</v>
      </c>
    </row>
    <row r="3199" spans="1:10" x14ac:dyDescent="0.25">
      <c r="A3199" s="1" t="str">
        <f ca="1">IFERROR(__xludf.DUMMYFUNCTION("""COMPUTED_VALUE"""),"Alba-Toll SE")</f>
        <v>Alba-Toll SE</v>
      </c>
      <c r="B3199" s="1" t="str">
        <f ca="1">IFERROR(__xludf.DUMMYFUNCTION("""COMPUTED_VALUE"""),"Fónad Péter")</f>
        <v>Fónad Péter</v>
      </c>
      <c r="C3199" s="1"/>
      <c r="D3199" s="1" t="str">
        <f ca="1">IFERROR(__xludf.DUMMYFUNCTION("""COMPUTED_VALUE"""),"Férfi")</f>
        <v>Férfi</v>
      </c>
      <c r="E3199" s="1"/>
      <c r="F3199" s="1">
        <f ca="1">IFERROR(__xludf.DUMMYFUNCTION("""COMPUTED_VALUE"""),1984)</f>
        <v>1984</v>
      </c>
      <c r="G3199" s="1">
        <f ca="1">IFERROR(__xludf.DUMMYFUNCTION("""COMPUTED_VALUE"""),255)</f>
        <v>255</v>
      </c>
      <c r="H3199" s="1" t="str">
        <f ca="1">IFERROR(__xludf.DUMMYFUNCTION("""COMPUTED_VALUE"""),"MTLSZ000255A08")</f>
        <v>MTLSZ000255A08</v>
      </c>
      <c r="I3199" s="2">
        <f ca="1">IFERROR(__xludf.DUMMYFUNCTION("""COMPUTED_VALUE"""),39779)</f>
        <v>39779</v>
      </c>
      <c r="J3199" s="2">
        <f ca="1">IFERROR(__xludf.DUMMYFUNCTION("""COMPUTED_VALUE"""),40143)</f>
        <v>40143</v>
      </c>
    </row>
    <row r="3200" spans="1:10" x14ac:dyDescent="0.25">
      <c r="A3200" s="1" t="str">
        <f ca="1">IFERROR(__xludf.DUMMYFUNCTION("""COMPUTED_VALUE"""),"Alba-Toll SE")</f>
        <v>Alba-Toll SE</v>
      </c>
      <c r="B3200" s="1" t="str">
        <f ca="1">IFERROR(__xludf.DUMMYFUNCTION("""COMPUTED_VALUE"""),"Gáncs Eszter")</f>
        <v>Gáncs Eszter</v>
      </c>
      <c r="C3200" s="1"/>
      <c r="D3200" s="1" t="str">
        <f ca="1">IFERROR(__xludf.DUMMYFUNCTION("""COMPUTED_VALUE"""),"Nő")</f>
        <v>Nő</v>
      </c>
      <c r="E3200" s="1"/>
      <c r="F3200" s="1">
        <f ca="1">IFERROR(__xludf.DUMMYFUNCTION("""COMPUTED_VALUE"""),1984)</f>
        <v>1984</v>
      </c>
      <c r="G3200" s="1">
        <f ca="1">IFERROR(__xludf.DUMMYFUNCTION("""COMPUTED_VALUE"""),281)</f>
        <v>281</v>
      </c>
      <c r="H3200" s="1" t="str">
        <f ca="1">IFERROR(__xludf.DUMMYFUNCTION("""COMPUTED_VALUE"""),"MTLSZ000281A08")</f>
        <v>MTLSZ000281A08</v>
      </c>
      <c r="I3200" s="2">
        <f ca="1">IFERROR(__xludf.DUMMYFUNCTION("""COMPUTED_VALUE"""),39779)</f>
        <v>39779</v>
      </c>
      <c r="J3200" s="2">
        <f ca="1">IFERROR(__xludf.DUMMYFUNCTION("""COMPUTED_VALUE"""),40143)</f>
        <v>40143</v>
      </c>
    </row>
    <row r="3201" spans="1:10" x14ac:dyDescent="0.25">
      <c r="A3201" s="1" t="str">
        <f ca="1">IFERROR(__xludf.DUMMYFUNCTION("""COMPUTED_VALUE"""),"Alba-Toll SE")</f>
        <v>Alba-Toll SE</v>
      </c>
      <c r="B3201" s="1" t="str">
        <f ca="1">IFERROR(__xludf.DUMMYFUNCTION("""COMPUTED_VALUE"""),"Jungbluth Balázs")</f>
        <v>Jungbluth Balázs</v>
      </c>
      <c r="C3201" s="1"/>
      <c r="D3201" s="1" t="str">
        <f ca="1">IFERROR(__xludf.DUMMYFUNCTION("""COMPUTED_VALUE"""),"Férfi")</f>
        <v>Férfi</v>
      </c>
      <c r="E3201" s="1"/>
      <c r="F3201" s="1">
        <f ca="1">IFERROR(__xludf.DUMMYFUNCTION("""COMPUTED_VALUE"""),1978)</f>
        <v>1978</v>
      </c>
      <c r="G3201" s="1">
        <f ca="1">IFERROR(__xludf.DUMMYFUNCTION("""COMPUTED_VALUE"""),1214)</f>
        <v>1214</v>
      </c>
      <c r="H3201" s="1" t="str">
        <f ca="1">IFERROR(__xludf.DUMMYFUNCTION("""COMPUTED_VALUE"""),"MTLSZ001214A08")</f>
        <v>MTLSZ001214A08</v>
      </c>
      <c r="I3201" s="2">
        <f ca="1">IFERROR(__xludf.DUMMYFUNCTION("""COMPUTED_VALUE"""),39779)</f>
        <v>39779</v>
      </c>
      <c r="J3201" s="2">
        <f ca="1">IFERROR(__xludf.DUMMYFUNCTION("""COMPUTED_VALUE"""),40143)</f>
        <v>40143</v>
      </c>
    </row>
    <row r="3202" spans="1:10" x14ac:dyDescent="0.25">
      <c r="A3202" s="1" t="str">
        <f ca="1">IFERROR(__xludf.DUMMYFUNCTION("""COMPUTED_VALUE"""),"Alba-Toll SE")</f>
        <v>Alba-Toll SE</v>
      </c>
      <c r="B3202" s="1" t="str">
        <f ca="1">IFERROR(__xludf.DUMMYFUNCTION("""COMPUTED_VALUE"""),"Kaufer Gábor")</f>
        <v>Kaufer Gábor</v>
      </c>
      <c r="C3202" s="1"/>
      <c r="D3202" s="1" t="str">
        <f ca="1">IFERROR(__xludf.DUMMYFUNCTION("""COMPUTED_VALUE"""),"Férfi")</f>
        <v>Férfi</v>
      </c>
      <c r="E3202" s="1"/>
      <c r="F3202" s="1">
        <f ca="1">IFERROR(__xludf.DUMMYFUNCTION("""COMPUTED_VALUE"""),1989)</f>
        <v>1989</v>
      </c>
      <c r="G3202" s="1">
        <f ca="1">IFERROR(__xludf.DUMMYFUNCTION("""COMPUTED_VALUE"""),1294)</f>
        <v>1294</v>
      </c>
      <c r="H3202" s="1" t="str">
        <f ca="1">IFERROR(__xludf.DUMMYFUNCTION("""COMPUTED_VALUE"""),"MTLSZ001294A08")</f>
        <v>MTLSZ001294A08</v>
      </c>
      <c r="I3202" s="2">
        <f ca="1">IFERROR(__xludf.DUMMYFUNCTION("""COMPUTED_VALUE"""),39779)</f>
        <v>39779</v>
      </c>
      <c r="J3202" s="2">
        <f ca="1">IFERROR(__xludf.DUMMYFUNCTION("""COMPUTED_VALUE"""),40143)</f>
        <v>40143</v>
      </c>
    </row>
    <row r="3203" spans="1:10" x14ac:dyDescent="0.25">
      <c r="A3203" s="1" t="str">
        <f ca="1">IFERROR(__xludf.DUMMYFUNCTION("""COMPUTED_VALUE"""),"Alba-Toll SE")</f>
        <v>Alba-Toll SE</v>
      </c>
      <c r="B3203" s="1" t="str">
        <f ca="1">IFERROR(__xludf.DUMMYFUNCTION("""COMPUTED_VALUE"""),"Király Noémi")</f>
        <v>Király Noémi</v>
      </c>
      <c r="C3203" s="1"/>
      <c r="D3203" s="1" t="str">
        <f ca="1">IFERROR(__xludf.DUMMYFUNCTION("""COMPUTED_VALUE"""),"Nő")</f>
        <v>Nő</v>
      </c>
      <c r="E3203" s="1"/>
      <c r="F3203" s="1">
        <f ca="1">IFERROR(__xludf.DUMMYFUNCTION("""COMPUTED_VALUE"""),1986)</f>
        <v>1986</v>
      </c>
      <c r="G3203" s="1">
        <f ca="1">IFERROR(__xludf.DUMMYFUNCTION("""COMPUTED_VALUE"""),470)</f>
        <v>470</v>
      </c>
      <c r="H3203" s="1" t="str">
        <f ca="1">IFERROR(__xludf.DUMMYFUNCTION("""COMPUTED_VALUE"""),"MTLSZ000470A08")</f>
        <v>MTLSZ000470A08</v>
      </c>
      <c r="I3203" s="2">
        <f ca="1">IFERROR(__xludf.DUMMYFUNCTION("""COMPUTED_VALUE"""),39779)</f>
        <v>39779</v>
      </c>
      <c r="J3203" s="2">
        <f ca="1">IFERROR(__xludf.DUMMYFUNCTION("""COMPUTED_VALUE"""),40143)</f>
        <v>40143</v>
      </c>
    </row>
    <row r="3204" spans="1:10" x14ac:dyDescent="0.25">
      <c r="A3204" s="1" t="str">
        <f ca="1">IFERROR(__xludf.DUMMYFUNCTION("""COMPUTED_VALUE"""),"Alba-Toll SE")</f>
        <v>Alba-Toll SE</v>
      </c>
      <c r="B3204" s="1" t="str">
        <f ca="1">IFERROR(__xludf.DUMMYFUNCTION("""COMPUTED_VALUE"""),"Király Tímea")</f>
        <v>Király Tímea</v>
      </c>
      <c r="C3204" s="1"/>
      <c r="D3204" s="1" t="str">
        <f ca="1">IFERROR(__xludf.DUMMYFUNCTION("""COMPUTED_VALUE"""),"Nő")</f>
        <v>Nő</v>
      </c>
      <c r="E3204" s="1"/>
      <c r="F3204" s="1">
        <f ca="1">IFERROR(__xludf.DUMMYFUNCTION("""COMPUTED_VALUE"""),1988)</f>
        <v>1988</v>
      </c>
      <c r="G3204" s="1">
        <f ca="1">IFERROR(__xludf.DUMMYFUNCTION("""COMPUTED_VALUE"""),471)</f>
        <v>471</v>
      </c>
      <c r="H3204" s="1" t="str">
        <f ca="1">IFERROR(__xludf.DUMMYFUNCTION("""COMPUTED_VALUE"""),"MTLSZ000471A08")</f>
        <v>MTLSZ000471A08</v>
      </c>
      <c r="I3204" s="2">
        <f ca="1">IFERROR(__xludf.DUMMYFUNCTION("""COMPUTED_VALUE"""),39779)</f>
        <v>39779</v>
      </c>
      <c r="J3204" s="2">
        <f ca="1">IFERROR(__xludf.DUMMYFUNCTION("""COMPUTED_VALUE"""),40143)</f>
        <v>40143</v>
      </c>
    </row>
    <row r="3205" spans="1:10" x14ac:dyDescent="0.25">
      <c r="A3205" s="1" t="str">
        <f ca="1">IFERROR(__xludf.DUMMYFUNCTION("""COMPUTED_VALUE"""),"Alba-Toll SE")</f>
        <v>Alba-Toll SE</v>
      </c>
      <c r="B3205" s="1" t="str">
        <f ca="1">IFERROR(__xludf.DUMMYFUNCTION("""COMPUTED_VALUE"""),"Laki Ákos")</f>
        <v>Laki Ákos</v>
      </c>
      <c r="C3205" s="1"/>
      <c r="D3205" s="1" t="str">
        <f ca="1">IFERROR(__xludf.DUMMYFUNCTION("""COMPUTED_VALUE"""),"Férfi")</f>
        <v>Férfi</v>
      </c>
      <c r="E3205" s="1"/>
      <c r="F3205" s="1">
        <f ca="1">IFERROR(__xludf.DUMMYFUNCTION("""COMPUTED_VALUE"""),1988)</f>
        <v>1988</v>
      </c>
      <c r="G3205" s="1">
        <f ca="1">IFERROR(__xludf.DUMMYFUNCTION("""COMPUTED_VALUE"""),569)</f>
        <v>569</v>
      </c>
      <c r="H3205" s="1" t="str">
        <f ca="1">IFERROR(__xludf.DUMMYFUNCTION("""COMPUTED_VALUE"""),"MTLSZ000569A08")</f>
        <v>MTLSZ000569A08</v>
      </c>
      <c r="I3205" s="2">
        <f ca="1">IFERROR(__xludf.DUMMYFUNCTION("""COMPUTED_VALUE"""),39779)</f>
        <v>39779</v>
      </c>
      <c r="J3205" s="2">
        <f ca="1">IFERROR(__xludf.DUMMYFUNCTION("""COMPUTED_VALUE"""),40143)</f>
        <v>40143</v>
      </c>
    </row>
    <row r="3206" spans="1:10" x14ac:dyDescent="0.25">
      <c r="A3206" s="1" t="str">
        <f ca="1">IFERROR(__xludf.DUMMYFUNCTION("""COMPUTED_VALUE"""),"Alba-Toll SE")</f>
        <v>Alba-Toll SE</v>
      </c>
      <c r="B3206" s="1" t="str">
        <f ca="1">IFERROR(__xludf.DUMMYFUNCTION("""COMPUTED_VALUE"""),"Németh Erzsébet")</f>
        <v>Németh Erzsébet</v>
      </c>
      <c r="C3206" s="1"/>
      <c r="D3206" s="1" t="str">
        <f ca="1">IFERROR(__xludf.DUMMYFUNCTION("""COMPUTED_VALUE"""),"Nő")</f>
        <v>Nő</v>
      </c>
      <c r="E3206" s="1"/>
      <c r="F3206" s="1">
        <f ca="1">IFERROR(__xludf.DUMMYFUNCTION("""COMPUTED_VALUE"""),1987)</f>
        <v>1987</v>
      </c>
      <c r="G3206" s="1">
        <f ca="1">IFERROR(__xludf.DUMMYFUNCTION("""COMPUTED_VALUE"""),1215)</f>
        <v>1215</v>
      </c>
      <c r="H3206" s="1" t="str">
        <f ca="1">IFERROR(__xludf.DUMMYFUNCTION("""COMPUTED_VALUE"""),"MTLSZ001215A08")</f>
        <v>MTLSZ001215A08</v>
      </c>
      <c r="I3206" s="2">
        <f ca="1">IFERROR(__xludf.DUMMYFUNCTION("""COMPUTED_VALUE"""),39779)</f>
        <v>39779</v>
      </c>
      <c r="J3206" s="2">
        <f ca="1">IFERROR(__xludf.DUMMYFUNCTION("""COMPUTED_VALUE"""),40143)</f>
        <v>40143</v>
      </c>
    </row>
    <row r="3207" spans="1:10" x14ac:dyDescent="0.25">
      <c r="A3207" s="1" t="str">
        <f ca="1">IFERROR(__xludf.DUMMYFUNCTION("""COMPUTED_VALUE"""),"Alba-Toll SE")</f>
        <v>Alba-Toll SE</v>
      </c>
      <c r="B3207" s="1" t="str">
        <f ca="1">IFERROR(__xludf.DUMMYFUNCTION("""COMPUTED_VALUE"""),"Szabó Flávia")</f>
        <v>Szabó Flávia</v>
      </c>
      <c r="C3207" s="1"/>
      <c r="D3207" s="1" t="str">
        <f ca="1">IFERROR(__xludf.DUMMYFUNCTION("""COMPUTED_VALUE"""),"Nő")</f>
        <v>Nő</v>
      </c>
      <c r="E3207" s="1"/>
      <c r="F3207" s="1">
        <f ca="1">IFERROR(__xludf.DUMMYFUNCTION("""COMPUTED_VALUE"""),1988)</f>
        <v>1988</v>
      </c>
      <c r="G3207" s="1">
        <f ca="1">IFERROR(__xludf.DUMMYFUNCTION("""COMPUTED_VALUE"""),888)</f>
        <v>888</v>
      </c>
      <c r="H3207" s="1" t="str">
        <f ca="1">IFERROR(__xludf.DUMMYFUNCTION("""COMPUTED_VALUE"""),"MTLSZ000888A08")</f>
        <v>MTLSZ000888A08</v>
      </c>
      <c r="I3207" s="2">
        <f ca="1">IFERROR(__xludf.DUMMYFUNCTION("""COMPUTED_VALUE"""),39779)</f>
        <v>39779</v>
      </c>
      <c r="J3207" s="2">
        <f ca="1">IFERROR(__xludf.DUMMYFUNCTION("""COMPUTED_VALUE"""),40143)</f>
        <v>40143</v>
      </c>
    </row>
    <row r="3208" spans="1:10" x14ac:dyDescent="0.25">
      <c r="A3208" s="1" t="str">
        <f ca="1">IFERROR(__xludf.DUMMYFUNCTION("""COMPUTED_VALUE"""),"Alba-Toll SE")</f>
        <v>Alba-Toll SE</v>
      </c>
      <c r="B3208" s="1" t="str">
        <f ca="1">IFERROR(__xludf.DUMMYFUNCTION("""COMPUTED_VALUE"""),"Szatzker Anna Zsófia")</f>
        <v>Szatzker Anna Zsófia</v>
      </c>
      <c r="C3208" s="1"/>
      <c r="D3208" s="1" t="str">
        <f ca="1">IFERROR(__xludf.DUMMYFUNCTION("""COMPUTED_VALUE"""),"Nő")</f>
        <v>Nő</v>
      </c>
      <c r="E3208" s="1"/>
      <c r="F3208" s="1">
        <f ca="1">IFERROR(__xludf.DUMMYFUNCTION("""COMPUTED_VALUE"""),1988)</f>
        <v>1988</v>
      </c>
      <c r="G3208" s="1">
        <f ca="1">IFERROR(__xludf.DUMMYFUNCTION("""COMPUTED_VALUE"""),921)</f>
        <v>921</v>
      </c>
      <c r="H3208" s="1" t="str">
        <f ca="1">IFERROR(__xludf.DUMMYFUNCTION("""COMPUTED_VALUE"""),"MTLSZ000921A08")</f>
        <v>MTLSZ000921A08</v>
      </c>
      <c r="I3208" s="2">
        <f ca="1">IFERROR(__xludf.DUMMYFUNCTION("""COMPUTED_VALUE"""),39779)</f>
        <v>39779</v>
      </c>
      <c r="J3208" s="2">
        <f ca="1">IFERROR(__xludf.DUMMYFUNCTION("""COMPUTED_VALUE"""),40143)</f>
        <v>40143</v>
      </c>
    </row>
    <row r="3209" spans="1:10" x14ac:dyDescent="0.25">
      <c r="A3209" s="1" t="str">
        <f ca="1">IFERROR(__xludf.DUMMYFUNCTION("""COMPUTED_VALUE"""),"Alba-Toll SE")</f>
        <v>Alba-Toll SE</v>
      </c>
      <c r="B3209" s="1" t="str">
        <f ca="1">IFERROR(__xludf.DUMMYFUNCTION("""COMPUTED_VALUE"""),"Szirom Janka")</f>
        <v>Szirom Janka</v>
      </c>
      <c r="C3209" s="1"/>
      <c r="D3209" s="1" t="str">
        <f ca="1">IFERROR(__xludf.DUMMYFUNCTION("""COMPUTED_VALUE"""),"Nő")</f>
        <v>Nő</v>
      </c>
      <c r="E3209" s="1"/>
      <c r="F3209" s="1">
        <f ca="1">IFERROR(__xludf.DUMMYFUNCTION("""COMPUTED_VALUE"""),1988)</f>
        <v>1988</v>
      </c>
      <c r="G3209" s="1">
        <f ca="1">IFERROR(__xludf.DUMMYFUNCTION("""COMPUTED_VALUE"""),1307)</f>
        <v>1307</v>
      </c>
      <c r="H3209" s="1" t="str">
        <f ca="1">IFERROR(__xludf.DUMMYFUNCTION("""COMPUTED_VALUE"""),"MTLSZ001307A08")</f>
        <v>MTLSZ001307A08</v>
      </c>
      <c r="I3209" s="2">
        <f ca="1">IFERROR(__xludf.DUMMYFUNCTION("""COMPUTED_VALUE"""),39779)</f>
        <v>39779</v>
      </c>
      <c r="J3209" s="2">
        <f ca="1">IFERROR(__xludf.DUMMYFUNCTION("""COMPUTED_VALUE"""),40143)</f>
        <v>40143</v>
      </c>
    </row>
    <row r="3210" spans="1:10" x14ac:dyDescent="0.25">
      <c r="A3210" s="1" t="str">
        <f ca="1">IFERROR(__xludf.DUMMYFUNCTION("""COMPUTED_VALUE"""),"Rosco SE")</f>
        <v>Rosco SE</v>
      </c>
      <c r="B3210" s="1" t="str">
        <f ca="1">IFERROR(__xludf.DUMMYFUNCTION("""COMPUTED_VALUE"""),"Tróznai Zsófia")</f>
        <v>Tróznai Zsófia</v>
      </c>
      <c r="C3210" s="1"/>
      <c r="D3210" s="1" t="str">
        <f ca="1">IFERROR(__xludf.DUMMYFUNCTION("""COMPUTED_VALUE"""),"Nő")</f>
        <v>Nő</v>
      </c>
      <c r="E3210" s="1"/>
      <c r="F3210" s="1">
        <f ca="1">IFERROR(__xludf.DUMMYFUNCTION("""COMPUTED_VALUE"""),1975)</f>
        <v>1975</v>
      </c>
      <c r="G3210" s="1">
        <f ca="1">IFERROR(__xludf.DUMMYFUNCTION("""COMPUTED_VALUE"""),1058)</f>
        <v>1058</v>
      </c>
      <c r="H3210" s="1" t="str">
        <f ca="1">IFERROR(__xludf.DUMMYFUNCTION("""COMPUTED_VALUE"""),"MTLSZ001058A08")</f>
        <v>MTLSZ001058A08</v>
      </c>
      <c r="I3210" s="2">
        <f ca="1">IFERROR(__xludf.DUMMYFUNCTION("""COMPUTED_VALUE"""),39779)</f>
        <v>39779</v>
      </c>
      <c r="J3210" s="2">
        <f ca="1">IFERROR(__xludf.DUMMYFUNCTION("""COMPUTED_VALUE"""),40143)</f>
        <v>40143</v>
      </c>
    </row>
    <row r="3211" spans="1:10" x14ac:dyDescent="0.25">
      <c r="A3211" s="1" t="str">
        <f ca="1">IFERROR(__xludf.DUMMYFUNCTION("""COMPUTED_VALUE"""),"Veszprémi Sasok BC")</f>
        <v>Veszprémi Sasok BC</v>
      </c>
      <c r="B3211" s="1" t="str">
        <f ca="1">IFERROR(__xludf.DUMMYFUNCTION("""COMPUTED_VALUE"""),"Imreh Boglárka")</f>
        <v>Imreh Boglárka</v>
      </c>
      <c r="C3211" s="1"/>
      <c r="D3211" s="1" t="str">
        <f ca="1">IFERROR(__xludf.DUMMYFUNCTION("""COMPUTED_VALUE"""),"Nő")</f>
        <v>Nő</v>
      </c>
      <c r="E3211" s="1"/>
      <c r="F3211" s="1">
        <f ca="1">IFERROR(__xludf.DUMMYFUNCTION("""COMPUTED_VALUE"""),1983)</f>
        <v>1983</v>
      </c>
      <c r="G3211" s="1">
        <f ca="1">IFERROR(__xludf.DUMMYFUNCTION("""COMPUTED_VALUE"""),397)</f>
        <v>397</v>
      </c>
      <c r="H3211" s="1" t="str">
        <f ca="1">IFERROR(__xludf.DUMMYFUNCTION("""COMPUTED_VALUE"""),"MTLSZ000397A08")</f>
        <v>MTLSZ000397A08</v>
      </c>
      <c r="I3211" s="2">
        <f ca="1">IFERROR(__xludf.DUMMYFUNCTION("""COMPUTED_VALUE"""),39772)</f>
        <v>39772</v>
      </c>
      <c r="J3211" s="2">
        <f ca="1">IFERROR(__xludf.DUMMYFUNCTION("""COMPUTED_VALUE"""),40136)</f>
        <v>40136</v>
      </c>
    </row>
    <row r="3212" spans="1:10" x14ac:dyDescent="0.25">
      <c r="A3212" s="1" t="str">
        <f ca="1">IFERROR(__xludf.DUMMYFUNCTION("""COMPUTED_VALUE"""),"Alba-Toll SE")</f>
        <v>Alba-Toll SE</v>
      </c>
      <c r="B3212" s="1" t="str">
        <f ca="1">IFERROR(__xludf.DUMMYFUNCTION("""COMPUTED_VALUE"""),"Dolmány Rita")</f>
        <v>Dolmány Rita</v>
      </c>
      <c r="C3212" s="1"/>
      <c r="D3212" s="1" t="str">
        <f ca="1">IFERROR(__xludf.DUMMYFUNCTION("""COMPUTED_VALUE"""),"Nő")</f>
        <v>Nő</v>
      </c>
      <c r="E3212" s="1"/>
      <c r="F3212" s="1">
        <f ca="1">IFERROR(__xludf.DUMMYFUNCTION("""COMPUTED_VALUE"""),1990)</f>
        <v>1990</v>
      </c>
      <c r="G3212" s="1">
        <f ca="1">IFERROR(__xludf.DUMMYFUNCTION("""COMPUTED_VALUE"""),194)</f>
        <v>194</v>
      </c>
      <c r="H3212" s="1" t="str">
        <f ca="1">IFERROR(__xludf.DUMMYFUNCTION("""COMPUTED_VALUE"""),"MTLSZ000194A08")</f>
        <v>MTLSZ000194A08</v>
      </c>
      <c r="I3212" s="2">
        <f ca="1">IFERROR(__xludf.DUMMYFUNCTION("""COMPUTED_VALUE"""),39771)</f>
        <v>39771</v>
      </c>
      <c r="J3212" s="2">
        <f ca="1">IFERROR(__xludf.DUMMYFUNCTION("""COMPUTED_VALUE"""),40135)</f>
        <v>40135</v>
      </c>
    </row>
    <row r="3213" spans="1:10" x14ac:dyDescent="0.25">
      <c r="A3213" s="1" t="str">
        <f ca="1">IFERROR(__xludf.DUMMYFUNCTION("""COMPUTED_VALUE"""),"Alba-Toll SE")</f>
        <v>Alba-Toll SE</v>
      </c>
      <c r="B3213" s="1" t="str">
        <f ca="1">IFERROR(__xludf.DUMMYFUNCTION("""COMPUTED_VALUE"""),"Donkó Ákos")</f>
        <v>Donkó Ákos</v>
      </c>
      <c r="C3213" s="1"/>
      <c r="D3213" s="1" t="str">
        <f ca="1">IFERROR(__xludf.DUMMYFUNCTION("""COMPUTED_VALUE"""),"Férfi")</f>
        <v>Férfi</v>
      </c>
      <c r="E3213" s="1"/>
      <c r="F3213" s="1">
        <f ca="1">IFERROR(__xludf.DUMMYFUNCTION("""COMPUTED_VALUE"""),1996)</f>
        <v>1996</v>
      </c>
      <c r="G3213" s="1">
        <f ca="1">IFERROR(__xludf.DUMMYFUNCTION("""COMPUTED_VALUE"""),1861)</f>
        <v>1861</v>
      </c>
      <c r="H3213" s="1" t="str">
        <f ca="1">IFERROR(__xludf.DUMMYFUNCTION("""COMPUTED_VALUE"""),"MTLSZ001861A08")</f>
        <v>MTLSZ001861A08</v>
      </c>
      <c r="I3213" s="2">
        <f ca="1">IFERROR(__xludf.DUMMYFUNCTION("""COMPUTED_VALUE"""),39771)</f>
        <v>39771</v>
      </c>
      <c r="J3213" s="2">
        <f ca="1">IFERROR(__xludf.DUMMYFUNCTION("""COMPUTED_VALUE"""),40135)</f>
        <v>40135</v>
      </c>
    </row>
    <row r="3214" spans="1:10" x14ac:dyDescent="0.25">
      <c r="A3214" s="1" t="str">
        <f ca="1">IFERROR(__xludf.DUMMYFUNCTION("""COMPUTED_VALUE"""),"Alba-Toll SE")</f>
        <v>Alba-Toll SE</v>
      </c>
      <c r="B3214" s="1" t="str">
        <f ca="1">IFERROR(__xludf.DUMMYFUNCTION("""COMPUTED_VALUE"""),"Donkó Rita")</f>
        <v>Donkó Rita</v>
      </c>
      <c r="C3214" s="1"/>
      <c r="D3214" s="1" t="str">
        <f ca="1">IFERROR(__xludf.DUMMYFUNCTION("""COMPUTED_VALUE"""),"Nő")</f>
        <v>Nő</v>
      </c>
      <c r="E3214" s="1"/>
      <c r="F3214" s="1">
        <f ca="1">IFERROR(__xludf.DUMMYFUNCTION("""COMPUTED_VALUE"""),1993)</f>
        <v>1993</v>
      </c>
      <c r="G3214" s="1">
        <f ca="1">IFERROR(__xludf.DUMMYFUNCTION("""COMPUTED_VALUE"""),1851)</f>
        <v>1851</v>
      </c>
      <c r="H3214" s="1" t="str">
        <f ca="1">IFERROR(__xludf.DUMMYFUNCTION("""COMPUTED_VALUE"""),"MTLSZ001851A08")</f>
        <v>MTLSZ001851A08</v>
      </c>
      <c r="I3214" s="2">
        <f ca="1">IFERROR(__xludf.DUMMYFUNCTION("""COMPUTED_VALUE"""),39771)</f>
        <v>39771</v>
      </c>
      <c r="J3214" s="2">
        <f ca="1">IFERROR(__xludf.DUMMYFUNCTION("""COMPUTED_VALUE"""),40135)</f>
        <v>40135</v>
      </c>
    </row>
    <row r="3215" spans="1:10" x14ac:dyDescent="0.25">
      <c r="A3215" s="1" t="str">
        <f ca="1">IFERROR(__xludf.DUMMYFUNCTION("""COMPUTED_VALUE"""),"Alba-Toll SE")</f>
        <v>Alba-Toll SE</v>
      </c>
      <c r="B3215" s="1" t="str">
        <f ca="1">IFERROR(__xludf.DUMMYFUNCTION("""COMPUTED_VALUE"""),"Kóger Kinga")</f>
        <v>Kóger Kinga</v>
      </c>
      <c r="C3215" s="1"/>
      <c r="D3215" s="1" t="str">
        <f ca="1">IFERROR(__xludf.DUMMYFUNCTION("""COMPUTED_VALUE"""),"Nő")</f>
        <v>Nő</v>
      </c>
      <c r="E3215" s="1"/>
      <c r="F3215" s="1">
        <f ca="1">IFERROR(__xludf.DUMMYFUNCTION("""COMPUTED_VALUE"""),1992)</f>
        <v>1992</v>
      </c>
      <c r="G3215" s="1">
        <f ca="1">IFERROR(__xludf.DUMMYFUNCTION("""COMPUTED_VALUE"""),1404)</f>
        <v>1404</v>
      </c>
      <c r="H3215" s="1" t="str">
        <f ca="1">IFERROR(__xludf.DUMMYFUNCTION("""COMPUTED_VALUE"""),"MTLSZ001404A08")</f>
        <v>MTLSZ001404A08</v>
      </c>
      <c r="I3215" s="2">
        <f ca="1">IFERROR(__xludf.DUMMYFUNCTION("""COMPUTED_VALUE"""),39771)</f>
        <v>39771</v>
      </c>
      <c r="J3215" s="2">
        <f ca="1">IFERROR(__xludf.DUMMYFUNCTION("""COMPUTED_VALUE"""),40135)</f>
        <v>40135</v>
      </c>
    </row>
    <row r="3216" spans="1:10" x14ac:dyDescent="0.25">
      <c r="A3216" s="1" t="str">
        <f ca="1">IFERROR(__xludf.DUMMYFUNCTION("""COMPUTED_VALUE"""),"Alba-Toll SE")</f>
        <v>Alba-Toll SE</v>
      </c>
      <c r="B3216" s="1" t="str">
        <f ca="1">IFERROR(__xludf.DUMMYFUNCTION("""COMPUTED_VALUE"""),"Nyírő Nándor")</f>
        <v>Nyírő Nándor</v>
      </c>
      <c r="C3216" s="1"/>
      <c r="D3216" s="1" t="str">
        <f ca="1">IFERROR(__xludf.DUMMYFUNCTION("""COMPUTED_VALUE"""),"Férfi")</f>
        <v>Férfi</v>
      </c>
      <c r="E3216" s="1"/>
      <c r="F3216" s="1">
        <f ca="1">IFERROR(__xludf.DUMMYFUNCTION("""COMPUTED_VALUE"""),1997)</f>
        <v>1997</v>
      </c>
      <c r="G3216" s="1">
        <f ca="1">IFERROR(__xludf.DUMMYFUNCTION("""COMPUTED_VALUE"""),1857)</f>
        <v>1857</v>
      </c>
      <c r="H3216" s="1" t="str">
        <f ca="1">IFERROR(__xludf.DUMMYFUNCTION("""COMPUTED_VALUE"""),"MTLSZ001857A08")</f>
        <v>MTLSZ001857A08</v>
      </c>
      <c r="I3216" s="2">
        <f ca="1">IFERROR(__xludf.DUMMYFUNCTION("""COMPUTED_VALUE"""),39771)</f>
        <v>39771</v>
      </c>
      <c r="J3216" s="2">
        <f ca="1">IFERROR(__xludf.DUMMYFUNCTION("""COMPUTED_VALUE"""),40135)</f>
        <v>40135</v>
      </c>
    </row>
    <row r="3217" spans="1:10" x14ac:dyDescent="0.25">
      <c r="A3217" s="1" t="str">
        <f ca="1">IFERROR(__xludf.DUMMYFUNCTION("""COMPUTED_VALUE"""),"Alba-Toll SE")</f>
        <v>Alba-Toll SE</v>
      </c>
      <c r="B3217" s="1" t="str">
        <f ca="1">IFERROR(__xludf.DUMMYFUNCTION("""COMPUTED_VALUE"""),"Oláh Viktória")</f>
        <v>Oláh Viktória</v>
      </c>
      <c r="C3217" s="1"/>
      <c r="D3217" s="1" t="str">
        <f ca="1">IFERROR(__xludf.DUMMYFUNCTION("""COMPUTED_VALUE"""),"Nő")</f>
        <v>Nő</v>
      </c>
      <c r="E3217" s="1"/>
      <c r="F3217" s="1">
        <f ca="1">IFERROR(__xludf.DUMMYFUNCTION("""COMPUTED_VALUE"""),1992)</f>
        <v>1992</v>
      </c>
      <c r="G3217" s="1">
        <f ca="1">IFERROR(__xludf.DUMMYFUNCTION("""COMPUTED_VALUE"""),1850)</f>
        <v>1850</v>
      </c>
      <c r="H3217" s="1" t="str">
        <f ca="1">IFERROR(__xludf.DUMMYFUNCTION("""COMPUTED_VALUE"""),"MTLSZ001850A08")</f>
        <v>MTLSZ001850A08</v>
      </c>
      <c r="I3217" s="2">
        <f ca="1">IFERROR(__xludf.DUMMYFUNCTION("""COMPUTED_VALUE"""),39771)</f>
        <v>39771</v>
      </c>
      <c r="J3217" s="2">
        <f ca="1">IFERROR(__xludf.DUMMYFUNCTION("""COMPUTED_VALUE"""),40135)</f>
        <v>40135</v>
      </c>
    </row>
    <row r="3218" spans="1:10" x14ac:dyDescent="0.25">
      <c r="A3218" s="1" t="str">
        <f ca="1">IFERROR(__xludf.DUMMYFUNCTION("""COMPUTED_VALUE"""),"Alba-Toll SE")</f>
        <v>Alba-Toll SE</v>
      </c>
      <c r="B3218" s="1" t="str">
        <f ca="1">IFERROR(__xludf.DUMMYFUNCTION("""COMPUTED_VALUE"""),"Simon Adrienn")</f>
        <v>Simon Adrienn</v>
      </c>
      <c r="C3218" s="1"/>
      <c r="D3218" s="1" t="str">
        <f ca="1">IFERROR(__xludf.DUMMYFUNCTION("""COMPUTED_VALUE"""),"Nő")</f>
        <v>Nő</v>
      </c>
      <c r="E3218" s="1"/>
      <c r="F3218" s="1">
        <f ca="1">IFERROR(__xludf.DUMMYFUNCTION("""COMPUTED_VALUE"""),1995)</f>
        <v>1995</v>
      </c>
      <c r="G3218" s="1">
        <f ca="1">IFERROR(__xludf.DUMMYFUNCTION("""COMPUTED_VALUE"""),1525)</f>
        <v>1525</v>
      </c>
      <c r="H3218" s="1" t="str">
        <f ca="1">IFERROR(__xludf.DUMMYFUNCTION("""COMPUTED_VALUE"""),"MTLSZ001525A08")</f>
        <v>MTLSZ001525A08</v>
      </c>
      <c r="I3218" s="2">
        <f ca="1">IFERROR(__xludf.DUMMYFUNCTION("""COMPUTED_VALUE"""),39771)</f>
        <v>39771</v>
      </c>
      <c r="J3218" s="2">
        <f ca="1">IFERROR(__xludf.DUMMYFUNCTION("""COMPUTED_VALUE"""),40135)</f>
        <v>40135</v>
      </c>
    </row>
    <row r="3219" spans="1:10" x14ac:dyDescent="0.25">
      <c r="A3219" s="1" t="str">
        <f ca="1">IFERROR(__xludf.DUMMYFUNCTION("""COMPUTED_VALUE"""),"Klébi DSE")</f>
        <v>Klébi DSE</v>
      </c>
      <c r="B3219" s="1" t="str">
        <f ca="1">IFERROR(__xludf.DUMMYFUNCTION("""COMPUTED_VALUE"""),"Medgyesi Attila")</f>
        <v>Medgyesi Attila</v>
      </c>
      <c r="C3219" s="1"/>
      <c r="D3219" s="1" t="str">
        <f ca="1">IFERROR(__xludf.DUMMYFUNCTION("""COMPUTED_VALUE"""),"Férfi")</f>
        <v>Férfi</v>
      </c>
      <c r="E3219" s="1"/>
      <c r="F3219" s="1">
        <f ca="1">IFERROR(__xludf.DUMMYFUNCTION("""COMPUTED_VALUE"""),1996)</f>
        <v>1996</v>
      </c>
      <c r="G3219" s="1">
        <f ca="1">IFERROR(__xludf.DUMMYFUNCTION("""COMPUTED_VALUE"""),1867)</f>
        <v>1867</v>
      </c>
      <c r="H3219" s="1" t="str">
        <f ca="1">IFERROR(__xludf.DUMMYFUNCTION("""COMPUTED_VALUE"""),"MTLSZ001867A08")</f>
        <v>MTLSZ001867A08</v>
      </c>
      <c r="I3219" s="2">
        <f ca="1">IFERROR(__xludf.DUMMYFUNCTION("""COMPUTED_VALUE"""),39771)</f>
        <v>39771</v>
      </c>
      <c r="J3219" s="2">
        <f ca="1">IFERROR(__xludf.DUMMYFUNCTION("""COMPUTED_VALUE"""),40135)</f>
        <v>40135</v>
      </c>
    </row>
    <row r="3220" spans="1:10" x14ac:dyDescent="0.25">
      <c r="A3220" s="1" t="str">
        <f ca="1">IFERROR(__xludf.DUMMYFUNCTION("""COMPUTED_VALUE"""),"Pedagógus Fáklya SE")</f>
        <v>Pedagógus Fáklya SE</v>
      </c>
      <c r="B3220" s="1" t="str">
        <f ca="1">IFERROR(__xludf.DUMMYFUNCTION("""COMPUTED_VALUE"""),"Harkai Adrienn")</f>
        <v>Harkai Adrienn</v>
      </c>
      <c r="C3220" s="1"/>
      <c r="D3220" s="1" t="str">
        <f ca="1">IFERROR(__xludf.DUMMYFUNCTION("""COMPUTED_VALUE"""),"Nő")</f>
        <v>Nő</v>
      </c>
      <c r="E3220" s="1"/>
      <c r="F3220" s="1">
        <f ca="1">IFERROR(__xludf.DUMMYFUNCTION("""COMPUTED_VALUE"""),1992)</f>
        <v>1992</v>
      </c>
      <c r="G3220" s="1">
        <f ca="1">IFERROR(__xludf.DUMMYFUNCTION("""COMPUTED_VALUE"""),1456)</f>
        <v>1456</v>
      </c>
      <c r="H3220" s="1" t="str">
        <f ca="1">IFERROR(__xludf.DUMMYFUNCTION("""COMPUTED_VALUE"""),"MTLSZ001456A08")</f>
        <v>MTLSZ001456A08</v>
      </c>
      <c r="I3220" s="2">
        <f ca="1">IFERROR(__xludf.DUMMYFUNCTION("""COMPUTED_VALUE"""),39770)</f>
        <v>39770</v>
      </c>
      <c r="J3220" s="2">
        <f ca="1">IFERROR(__xludf.DUMMYFUNCTION("""COMPUTED_VALUE"""),40134)</f>
        <v>40134</v>
      </c>
    </row>
    <row r="3221" spans="1:10" x14ac:dyDescent="0.25">
      <c r="A3221" s="1" t="str">
        <f ca="1">IFERROR(__xludf.DUMMYFUNCTION("""COMPUTED_VALUE"""),"Pedagógus Fáklya SE")</f>
        <v>Pedagógus Fáklya SE</v>
      </c>
      <c r="B3221" s="1" t="str">
        <f ca="1">IFERROR(__xludf.DUMMYFUNCTION("""COMPUTED_VALUE"""),"Holb Szabolcs")</f>
        <v>Holb Szabolcs</v>
      </c>
      <c r="C3221" s="1"/>
      <c r="D3221" s="1" t="str">
        <f ca="1">IFERROR(__xludf.DUMMYFUNCTION("""COMPUTED_VALUE"""),"Férfi")</f>
        <v>Férfi</v>
      </c>
      <c r="E3221" s="1"/>
      <c r="F3221" s="1">
        <f ca="1">IFERROR(__xludf.DUMMYFUNCTION("""COMPUTED_VALUE"""),1993)</f>
        <v>1993</v>
      </c>
      <c r="G3221" s="1">
        <f ca="1">IFERROR(__xludf.DUMMYFUNCTION("""COMPUTED_VALUE"""),1682)</f>
        <v>1682</v>
      </c>
      <c r="H3221" s="1" t="str">
        <f ca="1">IFERROR(__xludf.DUMMYFUNCTION("""COMPUTED_VALUE"""),"MTLSZ001682A08")</f>
        <v>MTLSZ001682A08</v>
      </c>
      <c r="I3221" s="2">
        <f ca="1">IFERROR(__xludf.DUMMYFUNCTION("""COMPUTED_VALUE"""),39770)</f>
        <v>39770</v>
      </c>
      <c r="J3221" s="2">
        <f ca="1">IFERROR(__xludf.DUMMYFUNCTION("""COMPUTED_VALUE"""),40134)</f>
        <v>40134</v>
      </c>
    </row>
    <row r="3222" spans="1:10" x14ac:dyDescent="0.25">
      <c r="A3222" s="1" t="str">
        <f ca="1">IFERROR(__xludf.DUMMYFUNCTION("""COMPUTED_VALUE"""),"Pedagógus Fáklya SE")</f>
        <v>Pedagógus Fáklya SE</v>
      </c>
      <c r="B3222" s="1" t="str">
        <f ca="1">IFERROR(__xludf.DUMMYFUNCTION("""COMPUTED_VALUE"""),"Oláh Krisztina")</f>
        <v>Oláh Krisztina</v>
      </c>
      <c r="C3222" s="1"/>
      <c r="D3222" s="1" t="str">
        <f ca="1">IFERROR(__xludf.DUMMYFUNCTION("""COMPUTED_VALUE"""),"Nő")</f>
        <v>Nő</v>
      </c>
      <c r="E3222" s="1"/>
      <c r="F3222" s="1">
        <f ca="1">IFERROR(__xludf.DUMMYFUNCTION("""COMPUTED_VALUE"""),1998)</f>
        <v>1998</v>
      </c>
      <c r="G3222" s="1">
        <f ca="1">IFERROR(__xludf.DUMMYFUNCTION("""COMPUTED_VALUE"""),1848)</f>
        <v>1848</v>
      </c>
      <c r="H3222" s="1" t="str">
        <f ca="1">IFERROR(__xludf.DUMMYFUNCTION("""COMPUTED_VALUE"""),"MTLSZ001848A08")</f>
        <v>MTLSZ001848A08</v>
      </c>
      <c r="I3222" s="2">
        <f ca="1">IFERROR(__xludf.DUMMYFUNCTION("""COMPUTED_VALUE"""),39770)</f>
        <v>39770</v>
      </c>
      <c r="J3222" s="2">
        <f ca="1">IFERROR(__xludf.DUMMYFUNCTION("""COMPUTED_VALUE"""),40134)</f>
        <v>40134</v>
      </c>
    </row>
    <row r="3223" spans="1:10" x14ac:dyDescent="0.25">
      <c r="A3223" s="1" t="str">
        <f ca="1">IFERROR(__xludf.DUMMYFUNCTION("""COMPUTED_VALUE"""),"#N/A")</f>
        <v>#N/A</v>
      </c>
      <c r="B3223" s="1" t="str">
        <f ca="1">IFERROR(__xludf.DUMMYFUNCTION("""COMPUTED_VALUE"""),"Merekva Erika")</f>
        <v>Merekva Erika</v>
      </c>
      <c r="C3223" s="1"/>
      <c r="D3223" s="1" t="str">
        <f ca="1">IFERROR(__xludf.DUMMYFUNCTION("""COMPUTED_VALUE"""),"Nő")</f>
        <v>Nő</v>
      </c>
      <c r="E3223" s="1"/>
      <c r="F3223" s="1">
        <f ca="1">IFERROR(__xludf.DUMMYFUNCTION("""COMPUTED_VALUE"""),1979)</f>
        <v>1979</v>
      </c>
      <c r="G3223" s="1">
        <f ca="1">IFERROR(__xludf.DUMMYFUNCTION("""COMPUTED_VALUE"""),1927)</f>
        <v>1927</v>
      </c>
      <c r="H3223" s="1" t="str">
        <f ca="1">IFERROR(__xludf.DUMMYFUNCTION("""COMPUTED_VALUE"""),"MTLSZ001927A08")</f>
        <v>MTLSZ001927A08</v>
      </c>
      <c r="I3223" s="2">
        <f ca="1">IFERROR(__xludf.DUMMYFUNCTION("""COMPUTED_VALUE"""),39769)</f>
        <v>39769</v>
      </c>
      <c r="J3223" s="2">
        <f ca="1">IFERROR(__xludf.DUMMYFUNCTION("""COMPUTED_VALUE"""),40133)</f>
        <v>40133</v>
      </c>
    </row>
    <row r="3224" spans="1:10" x14ac:dyDescent="0.25">
      <c r="A3224" s="1" t="str">
        <f ca="1">IFERROR(__xludf.DUMMYFUNCTION("""COMPUTED_VALUE"""),"BTBK")</f>
        <v>BTBK</v>
      </c>
      <c r="B3224" s="1" t="str">
        <f ca="1">IFERROR(__xludf.DUMMYFUNCTION("""COMPUTED_VALUE"""),"Fitos Tamás")</f>
        <v>Fitos Tamás</v>
      </c>
      <c r="C3224" s="1"/>
      <c r="D3224" s="1" t="str">
        <f ca="1">IFERROR(__xludf.DUMMYFUNCTION("""COMPUTED_VALUE"""),"Férfi")</f>
        <v>Férfi</v>
      </c>
      <c r="E3224" s="1"/>
      <c r="F3224" s="1">
        <f ca="1">IFERROR(__xludf.DUMMYFUNCTION("""COMPUTED_VALUE"""),1965)</f>
        <v>1965</v>
      </c>
      <c r="G3224" s="1">
        <f ca="1">IFERROR(__xludf.DUMMYFUNCTION("""COMPUTED_VALUE"""),1308)</f>
        <v>1308</v>
      </c>
      <c r="H3224" s="1" t="str">
        <f ca="1">IFERROR(__xludf.DUMMYFUNCTION("""COMPUTED_VALUE"""),"MTLSZ001308A08")</f>
        <v>MTLSZ001308A08</v>
      </c>
      <c r="I3224" s="2">
        <f ca="1">IFERROR(__xludf.DUMMYFUNCTION("""COMPUTED_VALUE"""),39765)</f>
        <v>39765</v>
      </c>
      <c r="J3224" s="2">
        <f ca="1">IFERROR(__xludf.DUMMYFUNCTION("""COMPUTED_VALUE"""),40129)</f>
        <v>40129</v>
      </c>
    </row>
    <row r="3225" spans="1:10" x14ac:dyDescent="0.25">
      <c r="A3225" s="1" t="str">
        <f ca="1">IFERROR(__xludf.DUMMYFUNCTION("""COMPUTED_VALUE"""),"BTBK")</f>
        <v>BTBK</v>
      </c>
      <c r="B3225" s="1" t="str">
        <f ca="1">IFERROR(__xludf.DUMMYFUNCTION("""COMPUTED_VALUE"""),"Matijás Zorán")</f>
        <v>Matijás Zorán</v>
      </c>
      <c r="C3225" s="1"/>
      <c r="D3225" s="1" t="str">
        <f ca="1">IFERROR(__xludf.DUMMYFUNCTION("""COMPUTED_VALUE"""),"Férfi")</f>
        <v>Férfi</v>
      </c>
      <c r="E3225" s="1"/>
      <c r="F3225" s="1">
        <f ca="1">IFERROR(__xludf.DUMMYFUNCTION("""COMPUTED_VALUE"""),1972)</f>
        <v>1972</v>
      </c>
      <c r="G3225" s="1">
        <f ca="1">IFERROR(__xludf.DUMMYFUNCTION("""COMPUTED_VALUE"""),624)</f>
        <v>624</v>
      </c>
      <c r="H3225" s="1" t="str">
        <f ca="1">IFERROR(__xludf.DUMMYFUNCTION("""COMPUTED_VALUE"""),"MTLSZ000624A08")</f>
        <v>MTLSZ000624A08</v>
      </c>
      <c r="I3225" s="2">
        <f ca="1">IFERROR(__xludf.DUMMYFUNCTION("""COMPUTED_VALUE"""),39765)</f>
        <v>39765</v>
      </c>
      <c r="J3225" s="2">
        <f ca="1">IFERROR(__xludf.DUMMYFUNCTION("""COMPUTED_VALUE"""),40129)</f>
        <v>40129</v>
      </c>
    </row>
    <row r="3226" spans="1:10" x14ac:dyDescent="0.25">
      <c r="A3226" s="1" t="str">
        <f ca="1">IFERROR(__xludf.DUMMYFUNCTION("""COMPUTED_VALUE"""),"Multi Alarm SE")</f>
        <v>Multi Alarm SE</v>
      </c>
      <c r="B3226" s="1" t="str">
        <f ca="1">IFERROR(__xludf.DUMMYFUNCTION("""COMPUTED_VALUE"""),"Cser Eszter")</f>
        <v>Cser Eszter</v>
      </c>
      <c r="C3226" s="1"/>
      <c r="D3226" s="1" t="str">
        <f ca="1">IFERROR(__xludf.DUMMYFUNCTION("""COMPUTED_VALUE"""),"Nő")</f>
        <v>Nő</v>
      </c>
      <c r="E3226" s="1"/>
      <c r="F3226" s="1">
        <f ca="1">IFERROR(__xludf.DUMMYFUNCTION("""COMPUTED_VALUE"""),1987)</f>
        <v>1987</v>
      </c>
      <c r="G3226" s="1">
        <f ca="1">IFERROR(__xludf.DUMMYFUNCTION("""COMPUTED_VALUE"""),137)</f>
        <v>137</v>
      </c>
      <c r="H3226" s="1" t="str">
        <f ca="1">IFERROR(__xludf.DUMMYFUNCTION("""COMPUTED_VALUE"""),"MTLSZ000137A08")</f>
        <v>MTLSZ000137A08</v>
      </c>
      <c r="I3226" s="2">
        <f ca="1">IFERROR(__xludf.DUMMYFUNCTION("""COMPUTED_VALUE"""),39764)</f>
        <v>39764</v>
      </c>
      <c r="J3226" s="2">
        <f ca="1">IFERROR(__xludf.DUMMYFUNCTION("""COMPUTED_VALUE"""),40128)</f>
        <v>40128</v>
      </c>
    </row>
    <row r="3227" spans="1:10" x14ac:dyDescent="0.25">
      <c r="A3227" s="1" t="str">
        <f ca="1">IFERROR(__xludf.DUMMYFUNCTION("""COMPUTED_VALUE"""),"#N/A")</f>
        <v>#N/A</v>
      </c>
      <c r="B3227" s="1" t="str">
        <f ca="1">IFERROR(__xludf.DUMMYFUNCTION("""COMPUTED_VALUE"""),"Bojtor Éva")</f>
        <v>Bojtor Éva</v>
      </c>
      <c r="C3227" s="1"/>
      <c r="D3227" s="1" t="str">
        <f ca="1">IFERROR(__xludf.DUMMYFUNCTION("""COMPUTED_VALUE"""),"Nő")</f>
        <v>Nő</v>
      </c>
      <c r="E3227" s="1"/>
      <c r="F3227" s="1">
        <f ca="1">IFERROR(__xludf.DUMMYFUNCTION("""COMPUTED_VALUE"""),1980)</f>
        <v>1980</v>
      </c>
      <c r="G3227" s="1">
        <f ca="1">IFERROR(__xludf.DUMMYFUNCTION("""COMPUTED_VALUE"""),1465)</f>
        <v>1465</v>
      </c>
      <c r="H3227" s="1" t="str">
        <f ca="1">IFERROR(__xludf.DUMMYFUNCTION("""COMPUTED_VALUE"""),"MTLSZ001465A08")</f>
        <v>MTLSZ001465A08</v>
      </c>
      <c r="I3227" s="2">
        <f ca="1">IFERROR(__xludf.DUMMYFUNCTION("""COMPUTED_VALUE"""),39764)</f>
        <v>39764</v>
      </c>
      <c r="J3227" s="2">
        <f ca="1">IFERROR(__xludf.DUMMYFUNCTION("""COMPUTED_VALUE"""),40128)</f>
        <v>40128</v>
      </c>
    </row>
    <row r="3228" spans="1:10" x14ac:dyDescent="0.25">
      <c r="A3228" s="1" t="str">
        <f ca="1">IFERROR(__xludf.DUMMYFUNCTION("""COMPUTED_VALUE"""),"Diaboló SE")</f>
        <v>Diaboló SE</v>
      </c>
      <c r="B3228" s="1" t="str">
        <f ca="1">IFERROR(__xludf.DUMMYFUNCTION("""COMPUTED_VALUE"""),"Kónya Zoltán")</f>
        <v>Kónya Zoltán</v>
      </c>
      <c r="C3228" s="1"/>
      <c r="D3228" s="1" t="str">
        <f ca="1">IFERROR(__xludf.DUMMYFUNCTION("""COMPUTED_VALUE"""),"Férfi")</f>
        <v>Férfi</v>
      </c>
      <c r="E3228" s="1"/>
      <c r="F3228" s="1">
        <f ca="1">IFERROR(__xludf.DUMMYFUNCTION("""COMPUTED_VALUE"""),1971)</f>
        <v>1971</v>
      </c>
      <c r="G3228" s="1">
        <f ca="1">IFERROR(__xludf.DUMMYFUNCTION("""COMPUTED_VALUE"""),518)</f>
        <v>518</v>
      </c>
      <c r="H3228" s="1" t="str">
        <f ca="1">IFERROR(__xludf.DUMMYFUNCTION("""COMPUTED_VALUE"""),"MTLSZ000518A08")</f>
        <v>MTLSZ000518A08</v>
      </c>
      <c r="I3228" s="2">
        <f ca="1">IFERROR(__xludf.DUMMYFUNCTION("""COMPUTED_VALUE"""),39763)</f>
        <v>39763</v>
      </c>
      <c r="J3228" s="2">
        <f ca="1">IFERROR(__xludf.DUMMYFUNCTION("""COMPUTED_VALUE"""),40127)</f>
        <v>40127</v>
      </c>
    </row>
    <row r="3229" spans="1:10" x14ac:dyDescent="0.25">
      <c r="A3229" s="1" t="str">
        <f ca="1">IFERROR(__xludf.DUMMYFUNCTION("""COMPUTED_VALUE"""),"Dunakanyar TSE")</f>
        <v>Dunakanyar TSE</v>
      </c>
      <c r="B3229" s="1" t="str">
        <f ca="1">IFERROR(__xludf.DUMMYFUNCTION("""COMPUTED_VALUE"""),"Kecskés Róbert")</f>
        <v>Kecskés Róbert</v>
      </c>
      <c r="C3229" s="1"/>
      <c r="D3229" s="1" t="str">
        <f ca="1">IFERROR(__xludf.DUMMYFUNCTION("""COMPUTED_VALUE"""),"Férfi")</f>
        <v>Férfi</v>
      </c>
      <c r="E3229" s="1"/>
      <c r="F3229" s="1">
        <f ca="1">IFERROR(__xludf.DUMMYFUNCTION("""COMPUTED_VALUE"""),1973)</f>
        <v>1973</v>
      </c>
      <c r="G3229" s="1">
        <f ca="1">IFERROR(__xludf.DUMMYFUNCTION("""COMPUTED_VALUE"""),445)</f>
        <v>445</v>
      </c>
      <c r="H3229" s="1" t="str">
        <f ca="1">IFERROR(__xludf.DUMMYFUNCTION("""COMPUTED_VALUE"""),"MTLSZ000445A08")</f>
        <v>MTLSZ000445A08</v>
      </c>
      <c r="I3229" s="2">
        <f ca="1">IFERROR(__xludf.DUMMYFUNCTION("""COMPUTED_VALUE"""),39763)</f>
        <v>39763</v>
      </c>
      <c r="J3229" s="2">
        <f ca="1">IFERROR(__xludf.DUMMYFUNCTION("""COMPUTED_VALUE"""),40127)</f>
        <v>40127</v>
      </c>
    </row>
    <row r="3230" spans="1:10" x14ac:dyDescent="0.25">
      <c r="A3230" s="1" t="str">
        <f ca="1">IFERROR(__xludf.DUMMYFUNCTION("""COMPUTED_VALUE"""),"Dunakanyar TSE")</f>
        <v>Dunakanyar TSE</v>
      </c>
      <c r="B3230" s="1" t="str">
        <f ca="1">IFERROR(__xludf.DUMMYFUNCTION("""COMPUTED_VALUE"""),"Sturcz Anikó")</f>
        <v>Sturcz Anikó</v>
      </c>
      <c r="C3230" s="1"/>
      <c r="D3230" s="1" t="str">
        <f ca="1">IFERROR(__xludf.DUMMYFUNCTION("""COMPUTED_VALUE"""),"Nő")</f>
        <v>Nő</v>
      </c>
      <c r="E3230" s="1"/>
      <c r="F3230" s="1">
        <f ca="1">IFERROR(__xludf.DUMMYFUNCTION("""COMPUTED_VALUE"""),1989)</f>
        <v>1989</v>
      </c>
      <c r="G3230" s="1">
        <f ca="1">IFERROR(__xludf.DUMMYFUNCTION("""COMPUTED_VALUE"""),1924)</f>
        <v>1924</v>
      </c>
      <c r="H3230" s="1" t="str">
        <f ca="1">IFERROR(__xludf.DUMMYFUNCTION("""COMPUTED_VALUE"""),"MTLSZ001924A08")</f>
        <v>MTLSZ001924A08</v>
      </c>
      <c r="I3230" s="2">
        <f ca="1">IFERROR(__xludf.DUMMYFUNCTION("""COMPUTED_VALUE"""),39763)</f>
        <v>39763</v>
      </c>
      <c r="J3230" s="2">
        <f ca="1">IFERROR(__xludf.DUMMYFUNCTION("""COMPUTED_VALUE"""),40127)</f>
        <v>40127</v>
      </c>
    </row>
    <row r="3231" spans="1:10" x14ac:dyDescent="0.25">
      <c r="A3231" s="1" t="str">
        <f ca="1">IFERROR(__xludf.DUMMYFUNCTION("""COMPUTED_VALUE"""),"Veszprémi Sasok BC")</f>
        <v>Veszprémi Sasok BC</v>
      </c>
      <c r="B3231" s="1" t="str">
        <f ca="1">IFERROR(__xludf.DUMMYFUNCTION("""COMPUTED_VALUE"""),"Jan Fil")</f>
        <v>Jan Fil</v>
      </c>
      <c r="C3231" s="1"/>
      <c r="D3231" s="1" t="str">
        <f ca="1">IFERROR(__xludf.DUMMYFUNCTION("""COMPUTED_VALUE"""),"Férfi")</f>
        <v>Férfi</v>
      </c>
      <c r="E3231" s="1"/>
      <c r="F3231" s="1">
        <f ca="1">IFERROR(__xludf.DUMMYFUNCTION("""COMPUTED_VALUE"""),1978)</f>
        <v>1978</v>
      </c>
      <c r="G3231" s="1">
        <f ca="1">IFERROR(__xludf.DUMMYFUNCTION("""COMPUTED_VALUE"""),1993)</f>
        <v>1993</v>
      </c>
      <c r="H3231" s="1" t="str">
        <f ca="1">IFERROR(__xludf.DUMMYFUNCTION("""COMPUTED_VALUE"""),"MTLSZ001993A09")</f>
        <v>MTLSZ001993A09</v>
      </c>
      <c r="I3231" s="2">
        <f ca="1">IFERROR(__xludf.DUMMYFUNCTION("""COMPUTED_VALUE"""),40122)</f>
        <v>40122</v>
      </c>
      <c r="J3231" s="2">
        <f ca="1">IFERROR(__xludf.DUMMYFUNCTION("""COMPUTED_VALUE"""),40125)</f>
        <v>40125</v>
      </c>
    </row>
    <row r="3232" spans="1:10" x14ac:dyDescent="0.25">
      <c r="A3232" s="1" t="str">
        <f ca="1">IFERROR(__xludf.DUMMYFUNCTION("""COMPUTED_VALUE"""),"Ságvári DSE")</f>
        <v>Ságvári DSE</v>
      </c>
      <c r="B3232" s="1" t="str">
        <f ca="1">IFERROR(__xludf.DUMMYFUNCTION("""COMPUTED_VALUE"""),"Szücs Ármin")</f>
        <v>Szücs Ármin</v>
      </c>
      <c r="C3232" s="1"/>
      <c r="D3232" s="1" t="str">
        <f ca="1">IFERROR(__xludf.DUMMYFUNCTION("""COMPUTED_VALUE"""),"Férfi")</f>
        <v>Férfi</v>
      </c>
      <c r="E3232" s="1"/>
      <c r="F3232" s="1">
        <f ca="1">IFERROR(__xludf.DUMMYFUNCTION("""COMPUTED_VALUE"""),1998)</f>
        <v>1998</v>
      </c>
      <c r="G3232" s="1">
        <f ca="1">IFERROR(__xludf.DUMMYFUNCTION("""COMPUTED_VALUE"""),1921)</f>
        <v>1921</v>
      </c>
      <c r="H3232" s="1" t="str">
        <f ca="1">IFERROR(__xludf.DUMMYFUNCTION("""COMPUTED_VALUE"""),"MTLSZ001921A08")</f>
        <v>MTLSZ001921A08</v>
      </c>
      <c r="I3232" s="2">
        <f ca="1">IFERROR(__xludf.DUMMYFUNCTION("""COMPUTED_VALUE"""),39756)</f>
        <v>39756</v>
      </c>
      <c r="J3232" s="2">
        <f ca="1">IFERROR(__xludf.DUMMYFUNCTION("""COMPUTED_VALUE"""),40120)</f>
        <v>40120</v>
      </c>
    </row>
    <row r="3233" spans="1:10" x14ac:dyDescent="0.25">
      <c r="A3233" s="1" t="str">
        <f ca="1">IFERROR(__xludf.DUMMYFUNCTION("""COMPUTED_VALUE"""),"Alba-Toll SE")</f>
        <v>Alba-Toll SE</v>
      </c>
      <c r="B3233" s="1" t="str">
        <f ca="1">IFERROR(__xludf.DUMMYFUNCTION("""COMPUTED_VALUE"""),"Strommer Noémi")</f>
        <v>Strommer Noémi</v>
      </c>
      <c r="C3233" s="1"/>
      <c r="D3233" s="1" t="str">
        <f ca="1">IFERROR(__xludf.DUMMYFUNCTION("""COMPUTED_VALUE"""),"Nő")</f>
        <v>Nő</v>
      </c>
      <c r="E3233" s="1"/>
      <c r="F3233" s="1">
        <f ca="1">IFERROR(__xludf.DUMMYFUNCTION("""COMPUTED_VALUE"""),1996)</f>
        <v>1996</v>
      </c>
      <c r="G3233" s="1">
        <f ca="1">IFERROR(__xludf.DUMMYFUNCTION("""COMPUTED_VALUE"""),1531)</f>
        <v>1531</v>
      </c>
      <c r="H3233" s="1" t="str">
        <f ca="1">IFERROR(__xludf.DUMMYFUNCTION("""COMPUTED_VALUE"""),"MTLSZ001531A08")</f>
        <v>MTLSZ001531A08</v>
      </c>
      <c r="I3233" s="2">
        <f ca="1">IFERROR(__xludf.DUMMYFUNCTION("""COMPUTED_VALUE"""),39743)</f>
        <v>39743</v>
      </c>
      <c r="J3233" s="2">
        <f ca="1">IFERROR(__xludf.DUMMYFUNCTION("""COMPUTED_VALUE"""),40107)</f>
        <v>40107</v>
      </c>
    </row>
    <row r="3234" spans="1:10" x14ac:dyDescent="0.25">
      <c r="A3234" s="1" t="str">
        <f ca="1">IFERROR(__xludf.DUMMYFUNCTION("""COMPUTED_VALUE"""),"DSK")</f>
        <v>DSK</v>
      </c>
      <c r="B3234" s="1" t="str">
        <f ca="1">IFERROR(__xludf.DUMMYFUNCTION("""COMPUTED_VALUE"""),"Bánfalvi László")</f>
        <v>Bánfalvi László</v>
      </c>
      <c r="C3234" s="1"/>
      <c r="D3234" s="1" t="str">
        <f ca="1">IFERROR(__xludf.DUMMYFUNCTION("""COMPUTED_VALUE"""),"Férfi")</f>
        <v>Férfi</v>
      </c>
      <c r="E3234" s="1"/>
      <c r="F3234" s="1">
        <f ca="1">IFERROR(__xludf.DUMMYFUNCTION("""COMPUTED_VALUE"""),1987)</f>
        <v>1987</v>
      </c>
      <c r="G3234" s="1">
        <f ca="1">IFERROR(__xludf.DUMMYFUNCTION("""COMPUTED_VALUE"""),47)</f>
        <v>47</v>
      </c>
      <c r="H3234" s="1" t="str">
        <f ca="1">IFERROR(__xludf.DUMMYFUNCTION("""COMPUTED_VALUE"""),"MTLSZ000047A08")</f>
        <v>MTLSZ000047A08</v>
      </c>
      <c r="I3234" s="2">
        <f ca="1">IFERROR(__xludf.DUMMYFUNCTION("""COMPUTED_VALUE"""),39741)</f>
        <v>39741</v>
      </c>
      <c r="J3234" s="2">
        <f ca="1">IFERROR(__xludf.DUMMYFUNCTION("""COMPUTED_VALUE"""),40105)</f>
        <v>40105</v>
      </c>
    </row>
    <row r="3235" spans="1:10" x14ac:dyDescent="0.25">
      <c r="A3235" s="1" t="str">
        <f ca="1">IFERROR(__xludf.DUMMYFUNCTION("""COMPUTED_VALUE"""),"DSK")</f>
        <v>DSK</v>
      </c>
      <c r="B3235" s="1" t="str">
        <f ca="1">IFERROR(__xludf.DUMMYFUNCTION("""COMPUTED_VALUE"""),"Halgas János")</f>
        <v>Halgas János</v>
      </c>
      <c r="C3235" s="1"/>
      <c r="D3235" s="1" t="str">
        <f ca="1">IFERROR(__xludf.DUMMYFUNCTION("""COMPUTED_VALUE"""),"Férfi")</f>
        <v>Férfi</v>
      </c>
      <c r="E3235" s="1"/>
      <c r="F3235" s="1">
        <f ca="1">IFERROR(__xludf.DUMMYFUNCTION("""COMPUTED_VALUE"""),1997)</f>
        <v>1997</v>
      </c>
      <c r="G3235" s="1">
        <f ca="1">IFERROR(__xludf.DUMMYFUNCTION("""COMPUTED_VALUE"""),1915)</f>
        <v>1915</v>
      </c>
      <c r="H3235" s="1" t="str">
        <f ca="1">IFERROR(__xludf.DUMMYFUNCTION("""COMPUTED_VALUE"""),"MTLSZ001915A08")</f>
        <v>MTLSZ001915A08</v>
      </c>
      <c r="I3235" s="2">
        <f ca="1">IFERROR(__xludf.DUMMYFUNCTION("""COMPUTED_VALUE"""),39741)</f>
        <v>39741</v>
      </c>
      <c r="J3235" s="2">
        <f ca="1">IFERROR(__xludf.DUMMYFUNCTION("""COMPUTED_VALUE"""),40105)</f>
        <v>40105</v>
      </c>
    </row>
    <row r="3236" spans="1:10" x14ac:dyDescent="0.25">
      <c r="A3236" s="1" t="str">
        <f ca="1">IFERROR(__xludf.DUMMYFUNCTION("""COMPUTED_VALUE"""),"DSK")</f>
        <v>DSK</v>
      </c>
      <c r="B3236" s="1" t="str">
        <f ca="1">IFERROR(__xludf.DUMMYFUNCTION("""COMPUTED_VALUE"""),"Katona Máté")</f>
        <v>Katona Máté</v>
      </c>
      <c r="C3236" s="1"/>
      <c r="D3236" s="1" t="str">
        <f ca="1">IFERROR(__xludf.DUMMYFUNCTION("""COMPUTED_VALUE"""),"Férfi")</f>
        <v>Férfi</v>
      </c>
      <c r="E3236" s="1"/>
      <c r="F3236" s="1">
        <f ca="1">IFERROR(__xludf.DUMMYFUNCTION("""COMPUTED_VALUE"""),1998)</f>
        <v>1998</v>
      </c>
      <c r="G3236" s="1">
        <f ca="1">IFERROR(__xludf.DUMMYFUNCTION("""COMPUTED_VALUE"""),1916)</f>
        <v>1916</v>
      </c>
      <c r="H3236" s="1" t="str">
        <f ca="1">IFERROR(__xludf.DUMMYFUNCTION("""COMPUTED_VALUE"""),"MTLSZ001916A08")</f>
        <v>MTLSZ001916A08</v>
      </c>
      <c r="I3236" s="2">
        <f ca="1">IFERROR(__xludf.DUMMYFUNCTION("""COMPUTED_VALUE"""),39741)</f>
        <v>39741</v>
      </c>
      <c r="J3236" s="2">
        <f ca="1">IFERROR(__xludf.DUMMYFUNCTION("""COMPUTED_VALUE"""),40105)</f>
        <v>40105</v>
      </c>
    </row>
    <row r="3237" spans="1:10" x14ac:dyDescent="0.25">
      <c r="A3237" s="1" t="str">
        <f ca="1">IFERROR(__xludf.DUMMYFUNCTION("""COMPUTED_VALUE"""),"Alba-Toll SE")</f>
        <v>Alba-Toll SE</v>
      </c>
      <c r="B3237" s="1" t="str">
        <f ca="1">IFERROR(__xludf.DUMMYFUNCTION("""COMPUTED_VALUE"""),"Hegyi Virág")</f>
        <v>Hegyi Virág</v>
      </c>
      <c r="C3237" s="1"/>
      <c r="D3237" s="1" t="str">
        <f ca="1">IFERROR(__xludf.DUMMYFUNCTION("""COMPUTED_VALUE"""),"Nő")</f>
        <v>Nő</v>
      </c>
      <c r="E3237" s="1"/>
      <c r="F3237" s="1">
        <f ca="1">IFERROR(__xludf.DUMMYFUNCTION("""COMPUTED_VALUE"""),1992)</f>
        <v>1992</v>
      </c>
      <c r="G3237" s="1">
        <f ca="1">IFERROR(__xludf.DUMMYFUNCTION("""COMPUTED_VALUE"""),1403)</f>
        <v>1403</v>
      </c>
      <c r="H3237" s="1" t="str">
        <f ca="1">IFERROR(__xludf.DUMMYFUNCTION("""COMPUTED_VALUE"""),"MTLSZ001403A08")</f>
        <v>MTLSZ001403A08</v>
      </c>
      <c r="I3237" s="2">
        <f ca="1">IFERROR(__xludf.DUMMYFUNCTION("""COMPUTED_VALUE"""),39723)</f>
        <v>39723</v>
      </c>
      <c r="J3237" s="2">
        <f ca="1">IFERROR(__xludf.DUMMYFUNCTION("""COMPUTED_VALUE"""),40087)</f>
        <v>40087</v>
      </c>
    </row>
    <row r="3238" spans="1:10" x14ac:dyDescent="0.25">
      <c r="A3238" s="1" t="str">
        <f ca="1">IFERROR(__xludf.DUMMYFUNCTION("""COMPUTED_VALUE"""),"Multi Alarm SE")</f>
        <v>Multi Alarm SE</v>
      </c>
      <c r="B3238" s="1" t="str">
        <f ca="1">IFERROR(__xludf.DUMMYFUNCTION("""COMPUTED_VALUE"""),"Mándó Ibolya Zsófia")</f>
        <v>Mándó Ibolya Zsófia</v>
      </c>
      <c r="C3238" s="1"/>
      <c r="D3238" s="1" t="str">
        <f ca="1">IFERROR(__xludf.DUMMYFUNCTION("""COMPUTED_VALUE"""),"Nő")</f>
        <v>Nő</v>
      </c>
      <c r="E3238" s="1"/>
      <c r="F3238" s="1">
        <f ca="1">IFERROR(__xludf.DUMMYFUNCTION("""COMPUTED_VALUE"""),1985)</f>
        <v>1985</v>
      </c>
      <c r="G3238" s="1">
        <f ca="1">IFERROR(__xludf.DUMMYFUNCTION("""COMPUTED_VALUE"""),612)</f>
        <v>612</v>
      </c>
      <c r="H3238" s="1" t="str">
        <f ca="1">IFERROR(__xludf.DUMMYFUNCTION("""COMPUTED_VALUE"""),"MTLSZ000612A08")</f>
        <v>MTLSZ000612A08</v>
      </c>
      <c r="I3238" s="2">
        <f ca="1">IFERROR(__xludf.DUMMYFUNCTION("""COMPUTED_VALUE"""),39723)</f>
        <v>39723</v>
      </c>
      <c r="J3238" s="2">
        <f ca="1">IFERROR(__xludf.DUMMYFUNCTION("""COMPUTED_VALUE"""),40087)</f>
        <v>40087</v>
      </c>
    </row>
    <row r="3239" spans="1:10" x14ac:dyDescent="0.25">
      <c r="A3239" s="1" t="str">
        <f ca="1">IFERROR(__xludf.DUMMYFUNCTION("""COMPUTED_VALUE"""),"#N/A")</f>
        <v>#N/A</v>
      </c>
      <c r="B3239" s="1" t="str">
        <f ca="1">IFERROR(__xludf.DUMMYFUNCTION("""COMPUTED_VALUE"""),"Czakó András")</f>
        <v>Czakó András</v>
      </c>
      <c r="C3239" s="1"/>
      <c r="D3239" s="1" t="str">
        <f ca="1">IFERROR(__xludf.DUMMYFUNCTION("""COMPUTED_VALUE"""),"Férfi")</f>
        <v>Férfi</v>
      </c>
      <c r="E3239" s="1"/>
      <c r="F3239" s="1">
        <f ca="1">IFERROR(__xludf.DUMMYFUNCTION("""COMPUTED_VALUE"""),1981)</f>
        <v>1981</v>
      </c>
      <c r="G3239" s="1">
        <f ca="1">IFERROR(__xludf.DUMMYFUNCTION("""COMPUTED_VALUE"""),1854)</f>
        <v>1854</v>
      </c>
      <c r="H3239" s="1" t="str">
        <f ca="1">IFERROR(__xludf.DUMMYFUNCTION("""COMPUTED_VALUE"""),"MTLSZ001854A08")</f>
        <v>MTLSZ001854A08</v>
      </c>
      <c r="I3239" s="2">
        <f ca="1">IFERROR(__xludf.DUMMYFUNCTION("""COMPUTED_VALUE"""),39723)</f>
        <v>39723</v>
      </c>
      <c r="J3239" s="2">
        <f ca="1">IFERROR(__xludf.DUMMYFUNCTION("""COMPUTED_VALUE"""),40087)</f>
        <v>40087</v>
      </c>
    </row>
    <row r="3240" spans="1:10" x14ac:dyDescent="0.25">
      <c r="A3240" s="1" t="str">
        <f ca="1">IFERROR(__xludf.DUMMYFUNCTION("""COMPUTED_VALUE"""),"#N/A")</f>
        <v>#N/A</v>
      </c>
      <c r="B3240" s="1" t="str">
        <f ca="1">IFERROR(__xludf.DUMMYFUNCTION("""COMPUTED_VALUE"""),"Nagy Norbert")</f>
        <v>Nagy Norbert</v>
      </c>
      <c r="C3240" s="1"/>
      <c r="D3240" s="1" t="str">
        <f ca="1">IFERROR(__xludf.DUMMYFUNCTION("""COMPUTED_VALUE"""),"Férfi")</f>
        <v>Férfi</v>
      </c>
      <c r="E3240" s="1"/>
      <c r="F3240" s="1">
        <f ca="1">IFERROR(__xludf.DUMMYFUNCTION("""COMPUTED_VALUE"""),1974)</f>
        <v>1974</v>
      </c>
      <c r="G3240" s="1">
        <f ca="1">IFERROR(__xludf.DUMMYFUNCTION("""COMPUTED_VALUE"""),690)</f>
        <v>690</v>
      </c>
      <c r="H3240" s="1" t="str">
        <f ca="1">IFERROR(__xludf.DUMMYFUNCTION("""COMPUTED_VALUE"""),"MTLSZ000690A08")</f>
        <v>MTLSZ000690A08</v>
      </c>
      <c r="I3240" s="2">
        <f ca="1">IFERROR(__xludf.DUMMYFUNCTION("""COMPUTED_VALUE"""),39723)</f>
        <v>39723</v>
      </c>
      <c r="J3240" s="2">
        <f ca="1">IFERROR(__xludf.DUMMYFUNCTION("""COMPUTED_VALUE"""),40087)</f>
        <v>40087</v>
      </c>
    </row>
    <row r="3241" spans="1:10" x14ac:dyDescent="0.25">
      <c r="A3241" s="1" t="str">
        <f ca="1">IFERROR(__xludf.DUMMYFUNCTION("""COMPUTED_VALUE"""),"#N/A")</f>
        <v>#N/A</v>
      </c>
      <c r="B3241" s="1" t="str">
        <f ca="1">IFERROR(__xludf.DUMMYFUNCTION("""COMPUTED_VALUE"""),"Palkovics Tamás")</f>
        <v>Palkovics Tamás</v>
      </c>
      <c r="C3241" s="1"/>
      <c r="D3241" s="1" t="str">
        <f ca="1">IFERROR(__xludf.DUMMYFUNCTION("""COMPUTED_VALUE"""),"Férfi")</f>
        <v>Férfi</v>
      </c>
      <c r="E3241" s="1"/>
      <c r="F3241" s="1">
        <f ca="1">IFERROR(__xludf.DUMMYFUNCTION("""COMPUTED_VALUE"""),1970)</f>
        <v>1970</v>
      </c>
      <c r="G3241" s="1">
        <f ca="1">IFERROR(__xludf.DUMMYFUNCTION("""COMPUTED_VALUE"""),737)</f>
        <v>737</v>
      </c>
      <c r="H3241" s="1" t="str">
        <f ca="1">IFERROR(__xludf.DUMMYFUNCTION("""COMPUTED_VALUE"""),"MTLSZ000737A08")</f>
        <v>MTLSZ000737A08</v>
      </c>
      <c r="I3241" s="2">
        <f ca="1">IFERROR(__xludf.DUMMYFUNCTION("""COMPUTED_VALUE"""),39723)</f>
        <v>39723</v>
      </c>
      <c r="J3241" s="2">
        <f ca="1">IFERROR(__xludf.DUMMYFUNCTION("""COMPUTED_VALUE"""),40087)</f>
        <v>40087</v>
      </c>
    </row>
    <row r="3242" spans="1:10" x14ac:dyDescent="0.25">
      <c r="A3242" s="1" t="str">
        <f ca="1">IFERROR(__xludf.DUMMYFUNCTION("""COMPUTED_VALUE"""),"#N/A")</f>
        <v>#N/A</v>
      </c>
      <c r="B3242" s="1" t="str">
        <f ca="1">IFERROR(__xludf.DUMMYFUNCTION("""COMPUTED_VALUE"""),"Rozsnyai Ágnes")</f>
        <v>Rozsnyai Ágnes</v>
      </c>
      <c r="C3242" s="1"/>
      <c r="D3242" s="1" t="str">
        <f ca="1">IFERROR(__xludf.DUMMYFUNCTION("""COMPUTED_VALUE"""),"Nő")</f>
        <v>Nő</v>
      </c>
      <c r="E3242" s="1"/>
      <c r="F3242" s="1">
        <f ca="1">IFERROR(__xludf.DUMMYFUNCTION("""COMPUTED_VALUE"""),1967)</f>
        <v>1967</v>
      </c>
      <c r="G3242" s="1">
        <f ca="1">IFERROR(__xludf.DUMMYFUNCTION("""COMPUTED_VALUE"""),821)</f>
        <v>821</v>
      </c>
      <c r="H3242" s="1" t="str">
        <f ca="1">IFERROR(__xludf.DUMMYFUNCTION("""COMPUTED_VALUE"""),"MTLSZ000821A08")</f>
        <v>MTLSZ000821A08</v>
      </c>
      <c r="I3242" s="2">
        <f ca="1">IFERROR(__xludf.DUMMYFUNCTION("""COMPUTED_VALUE"""),39723)</f>
        <v>39723</v>
      </c>
      <c r="J3242" s="2">
        <f ca="1">IFERROR(__xludf.DUMMYFUNCTION("""COMPUTED_VALUE"""),40087)</f>
        <v>40087</v>
      </c>
    </row>
    <row r="3243" spans="1:10" x14ac:dyDescent="0.25">
      <c r="A3243" s="1" t="str">
        <f ca="1">IFERROR(__xludf.DUMMYFUNCTION("""COMPUTED_VALUE"""),"DSK")</f>
        <v>DSK</v>
      </c>
      <c r="B3243" s="1" t="str">
        <f ca="1">IFERROR(__xludf.DUMMYFUNCTION("""COMPUTED_VALUE"""),"Fekete Roland")</f>
        <v>Fekete Roland</v>
      </c>
      <c r="C3243" s="1"/>
      <c r="D3243" s="1" t="str">
        <f ca="1">IFERROR(__xludf.DUMMYFUNCTION("""COMPUTED_VALUE"""),"Férfi")</f>
        <v>Férfi</v>
      </c>
      <c r="E3243" s="1"/>
      <c r="F3243" s="1">
        <f ca="1">IFERROR(__xludf.DUMMYFUNCTION("""COMPUTED_VALUE"""),1994)</f>
        <v>1994</v>
      </c>
      <c r="G3243" s="1">
        <f ca="1">IFERROR(__xludf.DUMMYFUNCTION("""COMPUTED_VALUE"""),1396)</f>
        <v>1396</v>
      </c>
      <c r="H3243" s="1" t="str">
        <f ca="1">IFERROR(__xludf.DUMMYFUNCTION("""COMPUTED_VALUE"""),"MTLSZ001396A08")</f>
        <v>MTLSZ001396A08</v>
      </c>
      <c r="I3243" s="2">
        <f ca="1">IFERROR(__xludf.DUMMYFUNCTION("""COMPUTED_VALUE"""),39715)</f>
        <v>39715</v>
      </c>
      <c r="J3243" s="2">
        <f ca="1">IFERROR(__xludf.DUMMYFUNCTION("""COMPUTED_VALUE"""),40079)</f>
        <v>40079</v>
      </c>
    </row>
    <row r="3244" spans="1:10" x14ac:dyDescent="0.25">
      <c r="A3244" s="1" t="str">
        <f ca="1">IFERROR(__xludf.DUMMYFUNCTION("""COMPUTED_VALUE"""),"NYVSC")</f>
        <v>NYVSC</v>
      </c>
      <c r="B3244" s="1" t="str">
        <f ca="1">IFERROR(__xludf.DUMMYFUNCTION("""COMPUTED_VALUE"""),"Katona Vilmos Marcell")</f>
        <v>Katona Vilmos Marcell</v>
      </c>
      <c r="C3244" s="1"/>
      <c r="D3244" s="1" t="str">
        <f ca="1">IFERROR(__xludf.DUMMYFUNCTION("""COMPUTED_VALUE"""),"Férfi")</f>
        <v>Férfi</v>
      </c>
      <c r="E3244" s="1"/>
      <c r="F3244" s="1">
        <f ca="1">IFERROR(__xludf.DUMMYFUNCTION("""COMPUTED_VALUE"""),1994)</f>
        <v>1994</v>
      </c>
      <c r="G3244" s="1">
        <f ca="1">IFERROR(__xludf.DUMMYFUNCTION("""COMPUTED_VALUE"""),1772)</f>
        <v>1772</v>
      </c>
      <c r="H3244" s="1" t="str">
        <f ca="1">IFERROR(__xludf.DUMMYFUNCTION("""COMPUTED_VALUE"""),"MTLSZ001772A08")</f>
        <v>MTLSZ001772A08</v>
      </c>
      <c r="I3244" s="2">
        <f ca="1">IFERROR(__xludf.DUMMYFUNCTION("""COMPUTED_VALUE"""),39707)</f>
        <v>39707</v>
      </c>
      <c r="J3244" s="2">
        <f ca="1">IFERROR(__xludf.DUMMYFUNCTION("""COMPUTED_VALUE"""),40071)</f>
        <v>40071</v>
      </c>
    </row>
    <row r="3245" spans="1:10" x14ac:dyDescent="0.25">
      <c r="A3245" s="1" t="str">
        <f ca="1">IFERROR(__xludf.DUMMYFUNCTION("""COMPUTED_VALUE"""),"NYVSC")</f>
        <v>NYVSC</v>
      </c>
      <c r="B3245" s="1" t="str">
        <f ca="1">IFERROR(__xludf.DUMMYFUNCTION("""COMPUTED_VALUE"""),"Sztankó Otília")</f>
        <v>Sztankó Otília</v>
      </c>
      <c r="C3245" s="1"/>
      <c r="D3245" s="1" t="str">
        <f ca="1">IFERROR(__xludf.DUMMYFUNCTION("""COMPUTED_VALUE"""),"Nő")</f>
        <v>Nő</v>
      </c>
      <c r="E3245" s="1"/>
      <c r="F3245" s="1">
        <f ca="1">IFERROR(__xludf.DUMMYFUNCTION("""COMPUTED_VALUE"""),1991)</f>
        <v>1991</v>
      </c>
      <c r="G3245" s="1">
        <f ca="1">IFERROR(__xludf.DUMMYFUNCTION("""COMPUTED_VALUE"""),1770)</f>
        <v>1770</v>
      </c>
      <c r="H3245" s="1" t="str">
        <f ca="1">IFERROR(__xludf.DUMMYFUNCTION("""COMPUTED_VALUE"""),"MTLSZ001770A08")</f>
        <v>MTLSZ001770A08</v>
      </c>
      <c r="I3245" s="2">
        <f ca="1">IFERROR(__xludf.DUMMYFUNCTION("""COMPUTED_VALUE"""),39707)</f>
        <v>39707</v>
      </c>
      <c r="J3245" s="2">
        <f ca="1">IFERROR(__xludf.DUMMYFUNCTION("""COMPUTED_VALUE"""),40071)</f>
        <v>40071</v>
      </c>
    </row>
    <row r="3246" spans="1:10" x14ac:dyDescent="0.25">
      <c r="A3246" s="1" t="str">
        <f ca="1">IFERROR(__xludf.DUMMYFUNCTION("""COMPUTED_VALUE"""),"Bodajki TSE")</f>
        <v>Bodajki TSE</v>
      </c>
      <c r="B3246" s="1" t="str">
        <f ca="1">IFERROR(__xludf.DUMMYFUNCTION("""COMPUTED_VALUE"""),"Dimovics Kinga")</f>
        <v>Dimovics Kinga</v>
      </c>
      <c r="C3246" s="1"/>
      <c r="D3246" s="1" t="str">
        <f ca="1">IFERROR(__xludf.DUMMYFUNCTION("""COMPUTED_VALUE"""),"Nő")</f>
        <v>Nő</v>
      </c>
      <c r="E3246" s="1"/>
      <c r="F3246" s="1">
        <f ca="1">IFERROR(__xludf.DUMMYFUNCTION("""COMPUTED_VALUE"""),1995)</f>
        <v>1995</v>
      </c>
      <c r="G3246" s="1">
        <f ca="1">IFERROR(__xludf.DUMMYFUNCTION("""COMPUTED_VALUE"""),1828)</f>
        <v>1828</v>
      </c>
      <c r="H3246" s="1" t="str">
        <f ca="1">IFERROR(__xludf.DUMMYFUNCTION("""COMPUTED_VALUE"""),"MTLSZ001828A08")</f>
        <v>MTLSZ001828A08</v>
      </c>
      <c r="I3246" s="2">
        <f ca="1">IFERROR(__xludf.DUMMYFUNCTION("""COMPUTED_VALUE"""),39706)</f>
        <v>39706</v>
      </c>
      <c r="J3246" s="2">
        <f ca="1">IFERROR(__xludf.DUMMYFUNCTION("""COMPUTED_VALUE"""),40070)</f>
        <v>40070</v>
      </c>
    </row>
    <row r="3247" spans="1:10" x14ac:dyDescent="0.25">
      <c r="A3247" s="1" t="str">
        <f ca="1">IFERROR(__xludf.DUMMYFUNCTION("""COMPUTED_VALUE"""),"Bodajki TSE")</f>
        <v>Bodajki TSE</v>
      </c>
      <c r="B3247" s="1" t="str">
        <f ca="1">IFERROR(__xludf.DUMMYFUNCTION("""COMPUTED_VALUE"""),"Grósz Bernadett")</f>
        <v>Grósz Bernadett</v>
      </c>
      <c r="C3247" s="1"/>
      <c r="D3247" s="1" t="str">
        <f ca="1">IFERROR(__xludf.DUMMYFUNCTION("""COMPUTED_VALUE"""),"Nő")</f>
        <v>Nő</v>
      </c>
      <c r="E3247" s="1"/>
      <c r="F3247" s="1">
        <f ca="1">IFERROR(__xludf.DUMMYFUNCTION("""COMPUTED_VALUE"""),1998)</f>
        <v>1998</v>
      </c>
      <c r="G3247" s="1">
        <f ca="1">IFERROR(__xludf.DUMMYFUNCTION("""COMPUTED_VALUE"""),1829)</f>
        <v>1829</v>
      </c>
      <c r="H3247" s="1" t="str">
        <f ca="1">IFERROR(__xludf.DUMMYFUNCTION("""COMPUTED_VALUE"""),"MTLSZ001829A08")</f>
        <v>MTLSZ001829A08</v>
      </c>
      <c r="I3247" s="2">
        <f ca="1">IFERROR(__xludf.DUMMYFUNCTION("""COMPUTED_VALUE"""),39706)</f>
        <v>39706</v>
      </c>
      <c r="J3247" s="2">
        <f ca="1">IFERROR(__xludf.DUMMYFUNCTION("""COMPUTED_VALUE"""),40070)</f>
        <v>40070</v>
      </c>
    </row>
    <row r="3248" spans="1:10" x14ac:dyDescent="0.25">
      <c r="A3248" s="1" t="str">
        <f ca="1">IFERROR(__xludf.DUMMYFUNCTION("""COMPUTED_VALUE"""),"Reac SE")</f>
        <v>Reac SE</v>
      </c>
      <c r="B3248" s="1" t="str">
        <f ca="1">IFERROR(__xludf.DUMMYFUNCTION("""COMPUTED_VALUE"""),"Sztojka Pál")</f>
        <v>Sztojka Pál</v>
      </c>
      <c r="C3248" s="1"/>
      <c r="D3248" s="1" t="str">
        <f ca="1">IFERROR(__xludf.DUMMYFUNCTION("""COMPUTED_VALUE"""),"Férfi")</f>
        <v>Férfi</v>
      </c>
      <c r="E3248" s="1"/>
      <c r="F3248" s="1">
        <f ca="1">IFERROR(__xludf.DUMMYFUNCTION("""COMPUTED_VALUE"""),1996)</f>
        <v>1996</v>
      </c>
      <c r="G3248" s="1">
        <f ca="1">IFERROR(__xludf.DUMMYFUNCTION("""COMPUTED_VALUE"""),1904)</f>
        <v>1904</v>
      </c>
      <c r="H3248" s="1" t="str">
        <f ca="1">IFERROR(__xludf.DUMMYFUNCTION("""COMPUTED_VALUE"""),"MTLSZ001904A08")</f>
        <v>MTLSZ001904A08</v>
      </c>
      <c r="I3248" s="2">
        <f ca="1">IFERROR(__xludf.DUMMYFUNCTION("""COMPUTED_VALUE"""),39703)</f>
        <v>39703</v>
      </c>
      <c r="J3248" s="2">
        <f ca="1">IFERROR(__xludf.DUMMYFUNCTION("""COMPUTED_VALUE"""),40067)</f>
        <v>40067</v>
      </c>
    </row>
    <row r="3249" spans="1:10" x14ac:dyDescent="0.25">
      <c r="A3249" s="1" t="str">
        <f ca="1">IFERROR(__xludf.DUMMYFUNCTION("""COMPUTED_VALUE"""),"Érdi VSE")</f>
        <v>Érdi VSE</v>
      </c>
      <c r="B3249" s="1" t="str">
        <f ca="1">IFERROR(__xludf.DUMMYFUNCTION("""COMPUTED_VALUE"""),"Szirmai László")</f>
        <v>Szirmai László</v>
      </c>
      <c r="C3249" s="1"/>
      <c r="D3249" s="1" t="str">
        <f ca="1">IFERROR(__xludf.DUMMYFUNCTION("""COMPUTED_VALUE"""),"Férfi")</f>
        <v>Férfi</v>
      </c>
      <c r="E3249" s="1"/>
      <c r="F3249" s="1">
        <f ca="1">IFERROR(__xludf.DUMMYFUNCTION("""COMPUTED_VALUE"""),1992)</f>
        <v>1992</v>
      </c>
      <c r="G3249" s="1">
        <f ca="1">IFERROR(__xludf.DUMMYFUNCTION("""COMPUTED_VALUE"""),1356)</f>
        <v>1356</v>
      </c>
      <c r="H3249" s="1" t="str">
        <f ca="1">IFERROR(__xludf.DUMMYFUNCTION("""COMPUTED_VALUE"""),"MTLSZ001356A08")</f>
        <v>MTLSZ001356A08</v>
      </c>
      <c r="I3249" s="2">
        <f ca="1">IFERROR(__xludf.DUMMYFUNCTION("""COMPUTED_VALUE"""),39702)</f>
        <v>39702</v>
      </c>
      <c r="J3249" s="2">
        <f ca="1">IFERROR(__xludf.DUMMYFUNCTION("""COMPUTED_VALUE"""),40066)</f>
        <v>40066</v>
      </c>
    </row>
    <row r="3250" spans="1:10" x14ac:dyDescent="0.25">
      <c r="A3250" s="1" t="str">
        <f ca="1">IFERROR(__xludf.DUMMYFUNCTION("""COMPUTED_VALUE"""),"Gyöngyösoroszi SK")</f>
        <v>Gyöngyösoroszi SK</v>
      </c>
      <c r="B3250" s="1" t="str">
        <f ca="1">IFERROR(__xludf.DUMMYFUNCTION("""COMPUTED_VALUE"""),"Rácz Jenő")</f>
        <v>Rácz Jenő</v>
      </c>
      <c r="C3250" s="1"/>
      <c r="D3250" s="1" t="str">
        <f ca="1">IFERROR(__xludf.DUMMYFUNCTION("""COMPUTED_VALUE"""),"Férfi")</f>
        <v>Férfi</v>
      </c>
      <c r="E3250" s="1"/>
      <c r="F3250" s="1">
        <f ca="1">IFERROR(__xludf.DUMMYFUNCTION("""COMPUTED_VALUE"""),1996)</f>
        <v>1996</v>
      </c>
      <c r="G3250" s="1">
        <f ca="1">IFERROR(__xludf.DUMMYFUNCTION("""COMPUTED_VALUE"""),1894)</f>
        <v>1894</v>
      </c>
      <c r="H3250" s="1" t="str">
        <f ca="1">IFERROR(__xludf.DUMMYFUNCTION("""COMPUTED_VALUE"""),"MTLSZ001894A08")</f>
        <v>MTLSZ001894A08</v>
      </c>
      <c r="I3250" s="2">
        <f ca="1">IFERROR(__xludf.DUMMYFUNCTION("""COMPUTED_VALUE"""),39702)</f>
        <v>39702</v>
      </c>
      <c r="J3250" s="2">
        <f ca="1">IFERROR(__xludf.DUMMYFUNCTION("""COMPUTED_VALUE"""),40066)</f>
        <v>40066</v>
      </c>
    </row>
    <row r="3251" spans="1:10" x14ac:dyDescent="0.25">
      <c r="A3251" s="1" t="str">
        <f ca="1">IFERROR(__xludf.DUMMYFUNCTION("""COMPUTED_VALUE"""),"Gyöngyösoroszi SK")</f>
        <v>Gyöngyösoroszi SK</v>
      </c>
      <c r="B3251" s="1" t="str">
        <f ca="1">IFERROR(__xludf.DUMMYFUNCTION("""COMPUTED_VALUE"""),"Tóth Gábor")</f>
        <v>Tóth Gábor</v>
      </c>
      <c r="C3251" s="1"/>
      <c r="D3251" s="1" t="str">
        <f ca="1">IFERROR(__xludf.DUMMYFUNCTION("""COMPUTED_VALUE"""),"Férfi")</f>
        <v>Férfi</v>
      </c>
      <c r="E3251" s="1"/>
      <c r="F3251" s="1">
        <f ca="1">IFERROR(__xludf.DUMMYFUNCTION("""COMPUTED_VALUE"""),1997)</f>
        <v>1997</v>
      </c>
      <c r="G3251" s="1">
        <f ca="1">IFERROR(__xludf.DUMMYFUNCTION("""COMPUTED_VALUE"""),1895)</f>
        <v>1895</v>
      </c>
      <c r="H3251" s="1" t="str">
        <f ca="1">IFERROR(__xludf.DUMMYFUNCTION("""COMPUTED_VALUE"""),"MTLSZ001895A08")</f>
        <v>MTLSZ001895A08</v>
      </c>
      <c r="I3251" s="2">
        <f ca="1">IFERROR(__xludf.DUMMYFUNCTION("""COMPUTED_VALUE"""),39702)</f>
        <v>39702</v>
      </c>
      <c r="J3251" s="2">
        <f ca="1">IFERROR(__xludf.DUMMYFUNCTION("""COMPUTED_VALUE"""),40066)</f>
        <v>40066</v>
      </c>
    </row>
    <row r="3252" spans="1:10" x14ac:dyDescent="0.25">
      <c r="A3252" s="1" t="str">
        <f ca="1">IFERROR(__xludf.DUMMYFUNCTION("""COMPUTED_VALUE"""),"Reac SE")</f>
        <v>Reac SE</v>
      </c>
      <c r="B3252" s="1" t="str">
        <f ca="1">IFERROR(__xludf.DUMMYFUNCTION("""COMPUTED_VALUE"""),"Laczkó Emese")</f>
        <v>Laczkó Emese</v>
      </c>
      <c r="C3252" s="1"/>
      <c r="D3252" s="1" t="str">
        <f ca="1">IFERROR(__xludf.DUMMYFUNCTION("""COMPUTED_VALUE"""),"Nő")</f>
        <v>Nő</v>
      </c>
      <c r="E3252" s="1"/>
      <c r="F3252" s="1">
        <f ca="1">IFERROR(__xludf.DUMMYFUNCTION("""COMPUTED_VALUE"""),1985)</f>
        <v>1985</v>
      </c>
      <c r="G3252" s="1">
        <f ca="1">IFERROR(__xludf.DUMMYFUNCTION("""COMPUTED_VALUE"""),563)</f>
        <v>563</v>
      </c>
      <c r="H3252" s="1" t="str">
        <f ca="1">IFERROR(__xludf.DUMMYFUNCTION("""COMPUTED_VALUE"""),"MTLSZ000563A08")</f>
        <v>MTLSZ000563A08</v>
      </c>
      <c r="I3252" s="2">
        <f ca="1">IFERROR(__xludf.DUMMYFUNCTION("""COMPUTED_VALUE"""),39702)</f>
        <v>39702</v>
      </c>
      <c r="J3252" s="2">
        <f ca="1">IFERROR(__xludf.DUMMYFUNCTION("""COMPUTED_VALUE"""),40066)</f>
        <v>40066</v>
      </c>
    </row>
    <row r="3253" spans="1:10" x14ac:dyDescent="0.25">
      <c r="A3253" s="1" t="str">
        <f ca="1">IFERROR(__xludf.DUMMYFUNCTION("""COMPUTED_VALUE"""),"Reac SE")</f>
        <v>Reac SE</v>
      </c>
      <c r="B3253" s="1" t="str">
        <f ca="1">IFERROR(__xludf.DUMMYFUNCTION("""COMPUTED_VALUE"""),"Schauer Balázs")</f>
        <v>Schauer Balázs</v>
      </c>
      <c r="C3253" s="1"/>
      <c r="D3253" s="1" t="str">
        <f ca="1">IFERROR(__xludf.DUMMYFUNCTION("""COMPUTED_VALUE"""),"Férfi")</f>
        <v>Férfi</v>
      </c>
      <c r="E3253" s="1"/>
      <c r="F3253" s="1">
        <f ca="1">IFERROR(__xludf.DUMMYFUNCTION("""COMPUTED_VALUE"""),1986)</f>
        <v>1986</v>
      </c>
      <c r="G3253" s="1">
        <f ca="1">IFERROR(__xludf.DUMMYFUNCTION("""COMPUTED_VALUE"""),838)</f>
        <v>838</v>
      </c>
      <c r="H3253" s="1" t="str">
        <f ca="1">IFERROR(__xludf.DUMMYFUNCTION("""COMPUTED_VALUE"""),"MTLSZ000838A08")</f>
        <v>MTLSZ000838A08</v>
      </c>
      <c r="I3253" s="2">
        <f ca="1">IFERROR(__xludf.DUMMYFUNCTION("""COMPUTED_VALUE"""),39702)</f>
        <v>39702</v>
      </c>
      <c r="J3253" s="2">
        <f ca="1">IFERROR(__xludf.DUMMYFUNCTION("""COMPUTED_VALUE"""),40066)</f>
        <v>40066</v>
      </c>
    </row>
    <row r="3254" spans="1:10" x14ac:dyDescent="0.25">
      <c r="A3254" s="1" t="str">
        <f ca="1">IFERROR(__xludf.DUMMYFUNCTION("""COMPUTED_VALUE"""),"DSC-SI")</f>
        <v>DSC-SI</v>
      </c>
      <c r="B3254" s="1" t="str">
        <f ca="1">IFERROR(__xludf.DUMMYFUNCTION("""COMPUTED_VALUE"""),"Magyar Balázs")</f>
        <v>Magyar Balázs</v>
      </c>
      <c r="C3254" s="1"/>
      <c r="D3254" s="1" t="str">
        <f ca="1">IFERROR(__xludf.DUMMYFUNCTION("""COMPUTED_VALUE"""),"Férfi")</f>
        <v>Férfi</v>
      </c>
      <c r="E3254" s="1"/>
      <c r="F3254" s="1">
        <f ca="1">IFERROR(__xludf.DUMMYFUNCTION("""COMPUTED_VALUE"""),1994)</f>
        <v>1994</v>
      </c>
      <c r="G3254" s="1">
        <f ca="1">IFERROR(__xludf.DUMMYFUNCTION("""COMPUTED_VALUE"""),1707)</f>
        <v>1707</v>
      </c>
      <c r="H3254" s="1" t="str">
        <f ca="1">IFERROR(__xludf.DUMMYFUNCTION("""COMPUTED_VALUE"""),"MTLSZ001707A08")</f>
        <v>MTLSZ001707A08</v>
      </c>
      <c r="I3254" s="2">
        <f ca="1">IFERROR(__xludf.DUMMYFUNCTION("""COMPUTED_VALUE"""),39701)</f>
        <v>39701</v>
      </c>
      <c r="J3254" s="2">
        <f ca="1">IFERROR(__xludf.DUMMYFUNCTION("""COMPUTED_VALUE"""),40065)</f>
        <v>40065</v>
      </c>
    </row>
    <row r="3255" spans="1:10" x14ac:dyDescent="0.25">
      <c r="A3255" s="1" t="str">
        <f ca="1">IFERROR(__xludf.DUMMYFUNCTION("""COMPUTED_VALUE"""),"DSC-SI")</f>
        <v>DSC-SI</v>
      </c>
      <c r="B3255" s="1" t="str">
        <f ca="1">IFERROR(__xludf.DUMMYFUNCTION("""COMPUTED_VALUE"""),"Tabaka Róbert")</f>
        <v>Tabaka Róbert</v>
      </c>
      <c r="C3255" s="1"/>
      <c r="D3255" s="1" t="str">
        <f ca="1">IFERROR(__xludf.DUMMYFUNCTION("""COMPUTED_VALUE"""),"Férfi")</f>
        <v>Férfi</v>
      </c>
      <c r="E3255" s="1"/>
      <c r="F3255" s="1">
        <f ca="1">IFERROR(__xludf.DUMMYFUNCTION("""COMPUTED_VALUE"""),1996)</f>
        <v>1996</v>
      </c>
      <c r="G3255" s="1">
        <f ca="1">IFERROR(__xludf.DUMMYFUNCTION("""COMPUTED_VALUE"""),1737)</f>
        <v>1737</v>
      </c>
      <c r="H3255" s="1" t="str">
        <f ca="1">IFERROR(__xludf.DUMMYFUNCTION("""COMPUTED_VALUE"""),"MTLSZ001737A08")</f>
        <v>MTLSZ001737A08</v>
      </c>
      <c r="I3255" s="2">
        <f ca="1">IFERROR(__xludf.DUMMYFUNCTION("""COMPUTED_VALUE"""),39701)</f>
        <v>39701</v>
      </c>
      <c r="J3255" s="2">
        <f ca="1">IFERROR(__xludf.DUMMYFUNCTION("""COMPUTED_VALUE"""),40065)</f>
        <v>40065</v>
      </c>
    </row>
    <row r="3256" spans="1:10" x14ac:dyDescent="0.25">
      <c r="A3256" s="1" t="str">
        <f ca="1">IFERROR(__xludf.DUMMYFUNCTION("""COMPUTED_VALUE"""),"Klébi DSE")</f>
        <v>Klébi DSE</v>
      </c>
      <c r="B3256" s="1" t="str">
        <f ca="1">IFERROR(__xludf.DUMMYFUNCTION("""COMPUTED_VALUE"""),"Bojtor Alíz")</f>
        <v>Bojtor Alíz</v>
      </c>
      <c r="C3256" s="1"/>
      <c r="D3256" s="1" t="str">
        <f ca="1">IFERROR(__xludf.DUMMYFUNCTION("""COMPUTED_VALUE"""),"Nő")</f>
        <v>Nő</v>
      </c>
      <c r="E3256" s="1"/>
      <c r="F3256" s="1">
        <f ca="1">IFERROR(__xludf.DUMMYFUNCTION("""COMPUTED_VALUE"""),1981)</f>
        <v>1981</v>
      </c>
      <c r="G3256" s="1">
        <f ca="1">IFERROR(__xludf.DUMMYFUNCTION("""COMPUTED_VALUE"""),1332)</f>
        <v>1332</v>
      </c>
      <c r="H3256" s="1" t="str">
        <f ca="1">IFERROR(__xludf.DUMMYFUNCTION("""COMPUTED_VALUE"""),"MTLSZ001332A08")</f>
        <v>MTLSZ001332A08</v>
      </c>
      <c r="I3256" s="2">
        <f ca="1">IFERROR(__xludf.DUMMYFUNCTION("""COMPUTED_VALUE"""),39696)</f>
        <v>39696</v>
      </c>
      <c r="J3256" s="2">
        <f ca="1">IFERROR(__xludf.DUMMYFUNCTION("""COMPUTED_VALUE"""),40060)</f>
        <v>40060</v>
      </c>
    </row>
    <row r="3257" spans="1:10" x14ac:dyDescent="0.25">
      <c r="A3257" s="1" t="str">
        <f ca="1">IFERROR(__xludf.DUMMYFUNCTION("""COMPUTED_VALUE"""),"Klébi DSE")</f>
        <v>Klébi DSE</v>
      </c>
      <c r="B3257" s="1" t="str">
        <f ca="1">IFERROR(__xludf.DUMMYFUNCTION("""COMPUTED_VALUE"""),"Horváth Kristóf")</f>
        <v>Horváth Kristóf</v>
      </c>
      <c r="C3257" s="1"/>
      <c r="D3257" s="1" t="str">
        <f ca="1">IFERROR(__xludf.DUMMYFUNCTION("""COMPUTED_VALUE"""),"Férfi")</f>
        <v>Férfi</v>
      </c>
      <c r="E3257" s="1"/>
      <c r="F3257" s="1">
        <f ca="1">IFERROR(__xludf.DUMMYFUNCTION("""COMPUTED_VALUE"""),1994)</f>
        <v>1994</v>
      </c>
      <c r="G3257" s="1">
        <f ca="1">IFERROR(__xludf.DUMMYFUNCTION("""COMPUTED_VALUE"""),1726)</f>
        <v>1726</v>
      </c>
      <c r="H3257" s="1" t="str">
        <f ca="1">IFERROR(__xludf.DUMMYFUNCTION("""COMPUTED_VALUE"""),"MTLSZ001726A08")</f>
        <v>MTLSZ001726A08</v>
      </c>
      <c r="I3257" s="2">
        <f ca="1">IFERROR(__xludf.DUMMYFUNCTION("""COMPUTED_VALUE"""),39696)</f>
        <v>39696</v>
      </c>
      <c r="J3257" s="2">
        <f ca="1">IFERROR(__xludf.DUMMYFUNCTION("""COMPUTED_VALUE"""),40060)</f>
        <v>40060</v>
      </c>
    </row>
    <row r="3258" spans="1:10" x14ac:dyDescent="0.25">
      <c r="A3258" s="1" t="str">
        <f ca="1">IFERROR(__xludf.DUMMYFUNCTION("""COMPUTED_VALUE"""),"Klébi DSE")</f>
        <v>Klébi DSE</v>
      </c>
      <c r="B3258" s="1" t="str">
        <f ca="1">IFERROR(__xludf.DUMMYFUNCTION("""COMPUTED_VALUE"""),"Mosó Gyula")</f>
        <v>Mosó Gyula</v>
      </c>
      <c r="C3258" s="1"/>
      <c r="D3258" s="1" t="str">
        <f ca="1">IFERROR(__xludf.DUMMYFUNCTION("""COMPUTED_VALUE"""),"Férfi")</f>
        <v>Férfi</v>
      </c>
      <c r="E3258" s="1"/>
      <c r="F3258" s="1">
        <f ca="1">IFERROR(__xludf.DUMMYFUNCTION("""COMPUTED_VALUE"""),1977)</f>
        <v>1977</v>
      </c>
      <c r="G3258" s="1">
        <f ca="1">IFERROR(__xludf.DUMMYFUNCTION("""COMPUTED_VALUE"""),674)</f>
        <v>674</v>
      </c>
      <c r="H3258" s="1" t="str">
        <f ca="1">IFERROR(__xludf.DUMMYFUNCTION("""COMPUTED_VALUE"""),"MTLSZ000674A08")</f>
        <v>MTLSZ000674A08</v>
      </c>
      <c r="I3258" s="2">
        <f ca="1">IFERROR(__xludf.DUMMYFUNCTION("""COMPUTED_VALUE"""),39696)</f>
        <v>39696</v>
      </c>
      <c r="J3258" s="2">
        <f ca="1">IFERROR(__xludf.DUMMYFUNCTION("""COMPUTED_VALUE"""),40060)</f>
        <v>40060</v>
      </c>
    </row>
    <row r="3259" spans="1:10" x14ac:dyDescent="0.25">
      <c r="A3259" s="1" t="str">
        <f ca="1">IFERROR(__xludf.DUMMYFUNCTION("""COMPUTED_VALUE"""),"Óvártoll TE")</f>
        <v>Óvártoll TE</v>
      </c>
      <c r="B3259" s="1" t="str">
        <f ca="1">IFERROR(__xludf.DUMMYFUNCTION("""COMPUTED_VALUE"""),"Mihalcsik János")</f>
        <v>Mihalcsik János</v>
      </c>
      <c r="C3259" s="1"/>
      <c r="D3259" s="1" t="str">
        <f ca="1">IFERROR(__xludf.DUMMYFUNCTION("""COMPUTED_VALUE"""),"Férfi")</f>
        <v>Férfi</v>
      </c>
      <c r="E3259" s="1"/>
      <c r="F3259" s="1">
        <f ca="1">IFERROR(__xludf.DUMMYFUNCTION("""COMPUTED_VALUE"""),1969)</f>
        <v>1969</v>
      </c>
      <c r="G3259" s="1">
        <f ca="1">IFERROR(__xludf.DUMMYFUNCTION("""COMPUTED_VALUE"""),1885)</f>
        <v>1885</v>
      </c>
      <c r="H3259" s="1" t="str">
        <f ca="1">IFERROR(__xludf.DUMMYFUNCTION("""COMPUTED_VALUE"""),"MTLSZ001885A08")</f>
        <v>MTLSZ001885A08</v>
      </c>
      <c r="I3259" s="2">
        <f ca="1">IFERROR(__xludf.DUMMYFUNCTION("""COMPUTED_VALUE"""),39694)</f>
        <v>39694</v>
      </c>
      <c r="J3259" s="2">
        <f ca="1">IFERROR(__xludf.DUMMYFUNCTION("""COMPUTED_VALUE"""),40058)</f>
        <v>40058</v>
      </c>
    </row>
    <row r="3260" spans="1:10" x14ac:dyDescent="0.25">
      <c r="A3260" s="1" t="str">
        <f ca="1">IFERROR(__xludf.DUMMYFUNCTION("""COMPUTED_VALUE"""),"Bodajki TSE")</f>
        <v>Bodajki TSE</v>
      </c>
      <c r="B3260" s="1" t="str">
        <f ca="1">IFERROR(__xludf.DUMMYFUNCTION("""COMPUTED_VALUE"""),"Akl Fanni")</f>
        <v>Akl Fanni</v>
      </c>
      <c r="C3260" s="1"/>
      <c r="D3260" s="1" t="str">
        <f ca="1">IFERROR(__xludf.DUMMYFUNCTION("""COMPUTED_VALUE"""),"Nő")</f>
        <v>Nő</v>
      </c>
      <c r="E3260" s="1"/>
      <c r="F3260" s="1">
        <f ca="1">IFERROR(__xludf.DUMMYFUNCTION("""COMPUTED_VALUE"""),1997)</f>
        <v>1997</v>
      </c>
      <c r="G3260" s="1">
        <f ca="1">IFERROR(__xludf.DUMMYFUNCTION("""COMPUTED_VALUE"""),1825)</f>
        <v>1825</v>
      </c>
      <c r="H3260" s="1" t="str">
        <f ca="1">IFERROR(__xludf.DUMMYFUNCTION("""COMPUTED_VALUE"""),"MTLSZ001825A08")</f>
        <v>MTLSZ001825A08</v>
      </c>
      <c r="I3260" s="2">
        <f ca="1">IFERROR(__xludf.DUMMYFUNCTION("""COMPUTED_VALUE"""),39692)</f>
        <v>39692</v>
      </c>
      <c r="J3260" s="2">
        <f ca="1">IFERROR(__xludf.DUMMYFUNCTION("""COMPUTED_VALUE"""),40056)</f>
        <v>40056</v>
      </c>
    </row>
    <row r="3261" spans="1:10" x14ac:dyDescent="0.25">
      <c r="A3261" s="1" t="str">
        <f ca="1">IFERROR(__xludf.DUMMYFUNCTION("""COMPUTED_VALUE"""),"Bodajki TSE")</f>
        <v>Bodajki TSE</v>
      </c>
      <c r="B3261" s="1" t="str">
        <f ca="1">IFERROR(__xludf.DUMMYFUNCTION("""COMPUTED_VALUE"""),"Almádi Zsuzsanna")</f>
        <v>Almádi Zsuzsanna</v>
      </c>
      <c r="C3261" s="1"/>
      <c r="D3261" s="1" t="str">
        <f ca="1">IFERROR(__xludf.DUMMYFUNCTION("""COMPUTED_VALUE"""),"Nő")</f>
        <v>Nő</v>
      </c>
      <c r="E3261" s="1"/>
      <c r="F3261" s="1">
        <f ca="1">IFERROR(__xludf.DUMMYFUNCTION("""COMPUTED_VALUE"""),1988)</f>
        <v>1988</v>
      </c>
      <c r="G3261" s="1">
        <f ca="1">IFERROR(__xludf.DUMMYFUNCTION("""COMPUTED_VALUE"""),12)</f>
        <v>12</v>
      </c>
      <c r="H3261" s="1" t="str">
        <f ca="1">IFERROR(__xludf.DUMMYFUNCTION("""COMPUTED_VALUE"""),"MTLSZ000012A08")</f>
        <v>MTLSZ000012A08</v>
      </c>
      <c r="I3261" s="2">
        <f ca="1">IFERROR(__xludf.DUMMYFUNCTION("""COMPUTED_VALUE"""),39692)</f>
        <v>39692</v>
      </c>
      <c r="J3261" s="2">
        <f ca="1">IFERROR(__xludf.DUMMYFUNCTION("""COMPUTED_VALUE"""),40056)</f>
        <v>40056</v>
      </c>
    </row>
    <row r="3262" spans="1:10" x14ac:dyDescent="0.25">
      <c r="A3262" s="1" t="str">
        <f ca="1">IFERROR(__xludf.DUMMYFUNCTION("""COMPUTED_VALUE"""),"Bodajki TSE")</f>
        <v>Bodajki TSE</v>
      </c>
      <c r="B3262" s="1" t="str">
        <f ca="1">IFERROR(__xludf.DUMMYFUNCTION("""COMPUTED_VALUE"""),"Jung Zoltán")</f>
        <v>Jung Zoltán</v>
      </c>
      <c r="C3262" s="1"/>
      <c r="D3262" s="1" t="str">
        <f ca="1">IFERROR(__xludf.DUMMYFUNCTION("""COMPUTED_VALUE"""),"Férfi")</f>
        <v>Férfi</v>
      </c>
      <c r="E3262" s="1"/>
      <c r="F3262" s="1">
        <f ca="1">IFERROR(__xludf.DUMMYFUNCTION("""COMPUTED_VALUE"""),1997)</f>
        <v>1997</v>
      </c>
      <c r="G3262" s="1">
        <f ca="1">IFERROR(__xludf.DUMMYFUNCTION("""COMPUTED_VALUE"""),1830)</f>
        <v>1830</v>
      </c>
      <c r="H3262" s="1" t="str">
        <f ca="1">IFERROR(__xludf.DUMMYFUNCTION("""COMPUTED_VALUE"""),"MTLSZ001830A08")</f>
        <v>MTLSZ001830A08</v>
      </c>
      <c r="I3262" s="2">
        <f ca="1">IFERROR(__xludf.DUMMYFUNCTION("""COMPUTED_VALUE"""),39692)</f>
        <v>39692</v>
      </c>
      <c r="J3262" s="2">
        <f ca="1">IFERROR(__xludf.DUMMYFUNCTION("""COMPUTED_VALUE"""),40056)</f>
        <v>40056</v>
      </c>
    </row>
    <row r="3263" spans="1:10" x14ac:dyDescent="0.25">
      <c r="A3263" s="1" t="str">
        <f ca="1">IFERROR(__xludf.DUMMYFUNCTION("""COMPUTED_VALUE"""),"Bodajki TSE")</f>
        <v>Bodajki TSE</v>
      </c>
      <c r="B3263" s="1" t="str">
        <f ca="1">IFERROR(__xludf.DUMMYFUNCTION("""COMPUTED_VALUE"""),"Karovszky Orsolya")</f>
        <v>Karovszky Orsolya</v>
      </c>
      <c r="C3263" s="1"/>
      <c r="D3263" s="1" t="str">
        <f ca="1">IFERROR(__xludf.DUMMYFUNCTION("""COMPUTED_VALUE"""),"Nő")</f>
        <v>Nő</v>
      </c>
      <c r="E3263" s="1"/>
      <c r="F3263" s="1">
        <f ca="1">IFERROR(__xludf.DUMMYFUNCTION("""COMPUTED_VALUE"""),1988)</f>
        <v>1988</v>
      </c>
      <c r="G3263" s="1">
        <f ca="1">IFERROR(__xludf.DUMMYFUNCTION("""COMPUTED_VALUE"""),440)</f>
        <v>440</v>
      </c>
      <c r="H3263" s="1" t="str">
        <f ca="1">IFERROR(__xludf.DUMMYFUNCTION("""COMPUTED_VALUE"""),"MTLSZ000440A08")</f>
        <v>MTLSZ000440A08</v>
      </c>
      <c r="I3263" s="2">
        <f ca="1">IFERROR(__xludf.DUMMYFUNCTION("""COMPUTED_VALUE"""),39692)</f>
        <v>39692</v>
      </c>
      <c r="J3263" s="2">
        <f ca="1">IFERROR(__xludf.DUMMYFUNCTION("""COMPUTED_VALUE"""),40056)</f>
        <v>40056</v>
      </c>
    </row>
    <row r="3264" spans="1:10" x14ac:dyDescent="0.25">
      <c r="A3264" s="1" t="str">
        <f ca="1">IFERROR(__xludf.DUMMYFUNCTION("""COMPUTED_VALUE"""),"DSK")</f>
        <v>DSK</v>
      </c>
      <c r="B3264" s="1" t="str">
        <f ca="1">IFERROR(__xludf.DUMMYFUNCTION("""COMPUTED_VALUE"""),"Dézsi Péter")</f>
        <v>Dézsi Péter</v>
      </c>
      <c r="C3264" s="1"/>
      <c r="D3264" s="1" t="str">
        <f ca="1">IFERROR(__xludf.DUMMYFUNCTION("""COMPUTED_VALUE"""),"Férfi")</f>
        <v>Férfi</v>
      </c>
      <c r="E3264" s="1"/>
      <c r="F3264" s="1">
        <f ca="1">IFERROR(__xludf.DUMMYFUNCTION("""COMPUTED_VALUE"""),1993)</f>
        <v>1993</v>
      </c>
      <c r="G3264" s="1">
        <f ca="1">IFERROR(__xludf.DUMMYFUNCTION("""COMPUTED_VALUE"""),1206)</f>
        <v>1206</v>
      </c>
      <c r="H3264" s="1" t="str">
        <f ca="1">IFERROR(__xludf.DUMMYFUNCTION("""COMPUTED_VALUE"""),"MTLSZ001206A08")</f>
        <v>MTLSZ001206A08</v>
      </c>
      <c r="I3264" s="2">
        <f ca="1">IFERROR(__xludf.DUMMYFUNCTION("""COMPUTED_VALUE"""),39692)</f>
        <v>39692</v>
      </c>
      <c r="J3264" s="2">
        <f ca="1">IFERROR(__xludf.DUMMYFUNCTION("""COMPUTED_VALUE"""),40056)</f>
        <v>40056</v>
      </c>
    </row>
    <row r="3265" spans="1:10" x14ac:dyDescent="0.25">
      <c r="A3265" s="1" t="str">
        <f ca="1">IFERROR(__xludf.DUMMYFUNCTION("""COMPUTED_VALUE"""),"DSK")</f>
        <v>DSK</v>
      </c>
      <c r="B3265" s="1" t="str">
        <f ca="1">IFERROR(__xludf.DUMMYFUNCTION("""COMPUTED_VALUE"""),"Gulyás Flóra")</f>
        <v>Gulyás Flóra</v>
      </c>
      <c r="C3265" s="1"/>
      <c r="D3265" s="1" t="str">
        <f ca="1">IFERROR(__xludf.DUMMYFUNCTION("""COMPUTED_VALUE"""),"Nő")</f>
        <v>Nő</v>
      </c>
      <c r="E3265" s="1"/>
      <c r="F3265" s="1">
        <f ca="1">IFERROR(__xludf.DUMMYFUNCTION("""COMPUTED_VALUE"""),1997)</f>
        <v>1997</v>
      </c>
      <c r="G3265" s="1">
        <f ca="1">IFERROR(__xludf.DUMMYFUNCTION("""COMPUTED_VALUE"""),1876)</f>
        <v>1876</v>
      </c>
      <c r="H3265" s="1" t="str">
        <f ca="1">IFERROR(__xludf.DUMMYFUNCTION("""COMPUTED_VALUE"""),"MTLSZ001876A08")</f>
        <v>MTLSZ001876A08</v>
      </c>
      <c r="I3265" s="2">
        <f ca="1">IFERROR(__xludf.DUMMYFUNCTION("""COMPUTED_VALUE"""),39692)</f>
        <v>39692</v>
      </c>
      <c r="J3265" s="2">
        <f ca="1">IFERROR(__xludf.DUMMYFUNCTION("""COMPUTED_VALUE"""),40056)</f>
        <v>40056</v>
      </c>
    </row>
    <row r="3266" spans="1:10" x14ac:dyDescent="0.25">
      <c r="A3266" s="1" t="str">
        <f ca="1">IFERROR(__xludf.DUMMYFUNCTION("""COMPUTED_VALUE"""),"Universitas SC")</f>
        <v>Universitas SC</v>
      </c>
      <c r="B3266" s="1" t="str">
        <f ca="1">IFERROR(__xludf.DUMMYFUNCTION("""COMPUTED_VALUE"""),"Ménesi Ágnes")</f>
        <v>Ménesi Ágnes</v>
      </c>
      <c r="C3266" s="1"/>
      <c r="D3266" s="1" t="str">
        <f ca="1">IFERROR(__xludf.DUMMYFUNCTION("""COMPUTED_VALUE"""),"Nő")</f>
        <v>Nő</v>
      </c>
      <c r="E3266" s="1"/>
      <c r="F3266" s="1">
        <f ca="1">IFERROR(__xludf.DUMMYFUNCTION("""COMPUTED_VALUE"""),1976)</f>
        <v>1976</v>
      </c>
      <c r="G3266" s="1">
        <f ca="1">IFERROR(__xludf.DUMMYFUNCTION("""COMPUTED_VALUE"""),1361)</f>
        <v>1361</v>
      </c>
      <c r="H3266" s="1" t="str">
        <f ca="1">IFERROR(__xludf.DUMMYFUNCTION("""COMPUTED_VALUE"""),"MTLSZ001361A08")</f>
        <v>MTLSZ001361A08</v>
      </c>
      <c r="I3266" s="2">
        <f ca="1">IFERROR(__xludf.DUMMYFUNCTION("""COMPUTED_VALUE"""),39588)</f>
        <v>39588</v>
      </c>
      <c r="J3266" s="2">
        <f ca="1">IFERROR(__xludf.DUMMYFUNCTION("""COMPUTED_VALUE"""),39952)</f>
        <v>39952</v>
      </c>
    </row>
    <row r="3267" spans="1:10" x14ac:dyDescent="0.25">
      <c r="A3267" s="1" t="str">
        <f ca="1">IFERROR(__xludf.DUMMYFUNCTION("""COMPUTED_VALUE"""),"Klébi DSE")</f>
        <v>Klébi DSE</v>
      </c>
      <c r="B3267" s="1" t="str">
        <f ca="1">IFERROR(__xludf.DUMMYFUNCTION("""COMPUTED_VALUE"""),"Rigó Tamás")</f>
        <v>Rigó Tamás</v>
      </c>
      <c r="C3267" s="1"/>
      <c r="D3267" s="1" t="str">
        <f ca="1">IFERROR(__xludf.DUMMYFUNCTION("""COMPUTED_VALUE"""),"Férfi")</f>
        <v>Férfi</v>
      </c>
      <c r="E3267" s="1"/>
      <c r="F3267" s="1">
        <f ca="1">IFERROR(__xludf.DUMMYFUNCTION("""COMPUTED_VALUE"""),1993)</f>
        <v>1993</v>
      </c>
      <c r="G3267" s="1">
        <f ca="1">IFERROR(__xludf.DUMMYFUNCTION("""COMPUTED_VALUE"""),1752)</f>
        <v>1752</v>
      </c>
      <c r="H3267" s="1" t="str">
        <f ca="1">IFERROR(__xludf.DUMMYFUNCTION("""COMPUTED_VALUE"""),"MTLSZ001752A08")</f>
        <v>MTLSZ001752A08</v>
      </c>
      <c r="I3267" s="2">
        <f ca="1">IFERROR(__xludf.DUMMYFUNCTION("""COMPUTED_VALUE"""),39526)</f>
        <v>39526</v>
      </c>
      <c r="J3267" s="2">
        <f ca="1">IFERROR(__xludf.DUMMYFUNCTION("""COMPUTED_VALUE"""),39890)</f>
        <v>39890</v>
      </c>
    </row>
    <row r="3268" spans="1:10" x14ac:dyDescent="0.25">
      <c r="A3268" s="1" t="str">
        <f ca="1">IFERROR(__xludf.DUMMYFUNCTION("""COMPUTED_VALUE"""),"Danubius KSE")</f>
        <v>Danubius KSE</v>
      </c>
      <c r="B3268" s="1" t="str">
        <f ca="1">IFERROR(__xludf.DUMMYFUNCTION("""COMPUTED_VALUE"""),"Kovács Dániel")</f>
        <v>Kovács Dániel</v>
      </c>
      <c r="C3268" s="1"/>
      <c r="D3268" s="1" t="str">
        <f ca="1">IFERROR(__xludf.DUMMYFUNCTION("""COMPUTED_VALUE"""),"Férfi")</f>
        <v>Férfi</v>
      </c>
      <c r="E3268" s="1"/>
      <c r="F3268" s="1">
        <f ca="1">IFERROR(__xludf.DUMMYFUNCTION("""COMPUTED_VALUE"""),1994)</f>
        <v>1994</v>
      </c>
      <c r="G3268" s="1">
        <f ca="1">IFERROR(__xludf.DUMMYFUNCTION("""COMPUTED_VALUE"""),1870)</f>
        <v>1870</v>
      </c>
      <c r="H3268" s="1" t="str">
        <f ca="1">IFERROR(__xludf.DUMMYFUNCTION("""COMPUTED_VALUE"""),"MTLSZ001870A08")</f>
        <v>MTLSZ001870A08</v>
      </c>
      <c r="I3268" s="2">
        <f ca="1">IFERROR(__xludf.DUMMYFUNCTION("""COMPUTED_VALUE"""),39507)</f>
        <v>39507</v>
      </c>
      <c r="J3268" s="2">
        <f ca="1">IFERROR(__xludf.DUMMYFUNCTION("""COMPUTED_VALUE"""),39872)</f>
        <v>39872</v>
      </c>
    </row>
    <row r="3269" spans="1:10" x14ac:dyDescent="0.25">
      <c r="A3269" s="1" t="str">
        <f ca="1">IFERROR(__xludf.DUMMYFUNCTION("""COMPUTED_VALUE"""),"Danubius KSE")</f>
        <v>Danubius KSE</v>
      </c>
      <c r="B3269" s="1" t="str">
        <f ca="1">IFERROR(__xludf.DUMMYFUNCTION("""COMPUTED_VALUE"""),"Skrován Richárd")</f>
        <v>Skrován Richárd</v>
      </c>
      <c r="C3269" s="1"/>
      <c r="D3269" s="1" t="str">
        <f ca="1">IFERROR(__xludf.DUMMYFUNCTION("""COMPUTED_VALUE"""),"Férfi")</f>
        <v>Férfi</v>
      </c>
      <c r="E3269" s="1"/>
      <c r="F3269" s="1">
        <f ca="1">IFERROR(__xludf.DUMMYFUNCTION("""COMPUTED_VALUE"""),1994)</f>
        <v>1994</v>
      </c>
      <c r="G3269" s="1">
        <f ca="1">IFERROR(__xludf.DUMMYFUNCTION("""COMPUTED_VALUE"""),1747)</f>
        <v>1747</v>
      </c>
      <c r="H3269" s="1" t="str">
        <f ca="1">IFERROR(__xludf.DUMMYFUNCTION("""COMPUTED_VALUE"""),"MTLSZ001747A08")</f>
        <v>MTLSZ001747A08</v>
      </c>
      <c r="I3269" s="2">
        <f ca="1">IFERROR(__xludf.DUMMYFUNCTION("""COMPUTED_VALUE"""),39493)</f>
        <v>39493</v>
      </c>
      <c r="J3269" s="2">
        <f ca="1">IFERROR(__xludf.DUMMYFUNCTION("""COMPUTED_VALUE"""),39858)</f>
        <v>39858</v>
      </c>
    </row>
    <row r="3270" spans="1:10" x14ac:dyDescent="0.25">
      <c r="A3270" s="1" t="str">
        <f ca="1">IFERROR(__xludf.DUMMYFUNCTION("""COMPUTED_VALUE"""),"Érdi VSE")</f>
        <v>Érdi VSE</v>
      </c>
      <c r="B3270" s="1" t="str">
        <f ca="1">IFERROR(__xludf.DUMMYFUNCTION("""COMPUTED_VALUE"""),"Katona Rebeka")</f>
        <v>Katona Rebeka</v>
      </c>
      <c r="C3270" s="1"/>
      <c r="D3270" s="1" t="str">
        <f ca="1">IFERROR(__xludf.DUMMYFUNCTION("""COMPUTED_VALUE"""),"Nő")</f>
        <v>Nő</v>
      </c>
      <c r="E3270" s="1"/>
      <c r="F3270" s="1">
        <f ca="1">IFERROR(__xludf.DUMMYFUNCTION("""COMPUTED_VALUE"""),1996)</f>
        <v>1996</v>
      </c>
      <c r="G3270" s="1">
        <f ca="1">IFERROR(__xludf.DUMMYFUNCTION("""COMPUTED_VALUE"""),1708)</f>
        <v>1708</v>
      </c>
      <c r="H3270" s="1" t="str">
        <f ca="1">IFERROR(__xludf.DUMMYFUNCTION("""COMPUTED_VALUE"""),"MTLSZ001708A08")</f>
        <v>MTLSZ001708A08</v>
      </c>
      <c r="I3270" s="2">
        <f ca="1">IFERROR(__xludf.DUMMYFUNCTION("""COMPUTED_VALUE"""),39491)</f>
        <v>39491</v>
      </c>
      <c r="J3270" s="2">
        <f ca="1">IFERROR(__xludf.DUMMYFUNCTION("""COMPUTED_VALUE"""),39856)</f>
        <v>39856</v>
      </c>
    </row>
    <row r="3271" spans="1:10" x14ac:dyDescent="0.25">
      <c r="A3271" s="1" t="str">
        <f ca="1">IFERROR(__xludf.DUMMYFUNCTION("""COMPUTED_VALUE"""),"Klébi DSE")</f>
        <v>Klébi DSE</v>
      </c>
      <c r="B3271" s="1" t="str">
        <f ca="1">IFERROR(__xludf.DUMMYFUNCTION("""COMPUTED_VALUE"""),"Szabó Bence")</f>
        <v>Szabó Bence</v>
      </c>
      <c r="C3271" s="1"/>
      <c r="D3271" s="1" t="str">
        <f ca="1">IFERROR(__xludf.DUMMYFUNCTION("""COMPUTED_VALUE"""),"Férfi")</f>
        <v>Férfi</v>
      </c>
      <c r="E3271" s="1"/>
      <c r="F3271" s="1">
        <f ca="1">IFERROR(__xludf.DUMMYFUNCTION("""COMPUTED_VALUE"""),1993)</f>
        <v>1993</v>
      </c>
      <c r="G3271" s="1">
        <f ca="1">IFERROR(__xludf.DUMMYFUNCTION("""COMPUTED_VALUE"""),1724)</f>
        <v>1724</v>
      </c>
      <c r="H3271" s="1" t="str">
        <f ca="1">IFERROR(__xludf.DUMMYFUNCTION("""COMPUTED_VALUE"""),"MTLSZ001724A08")</f>
        <v>MTLSZ001724A08</v>
      </c>
      <c r="I3271" s="2">
        <f ca="1">IFERROR(__xludf.DUMMYFUNCTION("""COMPUTED_VALUE"""),39491)</f>
        <v>39491</v>
      </c>
      <c r="J3271" s="2">
        <f ca="1">IFERROR(__xludf.DUMMYFUNCTION("""COMPUTED_VALUE"""),39856)</f>
        <v>39856</v>
      </c>
    </row>
    <row r="3272" spans="1:10" x14ac:dyDescent="0.25">
      <c r="A3272" s="1" t="str">
        <f ca="1">IFERROR(__xludf.DUMMYFUNCTION("""COMPUTED_VALUE"""),"Diaboló SE")</f>
        <v>Diaboló SE</v>
      </c>
      <c r="B3272" s="1" t="str">
        <f ca="1">IFERROR(__xludf.DUMMYFUNCTION("""COMPUTED_VALUE"""),"Milos Roland")</f>
        <v>Milos Roland</v>
      </c>
      <c r="C3272" s="1"/>
      <c r="D3272" s="1" t="str">
        <f ca="1">IFERROR(__xludf.DUMMYFUNCTION("""COMPUTED_VALUE"""),"Férfi")</f>
        <v>Férfi</v>
      </c>
      <c r="E3272" s="1"/>
      <c r="F3272" s="1">
        <f ca="1">IFERROR(__xludf.DUMMYFUNCTION("""COMPUTED_VALUE"""),1992)</f>
        <v>1992</v>
      </c>
      <c r="G3272" s="1">
        <f ca="1">IFERROR(__xludf.DUMMYFUNCTION("""COMPUTED_VALUE"""),1868)</f>
        <v>1868</v>
      </c>
      <c r="H3272" s="1" t="str">
        <f ca="1">IFERROR(__xludf.DUMMYFUNCTION("""COMPUTED_VALUE"""),"MTLSZ001868A08")</f>
        <v>MTLSZ001868A08</v>
      </c>
      <c r="I3272" s="2">
        <f ca="1">IFERROR(__xludf.DUMMYFUNCTION("""COMPUTED_VALUE"""),39468)</f>
        <v>39468</v>
      </c>
      <c r="J3272" s="2">
        <f ca="1">IFERROR(__xludf.DUMMYFUNCTION("""COMPUTED_VALUE"""),39833)</f>
        <v>39833</v>
      </c>
    </row>
    <row r="3273" spans="1:10" x14ac:dyDescent="0.25">
      <c r="A3273" s="1" t="str">
        <f ca="1">IFERROR(__xludf.DUMMYFUNCTION("""COMPUTED_VALUE"""),"Klébi DSE")</f>
        <v>Klébi DSE</v>
      </c>
      <c r="B3273" s="1" t="str">
        <f ca="1">IFERROR(__xludf.DUMMYFUNCTION("""COMPUTED_VALUE"""),"Koppány Zsolt")</f>
        <v>Koppány Zsolt</v>
      </c>
      <c r="C3273" s="1"/>
      <c r="D3273" s="1" t="str">
        <f ca="1">IFERROR(__xludf.DUMMYFUNCTION("""COMPUTED_VALUE"""),"Férfi")</f>
        <v>Férfi</v>
      </c>
      <c r="E3273" s="1"/>
      <c r="F3273" s="1">
        <f ca="1">IFERROR(__xludf.DUMMYFUNCTION("""COMPUTED_VALUE"""),1981)</f>
        <v>1981</v>
      </c>
      <c r="G3273" s="1">
        <f ca="1">IFERROR(__xludf.DUMMYFUNCTION("""COMPUTED_VALUE"""),1865)</f>
        <v>1865</v>
      </c>
      <c r="H3273" s="1" t="str">
        <f ca="1">IFERROR(__xludf.DUMMYFUNCTION("""COMPUTED_VALUE"""),"MTLSZ001865A07")</f>
        <v>MTLSZ001865A07</v>
      </c>
      <c r="I3273" s="2">
        <f ca="1">IFERROR(__xludf.DUMMYFUNCTION("""COMPUTED_VALUE"""),39436)</f>
        <v>39436</v>
      </c>
      <c r="J3273" s="2">
        <f ca="1">IFERROR(__xludf.DUMMYFUNCTION("""COMPUTED_VALUE"""),39801)</f>
        <v>39801</v>
      </c>
    </row>
    <row r="3274" spans="1:10" x14ac:dyDescent="0.25">
      <c r="A3274" s="1" t="str">
        <f ca="1">IFERROR(__xludf.DUMMYFUNCTION("""COMPUTED_VALUE"""),"BTBK")</f>
        <v>BTBK</v>
      </c>
      <c r="B3274" s="1" t="str">
        <f ca="1">IFERROR(__xludf.DUMMYFUNCTION("""COMPUTED_VALUE"""),"Bencsik Gábor")</f>
        <v>Bencsik Gábor</v>
      </c>
      <c r="C3274" s="1"/>
      <c r="D3274" s="1" t="str">
        <f ca="1">IFERROR(__xludf.DUMMYFUNCTION("""COMPUTED_VALUE"""),"Férfi")</f>
        <v>Férfi</v>
      </c>
      <c r="E3274" s="1"/>
      <c r="F3274" s="1">
        <f ca="1">IFERROR(__xludf.DUMMYFUNCTION("""COMPUTED_VALUE"""),1973)</f>
        <v>1973</v>
      </c>
      <c r="G3274" s="1">
        <f ca="1">IFERROR(__xludf.DUMMYFUNCTION("""COMPUTED_VALUE"""),69)</f>
        <v>69</v>
      </c>
      <c r="H3274" s="1" t="str">
        <f ca="1">IFERROR(__xludf.DUMMYFUNCTION("""COMPUTED_VALUE"""),"MTLSZ000069A07")</f>
        <v>MTLSZ000069A07</v>
      </c>
      <c r="I3274" s="2">
        <f ca="1">IFERROR(__xludf.DUMMYFUNCTION("""COMPUTED_VALUE"""),39421)</f>
        <v>39421</v>
      </c>
      <c r="J3274" s="2">
        <f ca="1">IFERROR(__xludf.DUMMYFUNCTION("""COMPUTED_VALUE"""),39786)</f>
        <v>39786</v>
      </c>
    </row>
    <row r="3275" spans="1:10" x14ac:dyDescent="0.25">
      <c r="A3275" s="1" t="str">
        <f ca="1">IFERROR(__xludf.DUMMYFUNCTION("""COMPUTED_VALUE"""),"BTBK")</f>
        <v>BTBK</v>
      </c>
      <c r="B3275" s="1" t="str">
        <f ca="1">IFERROR(__xludf.DUMMYFUNCTION("""COMPUTED_VALUE"""),"Kováts-Szőcs Anita")</f>
        <v>Kováts-Szőcs Anita</v>
      </c>
      <c r="C3275" s="1"/>
      <c r="D3275" s="1" t="str">
        <f ca="1">IFERROR(__xludf.DUMMYFUNCTION("""COMPUTED_VALUE"""),"Nő")</f>
        <v>Nő</v>
      </c>
      <c r="E3275" s="1"/>
      <c r="F3275" s="1">
        <f ca="1">IFERROR(__xludf.DUMMYFUNCTION("""COMPUTED_VALUE"""),1976)</f>
        <v>1976</v>
      </c>
      <c r="G3275" s="1">
        <f ca="1">IFERROR(__xludf.DUMMYFUNCTION("""COMPUTED_VALUE"""),1794)</f>
        <v>1794</v>
      </c>
      <c r="H3275" s="1" t="str">
        <f ca="1">IFERROR(__xludf.DUMMYFUNCTION("""COMPUTED_VALUE"""),"MTLSZ001794A07")</f>
        <v>MTLSZ001794A07</v>
      </c>
      <c r="I3275" s="2">
        <f ca="1">IFERROR(__xludf.DUMMYFUNCTION("""COMPUTED_VALUE"""),39421)</f>
        <v>39421</v>
      </c>
      <c r="J3275" s="2">
        <f ca="1">IFERROR(__xludf.DUMMYFUNCTION("""COMPUTED_VALUE"""),39786)</f>
        <v>39786</v>
      </c>
    </row>
    <row r="3276" spans="1:10" x14ac:dyDescent="0.25">
      <c r="A3276" s="1" t="str">
        <f ca="1">IFERROR(__xludf.DUMMYFUNCTION("""COMPUTED_VALUE"""),"BTBK")</f>
        <v>BTBK</v>
      </c>
      <c r="B3276" s="1" t="str">
        <f ca="1">IFERROR(__xludf.DUMMYFUNCTION("""COMPUTED_VALUE"""),"Mezősi Tamás")</f>
        <v>Mezősi Tamás</v>
      </c>
      <c r="C3276" s="1"/>
      <c r="D3276" s="1" t="str">
        <f ca="1">IFERROR(__xludf.DUMMYFUNCTION("""COMPUTED_VALUE"""),"Férfi")</f>
        <v>Férfi</v>
      </c>
      <c r="E3276" s="1"/>
      <c r="F3276" s="1">
        <f ca="1">IFERROR(__xludf.DUMMYFUNCTION("""COMPUTED_VALUE"""),1972)</f>
        <v>1972</v>
      </c>
      <c r="G3276" s="1">
        <f ca="1">IFERROR(__xludf.DUMMYFUNCTION("""COMPUTED_VALUE"""),1442)</f>
        <v>1442</v>
      </c>
      <c r="H3276" s="1" t="str">
        <f ca="1">IFERROR(__xludf.DUMMYFUNCTION("""COMPUTED_VALUE"""),"MTLSZ001442A07")</f>
        <v>MTLSZ001442A07</v>
      </c>
      <c r="I3276" s="2">
        <f ca="1">IFERROR(__xludf.DUMMYFUNCTION("""COMPUTED_VALUE"""),39421)</f>
        <v>39421</v>
      </c>
      <c r="J3276" s="2">
        <f ca="1">IFERROR(__xludf.DUMMYFUNCTION("""COMPUTED_VALUE"""),39786)</f>
        <v>39786</v>
      </c>
    </row>
    <row r="3277" spans="1:10" x14ac:dyDescent="0.25">
      <c r="A3277" s="1" t="str">
        <f ca="1">IFERROR(__xludf.DUMMYFUNCTION("""COMPUTED_VALUE"""),"BTBK")</f>
        <v>BTBK</v>
      </c>
      <c r="B3277" s="1" t="str">
        <f ca="1">IFERROR(__xludf.DUMMYFUNCTION("""COMPUTED_VALUE"""),"Szabó Dóra")</f>
        <v>Szabó Dóra</v>
      </c>
      <c r="C3277" s="1"/>
      <c r="D3277" s="1" t="str">
        <f ca="1">IFERROR(__xludf.DUMMYFUNCTION("""COMPUTED_VALUE"""),"Nő")</f>
        <v>Nő</v>
      </c>
      <c r="E3277" s="1"/>
      <c r="F3277" s="1">
        <f ca="1">IFERROR(__xludf.DUMMYFUNCTION("""COMPUTED_VALUE"""),1972)</f>
        <v>1972</v>
      </c>
      <c r="G3277" s="1">
        <f ca="1">IFERROR(__xludf.DUMMYFUNCTION("""COMPUTED_VALUE"""),1443)</f>
        <v>1443</v>
      </c>
      <c r="H3277" s="1" t="str">
        <f ca="1">IFERROR(__xludf.DUMMYFUNCTION("""COMPUTED_VALUE"""),"MTLSZ001443A07")</f>
        <v>MTLSZ001443A07</v>
      </c>
      <c r="I3277" s="2">
        <f ca="1">IFERROR(__xludf.DUMMYFUNCTION("""COMPUTED_VALUE"""),39421)</f>
        <v>39421</v>
      </c>
      <c r="J3277" s="2">
        <f ca="1">IFERROR(__xludf.DUMMYFUNCTION("""COMPUTED_VALUE"""),39786)</f>
        <v>39786</v>
      </c>
    </row>
    <row r="3278" spans="1:10" x14ac:dyDescent="0.25">
      <c r="A3278" s="1" t="str">
        <f ca="1">IFERROR(__xludf.DUMMYFUNCTION("""COMPUTED_VALUE"""),"HZSE")</f>
        <v>HZSE</v>
      </c>
      <c r="B3278" s="1" t="str">
        <f ca="1">IFERROR(__xludf.DUMMYFUNCTION("""COMPUTED_VALUE"""),"Horváth Réka Erzsébet")</f>
        <v>Horváth Réka Erzsébet</v>
      </c>
      <c r="C3278" s="1"/>
      <c r="D3278" s="1" t="str">
        <f ca="1">IFERROR(__xludf.DUMMYFUNCTION("""COMPUTED_VALUE"""),"Nő")</f>
        <v>Nő</v>
      </c>
      <c r="E3278" s="1"/>
      <c r="F3278" s="1">
        <f ca="1">IFERROR(__xludf.DUMMYFUNCTION("""COMPUTED_VALUE"""),1987)</f>
        <v>1987</v>
      </c>
      <c r="G3278" s="1">
        <f ca="1">IFERROR(__xludf.DUMMYFUNCTION("""COMPUTED_VALUE"""),1349)</f>
        <v>1349</v>
      </c>
      <c r="H3278" s="1" t="str">
        <f ca="1">IFERROR(__xludf.DUMMYFUNCTION("""COMPUTED_VALUE"""),"MTLSZ001349A07")</f>
        <v>MTLSZ001349A07</v>
      </c>
      <c r="I3278" s="2">
        <f ca="1">IFERROR(__xludf.DUMMYFUNCTION("""COMPUTED_VALUE"""),39421)</f>
        <v>39421</v>
      </c>
      <c r="J3278" s="2">
        <f ca="1">IFERROR(__xludf.DUMMYFUNCTION("""COMPUTED_VALUE"""),39786)</f>
        <v>39786</v>
      </c>
    </row>
    <row r="3279" spans="1:10" x14ac:dyDescent="0.25">
      <c r="A3279" s="1" t="str">
        <f ca="1">IFERROR(__xludf.DUMMYFUNCTION("""COMPUTED_VALUE"""),"MAFC")</f>
        <v>MAFC</v>
      </c>
      <c r="B3279" s="1" t="str">
        <f ca="1">IFERROR(__xludf.DUMMYFUNCTION("""COMPUTED_VALUE"""),"Faragó Sándor")</f>
        <v>Faragó Sándor</v>
      </c>
      <c r="C3279" s="1"/>
      <c r="D3279" s="1" t="str">
        <f ca="1">IFERROR(__xludf.DUMMYFUNCTION("""COMPUTED_VALUE"""),"Férfi")</f>
        <v>Férfi</v>
      </c>
      <c r="E3279" s="1"/>
      <c r="F3279" s="1">
        <f ca="1">IFERROR(__xludf.DUMMYFUNCTION("""COMPUTED_VALUE"""),1993)</f>
        <v>1993</v>
      </c>
      <c r="G3279" s="1">
        <f ca="1">IFERROR(__xludf.DUMMYFUNCTION("""COMPUTED_VALUE"""),1864)</f>
        <v>1864</v>
      </c>
      <c r="H3279" s="1" t="str">
        <f ca="1">IFERROR(__xludf.DUMMYFUNCTION("""COMPUTED_VALUE"""),"MTLSZ001864A07")</f>
        <v>MTLSZ001864A07</v>
      </c>
      <c r="I3279" s="2">
        <f ca="1">IFERROR(__xludf.DUMMYFUNCTION("""COMPUTED_VALUE"""),39420)</f>
        <v>39420</v>
      </c>
      <c r="J3279" s="2">
        <f ca="1">IFERROR(__xludf.DUMMYFUNCTION("""COMPUTED_VALUE"""),39785)</f>
        <v>39785</v>
      </c>
    </row>
    <row r="3280" spans="1:10" x14ac:dyDescent="0.25">
      <c r="A3280" s="1" t="str">
        <f ca="1">IFERROR(__xludf.DUMMYFUNCTION("""COMPUTED_VALUE"""),"Pedagógus Fáklya SE")</f>
        <v>Pedagógus Fáklya SE</v>
      </c>
      <c r="B3280" s="1" t="str">
        <f ca="1">IFERROR(__xludf.DUMMYFUNCTION("""COMPUTED_VALUE"""),"Csépán István")</f>
        <v>Csépán István</v>
      </c>
      <c r="C3280" s="1"/>
      <c r="D3280" s="1" t="str">
        <f ca="1">IFERROR(__xludf.DUMMYFUNCTION("""COMPUTED_VALUE"""),"Férfi")</f>
        <v>Férfi</v>
      </c>
      <c r="E3280" s="1"/>
      <c r="F3280" s="1">
        <f ca="1">IFERROR(__xludf.DUMMYFUNCTION("""COMPUTED_VALUE"""),1964)</f>
        <v>1964</v>
      </c>
      <c r="G3280" s="1">
        <f ca="1">IFERROR(__xludf.DUMMYFUNCTION("""COMPUTED_VALUE"""),135)</f>
        <v>135</v>
      </c>
      <c r="H3280" s="1" t="str">
        <f ca="1">IFERROR(__xludf.DUMMYFUNCTION("""COMPUTED_VALUE"""),"MTLSZ000135A07")</f>
        <v>MTLSZ000135A07</v>
      </c>
      <c r="I3280" s="2">
        <f ca="1">IFERROR(__xludf.DUMMYFUNCTION("""COMPUTED_VALUE"""),39419)</f>
        <v>39419</v>
      </c>
      <c r="J3280" s="2">
        <f ca="1">IFERROR(__xludf.DUMMYFUNCTION("""COMPUTED_VALUE"""),39784)</f>
        <v>39784</v>
      </c>
    </row>
    <row r="3281" spans="1:10" x14ac:dyDescent="0.25">
      <c r="A3281" s="1" t="str">
        <f ca="1">IFERROR(__xludf.DUMMYFUNCTION("""COMPUTED_VALUE"""),"Pedagógus Fáklya SE")</f>
        <v>Pedagógus Fáklya SE</v>
      </c>
      <c r="B3281" s="1" t="str">
        <f ca="1">IFERROR(__xludf.DUMMYFUNCTION("""COMPUTED_VALUE"""),"Fábián Attila")</f>
        <v>Fábián Attila</v>
      </c>
      <c r="C3281" s="1"/>
      <c r="D3281" s="1" t="str">
        <f ca="1">IFERROR(__xludf.DUMMYFUNCTION("""COMPUTED_VALUE"""),"Férfi")</f>
        <v>Férfi</v>
      </c>
      <c r="E3281" s="1"/>
      <c r="F3281" s="1">
        <f ca="1">IFERROR(__xludf.DUMMYFUNCTION("""COMPUTED_VALUE"""),1953)</f>
        <v>1953</v>
      </c>
      <c r="G3281" s="1">
        <f ca="1">IFERROR(__xludf.DUMMYFUNCTION("""COMPUTED_VALUE"""),223)</f>
        <v>223</v>
      </c>
      <c r="H3281" s="1" t="str">
        <f ca="1">IFERROR(__xludf.DUMMYFUNCTION("""COMPUTED_VALUE"""),"MTLSZ000223A07")</f>
        <v>MTLSZ000223A07</v>
      </c>
      <c r="I3281" s="2">
        <f ca="1">IFERROR(__xludf.DUMMYFUNCTION("""COMPUTED_VALUE"""),39419)</f>
        <v>39419</v>
      </c>
      <c r="J3281" s="2">
        <f ca="1">IFERROR(__xludf.DUMMYFUNCTION("""COMPUTED_VALUE"""),39784)</f>
        <v>39784</v>
      </c>
    </row>
    <row r="3282" spans="1:10" x14ac:dyDescent="0.25">
      <c r="A3282" s="1" t="str">
        <f ca="1">IFERROR(__xludf.DUMMYFUNCTION("""COMPUTED_VALUE"""),"Alba-Toll SE")</f>
        <v>Alba-Toll SE</v>
      </c>
      <c r="B3282" s="1" t="str">
        <f ca="1">IFERROR(__xludf.DUMMYFUNCTION("""COMPUTED_VALUE"""),"Koncsek Gergő")</f>
        <v>Koncsek Gergő</v>
      </c>
      <c r="C3282" s="1"/>
      <c r="D3282" s="1" t="str">
        <f ca="1">IFERROR(__xludf.DUMMYFUNCTION("""COMPUTED_VALUE"""),"Férfi")</f>
        <v>Férfi</v>
      </c>
      <c r="E3282" s="1"/>
      <c r="F3282" s="1">
        <f ca="1">IFERROR(__xludf.DUMMYFUNCTION("""COMPUTED_VALUE"""),1995)</f>
        <v>1995</v>
      </c>
      <c r="G3282" s="1">
        <f ca="1">IFERROR(__xludf.DUMMYFUNCTION("""COMPUTED_VALUE"""),1860)</f>
        <v>1860</v>
      </c>
      <c r="H3282" s="1" t="str">
        <f ca="1">IFERROR(__xludf.DUMMYFUNCTION("""COMPUTED_VALUE"""),"MTLSZ001860A07")</f>
        <v>MTLSZ001860A07</v>
      </c>
      <c r="I3282" s="2">
        <f ca="1">IFERROR(__xludf.DUMMYFUNCTION("""COMPUTED_VALUE"""),39409)</f>
        <v>39409</v>
      </c>
      <c r="J3282" s="2">
        <f ca="1">IFERROR(__xludf.DUMMYFUNCTION("""COMPUTED_VALUE"""),39774)</f>
        <v>39774</v>
      </c>
    </row>
    <row r="3283" spans="1:10" x14ac:dyDescent="0.25">
      <c r="A3283" s="1" t="str">
        <f ca="1">IFERROR(__xludf.DUMMYFUNCTION("""COMPUTED_VALUE"""),"MEAFC")</f>
        <v>MEAFC</v>
      </c>
      <c r="B3283" s="1" t="str">
        <f ca="1">IFERROR(__xludf.DUMMYFUNCTION("""COMPUTED_VALUE"""),"Andrészky Péter")</f>
        <v>Andrészky Péter</v>
      </c>
      <c r="C3283" s="1"/>
      <c r="D3283" s="1" t="str">
        <f ca="1">IFERROR(__xludf.DUMMYFUNCTION("""COMPUTED_VALUE"""),"Férfi")</f>
        <v>Férfi</v>
      </c>
      <c r="E3283" s="1"/>
      <c r="F3283" s="1">
        <f ca="1">IFERROR(__xludf.DUMMYFUNCTION("""COMPUTED_VALUE"""),1977)</f>
        <v>1977</v>
      </c>
      <c r="G3283" s="1">
        <f ca="1">IFERROR(__xludf.DUMMYFUNCTION("""COMPUTED_VALUE"""),16)</f>
        <v>16</v>
      </c>
      <c r="H3283" s="1" t="str">
        <f ca="1">IFERROR(__xludf.DUMMYFUNCTION("""COMPUTED_VALUE"""),"MTLSZ000016A07")</f>
        <v>MTLSZ000016A07</v>
      </c>
      <c r="I3283" s="2">
        <f ca="1">IFERROR(__xludf.DUMMYFUNCTION("""COMPUTED_VALUE"""),39409)</f>
        <v>39409</v>
      </c>
      <c r="J3283" s="2">
        <f ca="1">IFERROR(__xludf.DUMMYFUNCTION("""COMPUTED_VALUE"""),39774)</f>
        <v>39774</v>
      </c>
    </row>
    <row r="3284" spans="1:10" x14ac:dyDescent="0.25">
      <c r="A3284" s="1" t="str">
        <f ca="1">IFERROR(__xludf.DUMMYFUNCTION("""COMPUTED_VALUE"""),"MEAFC")</f>
        <v>MEAFC</v>
      </c>
      <c r="B3284" s="1" t="str">
        <f ca="1">IFERROR(__xludf.DUMMYFUNCTION("""COMPUTED_VALUE"""),"Iklódi Andrea")</f>
        <v>Iklódi Andrea</v>
      </c>
      <c r="C3284" s="1"/>
      <c r="D3284" s="1" t="str">
        <f ca="1">IFERROR(__xludf.DUMMYFUNCTION("""COMPUTED_VALUE"""),"Nő")</f>
        <v>Nő</v>
      </c>
      <c r="E3284" s="1"/>
      <c r="F3284" s="1">
        <f ca="1">IFERROR(__xludf.DUMMYFUNCTION("""COMPUTED_VALUE"""),1982)</f>
        <v>1982</v>
      </c>
      <c r="G3284" s="1">
        <f ca="1">IFERROR(__xludf.DUMMYFUNCTION("""COMPUTED_VALUE"""),1555)</f>
        <v>1555</v>
      </c>
      <c r="H3284" s="1" t="str">
        <f ca="1">IFERROR(__xludf.DUMMYFUNCTION("""COMPUTED_VALUE"""),"MTLSZ001555A07")</f>
        <v>MTLSZ001555A07</v>
      </c>
      <c r="I3284" s="2">
        <f ca="1">IFERROR(__xludf.DUMMYFUNCTION("""COMPUTED_VALUE"""),39409)</f>
        <v>39409</v>
      </c>
      <c r="J3284" s="2">
        <f ca="1">IFERROR(__xludf.DUMMYFUNCTION("""COMPUTED_VALUE"""),39774)</f>
        <v>39774</v>
      </c>
    </row>
    <row r="3285" spans="1:10" x14ac:dyDescent="0.25">
      <c r="A3285" s="1" t="str">
        <f ca="1">IFERROR(__xludf.DUMMYFUNCTION("""COMPUTED_VALUE"""),"MEAFC")</f>
        <v>MEAFC</v>
      </c>
      <c r="B3285" s="1" t="str">
        <f ca="1">IFERROR(__xludf.DUMMYFUNCTION("""COMPUTED_VALUE"""),"Kuik László")</f>
        <v>Kuik László</v>
      </c>
      <c r="C3285" s="1"/>
      <c r="D3285" s="1" t="str">
        <f ca="1">IFERROR(__xludf.DUMMYFUNCTION("""COMPUTED_VALUE"""),"Férfi")</f>
        <v>Férfi</v>
      </c>
      <c r="E3285" s="1"/>
      <c r="F3285" s="1">
        <f ca="1">IFERROR(__xludf.DUMMYFUNCTION("""COMPUTED_VALUE"""),1978)</f>
        <v>1978</v>
      </c>
      <c r="G3285" s="1">
        <f ca="1">IFERROR(__xludf.DUMMYFUNCTION("""COMPUTED_VALUE"""),550)</f>
        <v>550</v>
      </c>
      <c r="H3285" s="1" t="str">
        <f ca="1">IFERROR(__xludf.DUMMYFUNCTION("""COMPUTED_VALUE"""),"MTLSZ000550A07")</f>
        <v>MTLSZ000550A07</v>
      </c>
      <c r="I3285" s="2">
        <f ca="1">IFERROR(__xludf.DUMMYFUNCTION("""COMPUTED_VALUE"""),39409)</f>
        <v>39409</v>
      </c>
      <c r="J3285" s="2">
        <f ca="1">IFERROR(__xludf.DUMMYFUNCTION("""COMPUTED_VALUE"""),39774)</f>
        <v>39774</v>
      </c>
    </row>
    <row r="3286" spans="1:10" x14ac:dyDescent="0.25">
      <c r="A3286" s="1" t="str">
        <f ca="1">IFERROR(__xludf.DUMMYFUNCTION("""COMPUTED_VALUE"""),"MEAFC")</f>
        <v>MEAFC</v>
      </c>
      <c r="B3286" s="1" t="str">
        <f ca="1">IFERROR(__xludf.DUMMYFUNCTION("""COMPUTED_VALUE"""),"Muzsikus Dávid")</f>
        <v>Muzsikus Dávid</v>
      </c>
      <c r="C3286" s="1"/>
      <c r="D3286" s="1" t="str">
        <f ca="1">IFERROR(__xludf.DUMMYFUNCTION("""COMPUTED_VALUE"""),"Férfi")</f>
        <v>Férfi</v>
      </c>
      <c r="E3286" s="1"/>
      <c r="F3286" s="1">
        <f ca="1">IFERROR(__xludf.DUMMYFUNCTION("""COMPUTED_VALUE"""),1992)</f>
        <v>1992</v>
      </c>
      <c r="G3286" s="1">
        <f ca="1">IFERROR(__xludf.DUMMYFUNCTION("""COMPUTED_VALUE"""),1557)</f>
        <v>1557</v>
      </c>
      <c r="H3286" s="1" t="str">
        <f ca="1">IFERROR(__xludf.DUMMYFUNCTION("""COMPUTED_VALUE"""),"MTLSZ001557A07")</f>
        <v>MTLSZ001557A07</v>
      </c>
      <c r="I3286" s="2">
        <f ca="1">IFERROR(__xludf.DUMMYFUNCTION("""COMPUTED_VALUE"""),39409)</f>
        <v>39409</v>
      </c>
      <c r="J3286" s="2">
        <f ca="1">IFERROR(__xludf.DUMMYFUNCTION("""COMPUTED_VALUE"""),39774)</f>
        <v>39774</v>
      </c>
    </row>
    <row r="3287" spans="1:10" x14ac:dyDescent="0.25">
      <c r="A3287" s="1" t="str">
        <f ca="1">IFERROR(__xludf.DUMMYFUNCTION("""COMPUTED_VALUE"""),"MEAFC")</f>
        <v>MEAFC</v>
      </c>
      <c r="B3287" s="1" t="str">
        <f ca="1">IFERROR(__xludf.DUMMYFUNCTION("""COMPUTED_VALUE"""),"Pápai Judit")</f>
        <v>Pápai Judit</v>
      </c>
      <c r="C3287" s="1"/>
      <c r="D3287" s="1" t="str">
        <f ca="1">IFERROR(__xludf.DUMMYFUNCTION("""COMPUTED_VALUE"""),"Nő")</f>
        <v>Nő</v>
      </c>
      <c r="E3287" s="1"/>
      <c r="F3287" s="1">
        <f ca="1">IFERROR(__xludf.DUMMYFUNCTION("""COMPUTED_VALUE"""),1983)</f>
        <v>1983</v>
      </c>
      <c r="G3287" s="1">
        <f ca="1">IFERROR(__xludf.DUMMYFUNCTION("""COMPUTED_VALUE"""),1558)</f>
        <v>1558</v>
      </c>
      <c r="H3287" s="1" t="str">
        <f ca="1">IFERROR(__xludf.DUMMYFUNCTION("""COMPUTED_VALUE"""),"MTLSZ001558A07")</f>
        <v>MTLSZ001558A07</v>
      </c>
      <c r="I3287" s="2">
        <f ca="1">IFERROR(__xludf.DUMMYFUNCTION("""COMPUTED_VALUE"""),39409)</f>
        <v>39409</v>
      </c>
      <c r="J3287" s="2">
        <f ca="1">IFERROR(__xludf.DUMMYFUNCTION("""COMPUTED_VALUE"""),39774)</f>
        <v>39774</v>
      </c>
    </row>
    <row r="3288" spans="1:10" x14ac:dyDescent="0.25">
      <c r="A3288" s="1" t="str">
        <f ca="1">IFERROR(__xludf.DUMMYFUNCTION("""COMPUTED_VALUE"""),"MEAFC")</f>
        <v>MEAFC</v>
      </c>
      <c r="B3288" s="1" t="str">
        <f ca="1">IFERROR(__xludf.DUMMYFUNCTION("""COMPUTED_VALUE"""),"Petőné Sütő Tünde")</f>
        <v>Petőné Sütő Tünde</v>
      </c>
      <c r="C3288" s="1"/>
      <c r="D3288" s="1" t="str">
        <f ca="1">IFERROR(__xludf.DUMMYFUNCTION("""COMPUTED_VALUE"""),"Nő")</f>
        <v>Nő</v>
      </c>
      <c r="E3288" s="1"/>
      <c r="F3288" s="1">
        <f ca="1">IFERROR(__xludf.DUMMYFUNCTION("""COMPUTED_VALUE"""),1970)</f>
        <v>1970</v>
      </c>
      <c r="G3288" s="1">
        <f ca="1">IFERROR(__xludf.DUMMYFUNCTION("""COMPUTED_VALUE"""),768)</f>
        <v>768</v>
      </c>
      <c r="H3288" s="1" t="str">
        <f ca="1">IFERROR(__xludf.DUMMYFUNCTION("""COMPUTED_VALUE"""),"MTLSZ000768A07")</f>
        <v>MTLSZ000768A07</v>
      </c>
      <c r="I3288" s="2">
        <f ca="1">IFERROR(__xludf.DUMMYFUNCTION("""COMPUTED_VALUE"""),39409)</f>
        <v>39409</v>
      </c>
      <c r="J3288" s="2">
        <f ca="1">IFERROR(__xludf.DUMMYFUNCTION("""COMPUTED_VALUE"""),39774)</f>
        <v>39774</v>
      </c>
    </row>
    <row r="3289" spans="1:10" x14ac:dyDescent="0.25">
      <c r="A3289" s="1" t="str">
        <f ca="1">IFERROR(__xludf.DUMMYFUNCTION("""COMPUTED_VALUE"""),"MEAFC")</f>
        <v>MEAFC</v>
      </c>
      <c r="B3289" s="1" t="str">
        <f ca="1">IFERROR(__xludf.DUMMYFUNCTION("""COMPUTED_VALUE"""),"Székely Imre")</f>
        <v>Székely Imre</v>
      </c>
      <c r="C3289" s="1"/>
      <c r="D3289" s="1" t="str">
        <f ca="1">IFERROR(__xludf.DUMMYFUNCTION("""COMPUTED_VALUE"""),"Férfi")</f>
        <v>Férfi</v>
      </c>
      <c r="E3289" s="1"/>
      <c r="F3289" s="1">
        <f ca="1">IFERROR(__xludf.DUMMYFUNCTION("""COMPUTED_VALUE"""),1977)</f>
        <v>1977</v>
      </c>
      <c r="G3289" s="1">
        <f ca="1">IFERROR(__xludf.DUMMYFUNCTION("""COMPUTED_VALUE"""),927)</f>
        <v>927</v>
      </c>
      <c r="H3289" s="1" t="str">
        <f ca="1">IFERROR(__xludf.DUMMYFUNCTION("""COMPUTED_VALUE"""),"MTLSZ000927A07")</f>
        <v>MTLSZ000927A07</v>
      </c>
      <c r="I3289" s="2">
        <f ca="1">IFERROR(__xludf.DUMMYFUNCTION("""COMPUTED_VALUE"""),39409)</f>
        <v>39409</v>
      </c>
      <c r="J3289" s="2">
        <f ca="1">IFERROR(__xludf.DUMMYFUNCTION("""COMPUTED_VALUE"""),39774)</f>
        <v>39774</v>
      </c>
    </row>
    <row r="3290" spans="1:10" x14ac:dyDescent="0.25">
      <c r="A3290" s="1" t="str">
        <f ca="1">IFERROR(__xludf.DUMMYFUNCTION("""COMPUTED_VALUE"""),"MEAFC")</f>
        <v>MEAFC</v>
      </c>
      <c r="B3290" s="1" t="str">
        <f ca="1">IFERROR(__xludf.DUMMYFUNCTION("""COMPUTED_VALUE"""),"Udvari Katalin")</f>
        <v>Udvari Katalin</v>
      </c>
      <c r="C3290" s="1"/>
      <c r="D3290" s="1" t="str">
        <f ca="1">IFERROR(__xludf.DUMMYFUNCTION("""COMPUTED_VALUE"""),"Nő")</f>
        <v>Nő</v>
      </c>
      <c r="E3290" s="1"/>
      <c r="F3290" s="1">
        <f ca="1">IFERROR(__xludf.DUMMYFUNCTION("""COMPUTED_VALUE"""),1980)</f>
        <v>1980</v>
      </c>
      <c r="G3290" s="1">
        <f ca="1">IFERROR(__xludf.DUMMYFUNCTION("""COMPUTED_VALUE"""),1071)</f>
        <v>1071</v>
      </c>
      <c r="H3290" s="1" t="str">
        <f ca="1">IFERROR(__xludf.DUMMYFUNCTION("""COMPUTED_VALUE"""),"MTLSZ001071A07")</f>
        <v>MTLSZ001071A07</v>
      </c>
      <c r="I3290" s="2">
        <f ca="1">IFERROR(__xludf.DUMMYFUNCTION("""COMPUTED_VALUE"""),39409)</f>
        <v>39409</v>
      </c>
      <c r="J3290" s="2">
        <f ca="1">IFERROR(__xludf.DUMMYFUNCTION("""COMPUTED_VALUE"""),39774)</f>
        <v>39774</v>
      </c>
    </row>
    <row r="3291" spans="1:10" x14ac:dyDescent="0.25">
      <c r="A3291" s="1" t="str">
        <f ca="1">IFERROR(__xludf.DUMMYFUNCTION("""COMPUTED_VALUE"""),"MEAFC")</f>
        <v>MEAFC</v>
      </c>
      <c r="B3291" s="1" t="str">
        <f ca="1">IFERROR(__xludf.DUMMYFUNCTION("""COMPUTED_VALUE"""),"Vernyik Attila")</f>
        <v>Vernyik Attila</v>
      </c>
      <c r="C3291" s="1"/>
      <c r="D3291" s="1" t="str">
        <f ca="1">IFERROR(__xludf.DUMMYFUNCTION("""COMPUTED_VALUE"""),"Férfi")</f>
        <v>Férfi</v>
      </c>
      <c r="E3291" s="1"/>
      <c r="F3291" s="1">
        <f ca="1">IFERROR(__xludf.DUMMYFUNCTION("""COMPUTED_VALUE"""),1974)</f>
        <v>1974</v>
      </c>
      <c r="G3291" s="1">
        <f ca="1">IFERROR(__xludf.DUMMYFUNCTION("""COMPUTED_VALUE"""),1115)</f>
        <v>1115</v>
      </c>
      <c r="H3291" s="1" t="str">
        <f ca="1">IFERROR(__xludf.DUMMYFUNCTION("""COMPUTED_VALUE"""),"MTLSZ001115A07")</f>
        <v>MTLSZ001115A07</v>
      </c>
      <c r="I3291" s="2">
        <f ca="1">IFERROR(__xludf.DUMMYFUNCTION("""COMPUTED_VALUE"""),39409)</f>
        <v>39409</v>
      </c>
      <c r="J3291" s="2">
        <f ca="1">IFERROR(__xludf.DUMMYFUNCTION("""COMPUTED_VALUE"""),39774)</f>
        <v>39774</v>
      </c>
    </row>
    <row r="3292" spans="1:10" x14ac:dyDescent="0.25">
      <c r="A3292" s="1" t="str">
        <f ca="1">IFERROR(__xludf.DUMMYFUNCTION("""COMPUTED_VALUE"""),"Érdi VSE")</f>
        <v>Érdi VSE</v>
      </c>
      <c r="B3292" s="1" t="str">
        <f ca="1">IFERROR(__xludf.DUMMYFUNCTION("""COMPUTED_VALUE"""),"Stibrányi Márton")</f>
        <v>Stibrányi Márton</v>
      </c>
      <c r="C3292" s="1"/>
      <c r="D3292" s="1" t="str">
        <f ca="1">IFERROR(__xludf.DUMMYFUNCTION("""COMPUTED_VALUE"""),"Férfi")</f>
        <v>Férfi</v>
      </c>
      <c r="E3292" s="1"/>
      <c r="F3292" s="1">
        <f ca="1">IFERROR(__xludf.DUMMYFUNCTION("""COMPUTED_VALUE"""),1990)</f>
        <v>1990</v>
      </c>
      <c r="G3292" s="1">
        <f ca="1">IFERROR(__xludf.DUMMYFUNCTION("""COMPUTED_VALUE"""),871)</f>
        <v>871</v>
      </c>
      <c r="H3292" s="1" t="str">
        <f ca="1">IFERROR(__xludf.DUMMYFUNCTION("""COMPUTED_VALUE"""),"MTLSZ000871A07")</f>
        <v>MTLSZ000871A07</v>
      </c>
      <c r="I3292" s="2">
        <f ca="1">IFERROR(__xludf.DUMMYFUNCTION("""COMPUTED_VALUE"""),39407)</f>
        <v>39407</v>
      </c>
      <c r="J3292" s="2">
        <f ca="1">IFERROR(__xludf.DUMMYFUNCTION("""COMPUTED_VALUE"""),39772)</f>
        <v>39772</v>
      </c>
    </row>
    <row r="3293" spans="1:10" x14ac:dyDescent="0.25">
      <c r="A3293" s="1" t="str">
        <f ca="1">IFERROR(__xludf.DUMMYFUNCTION("""COMPUTED_VALUE"""),"MAFC")</f>
        <v>MAFC</v>
      </c>
      <c r="B3293" s="1" t="str">
        <f ca="1">IFERROR(__xludf.DUMMYFUNCTION("""COMPUTED_VALUE"""),"Deme Gábor")</f>
        <v>Deme Gábor</v>
      </c>
      <c r="C3293" s="1"/>
      <c r="D3293" s="1" t="str">
        <f ca="1">IFERROR(__xludf.DUMMYFUNCTION("""COMPUTED_VALUE"""),"Férfi")</f>
        <v>Férfi</v>
      </c>
      <c r="E3293" s="1"/>
      <c r="F3293" s="1">
        <f ca="1">IFERROR(__xludf.DUMMYFUNCTION("""COMPUTED_VALUE"""),1995)</f>
        <v>1995</v>
      </c>
      <c r="G3293" s="1">
        <f ca="1">IFERROR(__xludf.DUMMYFUNCTION("""COMPUTED_VALUE"""),1374)</f>
        <v>1374</v>
      </c>
      <c r="H3293" s="1" t="str">
        <f ca="1">IFERROR(__xludf.DUMMYFUNCTION("""COMPUTED_VALUE"""),"MTLSZ001374A07")</f>
        <v>MTLSZ001374A07</v>
      </c>
      <c r="I3293" s="2">
        <f ca="1">IFERROR(__xludf.DUMMYFUNCTION("""COMPUTED_VALUE"""),39401)</f>
        <v>39401</v>
      </c>
      <c r="J3293" s="2">
        <f ca="1">IFERROR(__xludf.DUMMYFUNCTION("""COMPUTED_VALUE"""),39766)</f>
        <v>39766</v>
      </c>
    </row>
    <row r="3294" spans="1:10" x14ac:dyDescent="0.25">
      <c r="A3294" s="1" t="str">
        <f ca="1">IFERROR(__xludf.DUMMYFUNCTION("""COMPUTED_VALUE"""),"Pedagógus Fáklya SE")</f>
        <v>Pedagógus Fáklya SE</v>
      </c>
      <c r="B3294" s="1" t="str">
        <f ca="1">IFERROR(__xludf.DUMMYFUNCTION("""COMPUTED_VALUE"""),"Posteuca Adina-Ioana")</f>
        <v>Posteuca Adina-Ioana</v>
      </c>
      <c r="C3294" s="1"/>
      <c r="D3294" s="1" t="str">
        <f ca="1">IFERROR(__xludf.DUMMYFUNCTION("""COMPUTED_VALUE"""),"Nő")</f>
        <v>Nő</v>
      </c>
      <c r="E3294" s="1"/>
      <c r="F3294" s="1">
        <f ca="1">IFERROR(__xludf.DUMMYFUNCTION("""COMPUTED_VALUE"""),1981)</f>
        <v>1981</v>
      </c>
      <c r="G3294" s="1">
        <f ca="1">IFERROR(__xludf.DUMMYFUNCTION("""COMPUTED_VALUE"""),782)</f>
        <v>782</v>
      </c>
      <c r="H3294" s="1" t="str">
        <f ca="1">IFERROR(__xludf.DUMMYFUNCTION("""COMPUTED_VALUE"""),"MTLSZ000782A07")</f>
        <v>MTLSZ000782A07</v>
      </c>
      <c r="I3294" s="2">
        <f ca="1">IFERROR(__xludf.DUMMYFUNCTION("""COMPUTED_VALUE"""),39399)</f>
        <v>39399</v>
      </c>
      <c r="J3294" s="2">
        <f ca="1">IFERROR(__xludf.DUMMYFUNCTION("""COMPUTED_VALUE"""),39764)</f>
        <v>39764</v>
      </c>
    </row>
    <row r="3295" spans="1:10" x14ac:dyDescent="0.25">
      <c r="A3295" s="1" t="str">
        <f ca="1">IFERROR(__xludf.DUMMYFUNCTION("""COMPUTED_VALUE"""),"Pedagógus Fáklya SE")</f>
        <v>Pedagógus Fáklya SE</v>
      </c>
      <c r="B3295" s="1" t="str">
        <f ca="1">IFERROR(__xludf.DUMMYFUNCTION("""COMPUTED_VALUE"""),"Papp Erika")</f>
        <v>Papp Erika</v>
      </c>
      <c r="C3295" s="1"/>
      <c r="D3295" s="1" t="str">
        <f ca="1">IFERROR(__xludf.DUMMYFUNCTION("""COMPUTED_VALUE"""),"Nő")</f>
        <v>Nő</v>
      </c>
      <c r="E3295" s="1"/>
      <c r="F3295" s="1">
        <f ca="1">IFERROR(__xludf.DUMMYFUNCTION("""COMPUTED_VALUE"""),1990)</f>
        <v>1990</v>
      </c>
      <c r="G3295" s="1">
        <f ca="1">IFERROR(__xludf.DUMMYFUNCTION("""COMPUTED_VALUE"""),1683)</f>
        <v>1683</v>
      </c>
      <c r="H3295" s="1" t="str">
        <f ca="1">IFERROR(__xludf.DUMMYFUNCTION("""COMPUTED_VALUE"""),"MTLSZ001683A07")</f>
        <v>MTLSZ001683A07</v>
      </c>
      <c r="I3295" s="2">
        <f ca="1">IFERROR(__xludf.DUMMYFUNCTION("""COMPUTED_VALUE"""),39398)</f>
        <v>39398</v>
      </c>
      <c r="J3295" s="2">
        <f ca="1">IFERROR(__xludf.DUMMYFUNCTION("""COMPUTED_VALUE"""),39763)</f>
        <v>39763</v>
      </c>
    </row>
    <row r="3296" spans="1:10" x14ac:dyDescent="0.25">
      <c r="A3296" s="1" t="str">
        <f ca="1">IFERROR(__xludf.DUMMYFUNCTION("""COMPUTED_VALUE"""),"Pedagógus Fáklya SE")</f>
        <v>Pedagógus Fáklya SE</v>
      </c>
      <c r="B3296" s="1" t="str">
        <f ca="1">IFERROR(__xludf.DUMMYFUNCTION("""COMPUTED_VALUE"""),"Varga Patrik")</f>
        <v>Varga Patrik</v>
      </c>
      <c r="C3296" s="1"/>
      <c r="D3296" s="1" t="str">
        <f ca="1">IFERROR(__xludf.DUMMYFUNCTION("""COMPUTED_VALUE"""),"Férfi")</f>
        <v>Férfi</v>
      </c>
      <c r="E3296" s="1"/>
      <c r="F3296" s="1">
        <f ca="1">IFERROR(__xludf.DUMMYFUNCTION("""COMPUTED_VALUE"""),1992)</f>
        <v>1992</v>
      </c>
      <c r="G3296" s="1">
        <f ca="1">IFERROR(__xludf.DUMMYFUNCTION("""COMPUTED_VALUE"""),1430)</f>
        <v>1430</v>
      </c>
      <c r="H3296" s="1" t="str">
        <f ca="1">IFERROR(__xludf.DUMMYFUNCTION("""COMPUTED_VALUE"""),"MTLSZ001430A07")</f>
        <v>MTLSZ001430A07</v>
      </c>
      <c r="I3296" s="2">
        <f ca="1">IFERROR(__xludf.DUMMYFUNCTION("""COMPUTED_VALUE"""),39398)</f>
        <v>39398</v>
      </c>
      <c r="J3296" s="2">
        <f ca="1">IFERROR(__xludf.DUMMYFUNCTION("""COMPUTED_VALUE"""),39763)</f>
        <v>39763</v>
      </c>
    </row>
    <row r="3297" spans="1:10" x14ac:dyDescent="0.25">
      <c r="A3297" s="1" t="str">
        <f ca="1">IFERROR(__xludf.DUMMYFUNCTION("""COMPUTED_VALUE"""),"Klébi DSE")</f>
        <v>Klébi DSE</v>
      </c>
      <c r="B3297" s="1" t="str">
        <f ca="1">IFERROR(__xludf.DUMMYFUNCTION("""COMPUTED_VALUE"""),"Csutoros Áron")</f>
        <v>Csutoros Áron</v>
      </c>
      <c r="C3297" s="1"/>
      <c r="D3297" s="1" t="str">
        <f ca="1">IFERROR(__xludf.DUMMYFUNCTION("""COMPUTED_VALUE"""),"Férfi")</f>
        <v>Férfi</v>
      </c>
      <c r="E3297" s="1"/>
      <c r="F3297" s="1">
        <f ca="1">IFERROR(__xludf.DUMMYFUNCTION("""COMPUTED_VALUE"""),1994)</f>
        <v>1994</v>
      </c>
      <c r="G3297" s="1">
        <f ca="1">IFERROR(__xludf.DUMMYFUNCTION("""COMPUTED_VALUE"""),1852)</f>
        <v>1852</v>
      </c>
      <c r="H3297" s="1" t="str">
        <f ca="1">IFERROR(__xludf.DUMMYFUNCTION("""COMPUTED_VALUE"""),"MTLSZ001852A07")</f>
        <v>MTLSZ001852A07</v>
      </c>
      <c r="I3297" s="2">
        <f ca="1">IFERROR(__xludf.DUMMYFUNCTION("""COMPUTED_VALUE"""),39373)</f>
        <v>39373</v>
      </c>
      <c r="J3297" s="2">
        <f ca="1">IFERROR(__xludf.DUMMYFUNCTION("""COMPUTED_VALUE"""),39738)</f>
        <v>39738</v>
      </c>
    </row>
    <row r="3298" spans="1:10" x14ac:dyDescent="0.25">
      <c r="A3298" s="1" t="str">
        <f ca="1">IFERROR(__xludf.DUMMYFUNCTION("""COMPUTED_VALUE"""),"Alba-Toll SE")</f>
        <v>Alba-Toll SE</v>
      </c>
      <c r="B3298" s="1" t="str">
        <f ca="1">IFERROR(__xludf.DUMMYFUNCTION("""COMPUTED_VALUE"""),"Strobl Andrea")</f>
        <v>Strobl Andrea</v>
      </c>
      <c r="C3298" s="1"/>
      <c r="D3298" s="1" t="str">
        <f ca="1">IFERROR(__xludf.DUMMYFUNCTION("""COMPUTED_VALUE"""),"Nő")</f>
        <v>Nő</v>
      </c>
      <c r="E3298" s="1"/>
      <c r="F3298" s="1">
        <f ca="1">IFERROR(__xludf.DUMMYFUNCTION("""COMPUTED_VALUE"""),1993)</f>
        <v>1993</v>
      </c>
      <c r="G3298" s="1">
        <f ca="1">IFERROR(__xludf.DUMMYFUNCTION("""COMPUTED_VALUE"""),1431)</f>
        <v>1431</v>
      </c>
      <c r="H3298" s="1" t="str">
        <f ca="1">IFERROR(__xludf.DUMMYFUNCTION("""COMPUTED_VALUE"""),"MTLSZ001431A07")</f>
        <v>MTLSZ001431A07</v>
      </c>
      <c r="I3298" s="2">
        <f ca="1">IFERROR(__xludf.DUMMYFUNCTION("""COMPUTED_VALUE"""),39372)</f>
        <v>39372</v>
      </c>
      <c r="J3298" s="2">
        <f ca="1">IFERROR(__xludf.DUMMYFUNCTION("""COMPUTED_VALUE"""),39737)</f>
        <v>39737</v>
      </c>
    </row>
    <row r="3299" spans="1:10" x14ac:dyDescent="0.25">
      <c r="A3299" s="1" t="str">
        <f ca="1">IFERROR(__xludf.DUMMYFUNCTION("""COMPUTED_VALUE"""),"Alba-Toll SE")</f>
        <v>Alba-Toll SE</v>
      </c>
      <c r="B3299" s="1" t="str">
        <f ca="1">IFERROR(__xludf.DUMMYFUNCTION("""COMPUTED_VALUE"""),"Sveininger Aletta")</f>
        <v>Sveininger Aletta</v>
      </c>
      <c r="C3299" s="1"/>
      <c r="D3299" s="1" t="str">
        <f ca="1">IFERROR(__xludf.DUMMYFUNCTION("""COMPUTED_VALUE"""),"Nő")</f>
        <v>Nő</v>
      </c>
      <c r="E3299" s="1"/>
      <c r="F3299" s="1">
        <f ca="1">IFERROR(__xludf.DUMMYFUNCTION("""COMPUTED_VALUE"""),1993)</f>
        <v>1993</v>
      </c>
      <c r="G3299" s="1">
        <f ca="1">IFERROR(__xludf.DUMMYFUNCTION("""COMPUTED_VALUE"""),1417)</f>
        <v>1417</v>
      </c>
      <c r="H3299" s="1" t="str">
        <f ca="1">IFERROR(__xludf.DUMMYFUNCTION("""COMPUTED_VALUE"""),"MTLSZ001417A07")</f>
        <v>MTLSZ001417A07</v>
      </c>
      <c r="I3299" s="2">
        <f ca="1">IFERROR(__xludf.DUMMYFUNCTION("""COMPUTED_VALUE"""),39372)</f>
        <v>39372</v>
      </c>
      <c r="J3299" s="2">
        <f ca="1">IFERROR(__xludf.DUMMYFUNCTION("""COMPUTED_VALUE"""),39737)</f>
        <v>39737</v>
      </c>
    </row>
    <row r="3300" spans="1:10" x14ac:dyDescent="0.25">
      <c r="A3300" s="1" t="str">
        <f ca="1">IFERROR(__xludf.DUMMYFUNCTION("""COMPUTED_VALUE"""),"Érdi VSE")</f>
        <v>Érdi VSE</v>
      </c>
      <c r="B3300" s="1" t="str">
        <f ca="1">IFERROR(__xludf.DUMMYFUNCTION("""COMPUTED_VALUE"""),"Demeter Judit")</f>
        <v>Demeter Judit</v>
      </c>
      <c r="C3300" s="1"/>
      <c r="D3300" s="1" t="str">
        <f ca="1">IFERROR(__xludf.DUMMYFUNCTION("""COMPUTED_VALUE"""),"Nő")</f>
        <v>Nő</v>
      </c>
      <c r="E3300" s="1"/>
      <c r="F3300" s="1">
        <f ca="1">IFERROR(__xludf.DUMMYFUNCTION("""COMPUTED_VALUE"""),1986)</f>
        <v>1986</v>
      </c>
      <c r="G3300" s="1">
        <f ca="1">IFERROR(__xludf.DUMMYFUNCTION("""COMPUTED_VALUE"""),1741)</f>
        <v>1741</v>
      </c>
      <c r="H3300" s="1" t="str">
        <f ca="1">IFERROR(__xludf.DUMMYFUNCTION("""COMPUTED_VALUE"""),"MTLSZ001741A07")</f>
        <v>MTLSZ001741A07</v>
      </c>
      <c r="I3300" s="2">
        <f ca="1">IFERROR(__xludf.DUMMYFUNCTION("""COMPUTED_VALUE"""),39360)</f>
        <v>39360</v>
      </c>
      <c r="J3300" s="2">
        <f ca="1">IFERROR(__xludf.DUMMYFUNCTION("""COMPUTED_VALUE"""),39725)</f>
        <v>39725</v>
      </c>
    </row>
    <row r="3301" spans="1:10" x14ac:dyDescent="0.25">
      <c r="A3301" s="1" t="str">
        <f ca="1">IFERROR(__xludf.DUMMYFUNCTION("""COMPUTED_VALUE"""),"Segesi DE")</f>
        <v>Segesi DE</v>
      </c>
      <c r="B3301" s="1" t="str">
        <f ca="1">IFERROR(__xludf.DUMMYFUNCTION("""COMPUTED_VALUE"""),"Tóth Bernadett")</f>
        <v>Tóth Bernadett</v>
      </c>
      <c r="C3301" s="1"/>
      <c r="D3301" s="1" t="str">
        <f ca="1">IFERROR(__xludf.DUMMYFUNCTION("""COMPUTED_VALUE"""),"Nő")</f>
        <v>Nő</v>
      </c>
      <c r="E3301" s="1"/>
      <c r="F3301" s="1">
        <f ca="1">IFERROR(__xludf.DUMMYFUNCTION("""COMPUTED_VALUE"""),1987)</f>
        <v>1987</v>
      </c>
      <c r="G3301" s="1">
        <f ca="1">IFERROR(__xludf.DUMMYFUNCTION("""COMPUTED_VALUE"""),1027)</f>
        <v>1027</v>
      </c>
      <c r="H3301" s="1" t="str">
        <f ca="1">IFERROR(__xludf.DUMMYFUNCTION("""COMPUTED_VALUE"""),"MTLSZ001027A07")</f>
        <v>MTLSZ001027A07</v>
      </c>
      <c r="I3301" s="2">
        <f ca="1">IFERROR(__xludf.DUMMYFUNCTION("""COMPUTED_VALUE"""),39360)</f>
        <v>39360</v>
      </c>
      <c r="J3301" s="2">
        <f ca="1">IFERROR(__xludf.DUMMYFUNCTION("""COMPUTED_VALUE"""),39725)</f>
        <v>39725</v>
      </c>
    </row>
    <row r="3302" spans="1:10" x14ac:dyDescent="0.25">
      <c r="A3302" s="1" t="str">
        <f ca="1">IFERROR(__xludf.DUMMYFUNCTION("""COMPUTED_VALUE"""),"HZSE")</f>
        <v>HZSE</v>
      </c>
      <c r="B3302" s="1" t="str">
        <f ca="1">IFERROR(__xludf.DUMMYFUNCTION("""COMPUTED_VALUE"""),"Kovács Emese")</f>
        <v>Kovács Emese</v>
      </c>
      <c r="C3302" s="1"/>
      <c r="D3302" s="1" t="str">
        <f ca="1">IFERROR(__xludf.DUMMYFUNCTION("""COMPUTED_VALUE"""),"Nő")</f>
        <v>Nő</v>
      </c>
      <c r="E3302" s="1"/>
      <c r="F3302" s="1">
        <f ca="1">IFERROR(__xludf.DUMMYFUNCTION("""COMPUTED_VALUE"""),1988)</f>
        <v>1988</v>
      </c>
      <c r="G3302" s="1">
        <f ca="1">IFERROR(__xludf.DUMMYFUNCTION("""COMPUTED_VALUE"""),1350)</f>
        <v>1350</v>
      </c>
      <c r="H3302" s="1" t="str">
        <f ca="1">IFERROR(__xludf.DUMMYFUNCTION("""COMPUTED_VALUE"""),"MTLSZ001350A07")</f>
        <v>MTLSZ001350A07</v>
      </c>
      <c r="I3302" s="2">
        <f ca="1">IFERROR(__xludf.DUMMYFUNCTION("""COMPUTED_VALUE"""),39359)</f>
        <v>39359</v>
      </c>
      <c r="J3302" s="2">
        <f ca="1">IFERROR(__xludf.DUMMYFUNCTION("""COMPUTED_VALUE"""),39724)</f>
        <v>39724</v>
      </c>
    </row>
    <row r="3303" spans="1:10" x14ac:dyDescent="0.25">
      <c r="A3303" s="1" t="str">
        <f ca="1">IFERROR(__xludf.DUMMYFUNCTION("""COMPUTED_VALUE"""),"DSC-SI")</f>
        <v>DSC-SI</v>
      </c>
      <c r="B3303" s="1" t="str">
        <f ca="1">IFERROR(__xludf.DUMMYFUNCTION("""COMPUTED_VALUE"""),"Hegedűs Adrienn")</f>
        <v>Hegedűs Adrienn</v>
      </c>
      <c r="C3303" s="1"/>
      <c r="D3303" s="1" t="str">
        <f ca="1">IFERROR(__xludf.DUMMYFUNCTION("""COMPUTED_VALUE"""),"Nő")</f>
        <v>Nő</v>
      </c>
      <c r="E3303" s="1"/>
      <c r="F3303" s="1">
        <f ca="1">IFERROR(__xludf.DUMMYFUNCTION("""COMPUTED_VALUE"""),1992)</f>
        <v>1992</v>
      </c>
      <c r="G3303" s="1">
        <f ca="1">IFERROR(__xludf.DUMMYFUNCTION("""COMPUTED_VALUE"""),350)</f>
        <v>350</v>
      </c>
      <c r="H3303" s="1" t="str">
        <f ca="1">IFERROR(__xludf.DUMMYFUNCTION("""COMPUTED_VALUE"""),"MTLSZ000350A07")</f>
        <v>MTLSZ000350A07</v>
      </c>
      <c r="I3303" s="2">
        <f ca="1">IFERROR(__xludf.DUMMYFUNCTION("""COMPUTED_VALUE"""),39357)</f>
        <v>39357</v>
      </c>
      <c r="J3303" s="2">
        <f ca="1">IFERROR(__xludf.DUMMYFUNCTION("""COMPUTED_VALUE"""),39722)</f>
        <v>39722</v>
      </c>
    </row>
    <row r="3304" spans="1:10" x14ac:dyDescent="0.25">
      <c r="A3304" s="1" t="str">
        <f ca="1">IFERROR(__xludf.DUMMYFUNCTION("""COMPUTED_VALUE"""),"Seregélyesi PDSE")</f>
        <v>Seregélyesi PDSE</v>
      </c>
      <c r="B3304" s="1" t="str">
        <f ca="1">IFERROR(__xludf.DUMMYFUNCTION("""COMPUTED_VALUE"""),"Faddi Bettina")</f>
        <v>Faddi Bettina</v>
      </c>
      <c r="C3304" s="1"/>
      <c r="D3304" s="1" t="str">
        <f ca="1">IFERROR(__xludf.DUMMYFUNCTION("""COMPUTED_VALUE"""),"Nő")</f>
        <v>Nő</v>
      </c>
      <c r="E3304" s="1"/>
      <c r="F3304" s="1">
        <f ca="1">IFERROR(__xludf.DUMMYFUNCTION("""COMPUTED_VALUE"""),1991)</f>
        <v>1991</v>
      </c>
      <c r="G3304" s="1">
        <f ca="1">IFERROR(__xludf.DUMMYFUNCTION("""COMPUTED_VALUE"""),1839)</f>
        <v>1839</v>
      </c>
      <c r="H3304" s="1" t="str">
        <f ca="1">IFERROR(__xludf.DUMMYFUNCTION("""COMPUTED_VALUE"""),"MTLSZ001839A07")</f>
        <v>MTLSZ001839A07</v>
      </c>
      <c r="I3304" s="2">
        <f ca="1">IFERROR(__xludf.DUMMYFUNCTION("""COMPUTED_VALUE"""),39346)</f>
        <v>39346</v>
      </c>
      <c r="J3304" s="2">
        <f ca="1">IFERROR(__xludf.DUMMYFUNCTION("""COMPUTED_VALUE"""),39711)</f>
        <v>39711</v>
      </c>
    </row>
    <row r="3305" spans="1:10" x14ac:dyDescent="0.25">
      <c r="A3305" s="1" t="str">
        <f ca="1">IFERROR(__xludf.DUMMYFUNCTION("""COMPUTED_VALUE"""),"Érdi VSE")</f>
        <v>Érdi VSE</v>
      </c>
      <c r="B3305" s="1" t="str">
        <f ca="1">IFERROR(__xludf.DUMMYFUNCTION("""COMPUTED_VALUE"""),"Horváth Csenge")</f>
        <v>Horváth Csenge</v>
      </c>
      <c r="C3305" s="1"/>
      <c r="D3305" s="1" t="str">
        <f ca="1">IFERROR(__xludf.DUMMYFUNCTION("""COMPUTED_VALUE"""),"Nő")</f>
        <v>Nő</v>
      </c>
      <c r="E3305" s="1"/>
      <c r="F3305" s="1">
        <f ca="1">IFERROR(__xludf.DUMMYFUNCTION("""COMPUTED_VALUE"""),1995)</f>
        <v>1995</v>
      </c>
      <c r="G3305" s="1">
        <f ca="1">IFERROR(__xludf.DUMMYFUNCTION("""COMPUTED_VALUE"""),1780)</f>
        <v>1780</v>
      </c>
      <c r="H3305" s="1" t="str">
        <f ca="1">IFERROR(__xludf.DUMMYFUNCTION("""COMPUTED_VALUE"""),"MTLSZ001780A07")</f>
        <v>MTLSZ001780A07</v>
      </c>
      <c r="I3305" s="2">
        <f ca="1">IFERROR(__xludf.DUMMYFUNCTION("""COMPUTED_VALUE"""),39342)</f>
        <v>39342</v>
      </c>
      <c r="J3305" s="2">
        <f ca="1">IFERROR(__xludf.DUMMYFUNCTION("""COMPUTED_VALUE"""),39707)</f>
        <v>39707</v>
      </c>
    </row>
    <row r="3306" spans="1:10" x14ac:dyDescent="0.25">
      <c r="A3306" s="1" t="str">
        <f ca="1">IFERROR(__xludf.DUMMYFUNCTION("""COMPUTED_VALUE"""),"NYVSC")</f>
        <v>NYVSC</v>
      </c>
      <c r="B3306" s="1" t="str">
        <f ca="1">IFERROR(__xludf.DUMMYFUNCTION("""COMPUTED_VALUE"""),"Büdszenti Dalma")</f>
        <v>Büdszenti Dalma</v>
      </c>
      <c r="C3306" s="1"/>
      <c r="D3306" s="1" t="str">
        <f ca="1">IFERROR(__xludf.DUMMYFUNCTION("""COMPUTED_VALUE"""),"Nő")</f>
        <v>Nő</v>
      </c>
      <c r="E3306" s="1"/>
      <c r="F3306" s="1">
        <f ca="1">IFERROR(__xludf.DUMMYFUNCTION("""COMPUTED_VALUE"""),1991)</f>
        <v>1991</v>
      </c>
      <c r="G3306" s="1">
        <f ca="1">IFERROR(__xludf.DUMMYFUNCTION("""COMPUTED_VALUE"""),1835)</f>
        <v>1835</v>
      </c>
      <c r="H3306" s="1" t="str">
        <f ca="1">IFERROR(__xludf.DUMMYFUNCTION("""COMPUTED_VALUE"""),"MTLSZ001835A07")</f>
        <v>MTLSZ001835A07</v>
      </c>
      <c r="I3306" s="2">
        <f ca="1">IFERROR(__xludf.DUMMYFUNCTION("""COMPUTED_VALUE"""),39336)</f>
        <v>39336</v>
      </c>
      <c r="J3306" s="2">
        <f ca="1">IFERROR(__xludf.DUMMYFUNCTION("""COMPUTED_VALUE"""),39701)</f>
        <v>39701</v>
      </c>
    </row>
    <row r="3307" spans="1:10" x14ac:dyDescent="0.25">
      <c r="A3307" s="1" t="str">
        <f ca="1">IFERROR(__xludf.DUMMYFUNCTION("""COMPUTED_VALUE"""),"Diaboló SE")</f>
        <v>Diaboló SE</v>
      </c>
      <c r="B3307" s="1" t="str">
        <f ca="1">IFERROR(__xludf.DUMMYFUNCTION("""COMPUTED_VALUE"""),"Havas Enikő")</f>
        <v>Havas Enikő</v>
      </c>
      <c r="C3307" s="1"/>
      <c r="D3307" s="1" t="str">
        <f ca="1">IFERROR(__xludf.DUMMYFUNCTION("""COMPUTED_VALUE"""),"Nő")</f>
        <v>Nő</v>
      </c>
      <c r="E3307" s="1"/>
      <c r="F3307" s="1">
        <f ca="1">IFERROR(__xludf.DUMMYFUNCTION("""COMPUTED_VALUE"""),1986)</f>
        <v>1986</v>
      </c>
      <c r="G3307" s="1">
        <f ca="1">IFERROR(__xludf.DUMMYFUNCTION("""COMPUTED_VALUE"""),348)</f>
        <v>348</v>
      </c>
      <c r="H3307" s="1" t="str">
        <f ca="1">IFERROR(__xludf.DUMMYFUNCTION("""COMPUTED_VALUE"""),"MTLSZ000348A07")</f>
        <v>MTLSZ000348A07</v>
      </c>
      <c r="I3307" s="2">
        <f ca="1">IFERROR(__xludf.DUMMYFUNCTION("""COMPUTED_VALUE"""),39332)</f>
        <v>39332</v>
      </c>
      <c r="J3307" s="2">
        <f ca="1">IFERROR(__xludf.DUMMYFUNCTION("""COMPUTED_VALUE"""),39697)</f>
        <v>39697</v>
      </c>
    </row>
    <row r="3308" spans="1:10" x14ac:dyDescent="0.25">
      <c r="A3308" s="1" t="str">
        <f ca="1">IFERROR(__xludf.DUMMYFUNCTION("""COMPUTED_VALUE"""),"DSC-SI")</f>
        <v>DSC-SI</v>
      </c>
      <c r="B3308" s="1" t="str">
        <f ca="1">IFERROR(__xludf.DUMMYFUNCTION("""COMPUTED_VALUE"""),"Hegedüs Zsanett")</f>
        <v>Hegedüs Zsanett</v>
      </c>
      <c r="C3308" s="1"/>
      <c r="D3308" s="1" t="str">
        <f ca="1">IFERROR(__xludf.DUMMYFUNCTION("""COMPUTED_VALUE"""),"Nő")</f>
        <v>Nő</v>
      </c>
      <c r="E3308" s="1"/>
      <c r="F3308" s="1">
        <f ca="1">IFERROR(__xludf.DUMMYFUNCTION("""COMPUTED_VALUE"""),1989)</f>
        <v>1989</v>
      </c>
      <c r="G3308" s="1">
        <f ca="1">IFERROR(__xludf.DUMMYFUNCTION("""COMPUTED_VALUE"""),353)</f>
        <v>353</v>
      </c>
      <c r="H3308" s="1" t="str">
        <f ca="1">IFERROR(__xludf.DUMMYFUNCTION("""COMPUTED_VALUE"""),"MTLSZ000353A07")</f>
        <v>MTLSZ000353A07</v>
      </c>
      <c r="I3308" s="2">
        <f ca="1">IFERROR(__xludf.DUMMYFUNCTION("""COMPUTED_VALUE"""),39331)</f>
        <v>39331</v>
      </c>
      <c r="J3308" s="2">
        <f ca="1">IFERROR(__xludf.DUMMYFUNCTION("""COMPUTED_VALUE"""),39696)</f>
        <v>39696</v>
      </c>
    </row>
    <row r="3309" spans="1:10" x14ac:dyDescent="0.25">
      <c r="A3309" s="1" t="str">
        <f ca="1">IFERROR(__xludf.DUMMYFUNCTION("""COMPUTED_VALUE"""),"DSC-SI")</f>
        <v>DSC-SI</v>
      </c>
      <c r="B3309" s="1" t="str">
        <f ca="1">IFERROR(__xludf.DUMMYFUNCTION("""COMPUTED_VALUE"""),"Kovács Brigitta")</f>
        <v>Kovács Brigitta</v>
      </c>
      <c r="C3309" s="1"/>
      <c r="D3309" s="1" t="str">
        <f ca="1">IFERROR(__xludf.DUMMYFUNCTION("""COMPUTED_VALUE"""),"Nő")</f>
        <v>Nő</v>
      </c>
      <c r="E3309" s="1"/>
      <c r="F3309" s="1">
        <f ca="1">IFERROR(__xludf.DUMMYFUNCTION("""COMPUTED_VALUE"""),1996)</f>
        <v>1996</v>
      </c>
      <c r="G3309" s="1">
        <f ca="1">IFERROR(__xludf.DUMMYFUNCTION("""COMPUTED_VALUE"""),1739)</f>
        <v>1739</v>
      </c>
      <c r="H3309" s="1" t="str">
        <f ca="1">IFERROR(__xludf.DUMMYFUNCTION("""COMPUTED_VALUE"""),"MTLSZ001739A07")</f>
        <v>MTLSZ001739A07</v>
      </c>
      <c r="I3309" s="2">
        <f ca="1">IFERROR(__xludf.DUMMYFUNCTION("""COMPUTED_VALUE"""),39331)</f>
        <v>39331</v>
      </c>
      <c r="J3309" s="2">
        <f ca="1">IFERROR(__xludf.DUMMYFUNCTION("""COMPUTED_VALUE"""),39696)</f>
        <v>39696</v>
      </c>
    </row>
    <row r="3310" spans="1:10" x14ac:dyDescent="0.25">
      <c r="A3310" s="1" t="str">
        <f ca="1">IFERROR(__xludf.DUMMYFUNCTION("""COMPUTED_VALUE"""),"DSC-SI")</f>
        <v>DSC-SI</v>
      </c>
      <c r="B3310" s="1" t="str">
        <f ca="1">IFERROR(__xludf.DUMMYFUNCTION("""COMPUTED_VALUE"""),"Sramkó Dániel")</f>
        <v>Sramkó Dániel</v>
      </c>
      <c r="C3310" s="1"/>
      <c r="D3310" s="1" t="str">
        <f ca="1">IFERROR(__xludf.DUMMYFUNCTION("""COMPUTED_VALUE"""),"Férfi")</f>
        <v>Férfi</v>
      </c>
      <c r="E3310" s="1"/>
      <c r="F3310" s="1">
        <f ca="1">IFERROR(__xludf.DUMMYFUNCTION("""COMPUTED_VALUE"""),1993)</f>
        <v>1993</v>
      </c>
      <c r="G3310" s="1">
        <f ca="1">IFERROR(__xludf.DUMMYFUNCTION("""COMPUTED_VALUE"""),1228)</f>
        <v>1228</v>
      </c>
      <c r="H3310" s="1" t="str">
        <f ca="1">IFERROR(__xludf.DUMMYFUNCTION("""COMPUTED_VALUE"""),"MTLSZ001228A07")</f>
        <v>MTLSZ001228A07</v>
      </c>
      <c r="I3310" s="2">
        <f ca="1">IFERROR(__xludf.DUMMYFUNCTION("""COMPUTED_VALUE"""),39331)</f>
        <v>39331</v>
      </c>
      <c r="J3310" s="2">
        <f ca="1">IFERROR(__xludf.DUMMYFUNCTION("""COMPUTED_VALUE"""),39696)</f>
        <v>39696</v>
      </c>
    </row>
    <row r="3311" spans="1:10" x14ac:dyDescent="0.25">
      <c r="A3311" s="1" t="str">
        <f ca="1">IFERROR(__xludf.DUMMYFUNCTION("""COMPUTED_VALUE"""),"DSC-SI")</f>
        <v>DSC-SI</v>
      </c>
      <c r="B3311" s="1" t="str">
        <f ca="1">IFERROR(__xludf.DUMMYFUNCTION("""COMPUTED_VALUE"""),"Tabaka János")</f>
        <v>Tabaka János</v>
      </c>
      <c r="C3311" s="1"/>
      <c r="D3311" s="1" t="str">
        <f ca="1">IFERROR(__xludf.DUMMYFUNCTION("""COMPUTED_VALUE"""),"Férfi")</f>
        <v>Férfi</v>
      </c>
      <c r="E3311" s="1"/>
      <c r="F3311" s="1">
        <f ca="1">IFERROR(__xludf.DUMMYFUNCTION("""COMPUTED_VALUE"""),1992)</f>
        <v>1992</v>
      </c>
      <c r="G3311" s="1">
        <f ca="1">IFERROR(__xludf.DUMMYFUNCTION("""COMPUTED_VALUE"""),982)</f>
        <v>982</v>
      </c>
      <c r="H3311" s="1" t="str">
        <f ca="1">IFERROR(__xludf.DUMMYFUNCTION("""COMPUTED_VALUE"""),"MTLSZ000982A07")</f>
        <v>MTLSZ000982A07</v>
      </c>
      <c r="I3311" s="2">
        <f ca="1">IFERROR(__xludf.DUMMYFUNCTION("""COMPUTED_VALUE"""),39331)</f>
        <v>39331</v>
      </c>
      <c r="J3311" s="2">
        <f ca="1">IFERROR(__xludf.DUMMYFUNCTION("""COMPUTED_VALUE"""),39696)</f>
        <v>39696</v>
      </c>
    </row>
    <row r="3312" spans="1:10" x14ac:dyDescent="0.25">
      <c r="A3312" s="1" t="str">
        <f ca="1">IFERROR(__xludf.DUMMYFUNCTION("""COMPUTED_VALUE"""),"DSC-SI")</f>
        <v>DSC-SI</v>
      </c>
      <c r="B3312" s="1" t="str">
        <f ca="1">IFERROR(__xludf.DUMMYFUNCTION("""COMPUTED_VALUE"""),"Hüse Renáta")</f>
        <v>Hüse Renáta</v>
      </c>
      <c r="C3312" s="1"/>
      <c r="D3312" s="1" t="str">
        <f ca="1">IFERROR(__xludf.DUMMYFUNCTION("""COMPUTED_VALUE"""),"Nő")</f>
        <v>Nő</v>
      </c>
      <c r="E3312" s="1"/>
      <c r="F3312" s="1">
        <f ca="1">IFERROR(__xludf.DUMMYFUNCTION("""COMPUTED_VALUE"""),1988)</f>
        <v>1988</v>
      </c>
      <c r="G3312" s="1">
        <f ca="1">IFERROR(__xludf.DUMMYFUNCTION("""COMPUTED_VALUE"""),392)</f>
        <v>392</v>
      </c>
      <c r="H3312" s="1" t="str">
        <f ca="1">IFERROR(__xludf.DUMMYFUNCTION("""COMPUTED_VALUE"""),"MTLSZ000392A07")</f>
        <v>MTLSZ000392A07</v>
      </c>
      <c r="I3312" s="2">
        <f ca="1">IFERROR(__xludf.DUMMYFUNCTION("""COMPUTED_VALUE"""),39330)</f>
        <v>39330</v>
      </c>
      <c r="J3312" s="2">
        <f ca="1">IFERROR(__xludf.DUMMYFUNCTION("""COMPUTED_VALUE"""),39695)</f>
        <v>39695</v>
      </c>
    </row>
    <row r="3313" spans="1:10" x14ac:dyDescent="0.25">
      <c r="A3313" s="1" t="str">
        <f ca="1">IFERROR(__xludf.DUMMYFUNCTION("""COMPUTED_VALUE"""),"Klébi DSE")</f>
        <v>Klébi DSE</v>
      </c>
      <c r="B3313" s="1" t="str">
        <f ca="1">IFERROR(__xludf.DUMMYFUNCTION("""COMPUTED_VALUE"""),"Szilágyi Sára Franciska")</f>
        <v>Szilágyi Sára Franciska</v>
      </c>
      <c r="C3313" s="1"/>
      <c r="D3313" s="1" t="str">
        <f ca="1">IFERROR(__xludf.DUMMYFUNCTION("""COMPUTED_VALUE"""),"Nő")</f>
        <v>Nő</v>
      </c>
      <c r="E3313" s="1"/>
      <c r="F3313" s="1">
        <f ca="1">IFERROR(__xludf.DUMMYFUNCTION("""COMPUTED_VALUE"""),1996)</f>
        <v>1996</v>
      </c>
      <c r="G3313" s="1">
        <f ca="1">IFERROR(__xludf.DUMMYFUNCTION("""COMPUTED_VALUE"""),1755)</f>
        <v>1755</v>
      </c>
      <c r="H3313" s="1" t="str">
        <f ca="1">IFERROR(__xludf.DUMMYFUNCTION("""COMPUTED_VALUE"""),"MTLSZ001755A07")</f>
        <v>MTLSZ001755A07</v>
      </c>
      <c r="I3313" s="2">
        <f ca="1">IFERROR(__xludf.DUMMYFUNCTION("""COMPUTED_VALUE"""),39330)</f>
        <v>39330</v>
      </c>
      <c r="J3313" s="2">
        <f ca="1">IFERROR(__xludf.DUMMYFUNCTION("""COMPUTED_VALUE"""),39695)</f>
        <v>39695</v>
      </c>
    </row>
    <row r="3314" spans="1:10" x14ac:dyDescent="0.25">
      <c r="A3314" s="1" t="str">
        <f ca="1">IFERROR(__xludf.DUMMYFUNCTION("""COMPUTED_VALUE"""),"Klébi DSE")</f>
        <v>Klébi DSE</v>
      </c>
      <c r="B3314" s="1" t="str">
        <f ca="1">IFERROR(__xludf.DUMMYFUNCTION("""COMPUTED_VALUE"""),"Baranyay Borbála")</f>
        <v>Baranyay Borbála</v>
      </c>
      <c r="C3314" s="1"/>
      <c r="D3314" s="1" t="str">
        <f ca="1">IFERROR(__xludf.DUMMYFUNCTION("""COMPUTED_VALUE"""),"Nő")</f>
        <v>Nő</v>
      </c>
      <c r="E3314" s="1"/>
      <c r="F3314" s="1">
        <f ca="1">IFERROR(__xludf.DUMMYFUNCTION("""COMPUTED_VALUE"""),1978)</f>
        <v>1978</v>
      </c>
      <c r="G3314" s="1">
        <f ca="1">IFERROR(__xludf.DUMMYFUNCTION("""COMPUTED_VALUE"""),58)</f>
        <v>58</v>
      </c>
      <c r="H3314" s="1" t="str">
        <f ca="1">IFERROR(__xludf.DUMMYFUNCTION("""COMPUTED_VALUE"""),"MTLSZ000058A07")</f>
        <v>MTLSZ000058A07</v>
      </c>
      <c r="I3314" s="2">
        <f ca="1">IFERROR(__xludf.DUMMYFUNCTION("""COMPUTED_VALUE"""),39329)</f>
        <v>39329</v>
      </c>
      <c r="J3314" s="2">
        <f ca="1">IFERROR(__xludf.DUMMYFUNCTION("""COMPUTED_VALUE"""),39694)</f>
        <v>39694</v>
      </c>
    </row>
    <row r="3315" spans="1:10" x14ac:dyDescent="0.25">
      <c r="A3315" s="1" t="str">
        <f ca="1">IFERROR(__xludf.DUMMYFUNCTION("""COMPUTED_VALUE"""),"Klébi DSE")</f>
        <v>Klébi DSE</v>
      </c>
      <c r="B3315" s="1" t="str">
        <f ca="1">IFERROR(__xludf.DUMMYFUNCTION("""COMPUTED_VALUE"""),"Zöldi Róbert")</f>
        <v>Zöldi Róbert</v>
      </c>
      <c r="C3315" s="1"/>
      <c r="D3315" s="1" t="str">
        <f ca="1">IFERROR(__xludf.DUMMYFUNCTION("""COMPUTED_VALUE"""),"Férfi")</f>
        <v>Férfi</v>
      </c>
      <c r="E3315" s="1"/>
      <c r="F3315" s="1">
        <f ca="1">IFERROR(__xludf.DUMMYFUNCTION("""COMPUTED_VALUE"""),1975)</f>
        <v>1975</v>
      </c>
      <c r="G3315" s="1">
        <f ca="1">IFERROR(__xludf.DUMMYFUNCTION("""COMPUTED_VALUE"""),1155)</f>
        <v>1155</v>
      </c>
      <c r="H3315" s="1" t="str">
        <f ca="1">IFERROR(__xludf.DUMMYFUNCTION("""COMPUTED_VALUE"""),"MTLSZ001155A07")</f>
        <v>MTLSZ001155A07</v>
      </c>
      <c r="I3315" s="2">
        <f ca="1">IFERROR(__xludf.DUMMYFUNCTION("""COMPUTED_VALUE"""),39328)</f>
        <v>39328</v>
      </c>
      <c r="J3315" s="2">
        <f ca="1">IFERROR(__xludf.DUMMYFUNCTION("""COMPUTED_VALUE"""),39693)</f>
        <v>39693</v>
      </c>
    </row>
    <row r="3316" spans="1:10" x14ac:dyDescent="0.25">
      <c r="A3316" s="1" t="str">
        <f ca="1">IFERROR(__xludf.DUMMYFUNCTION("""COMPUTED_VALUE"""),"Bodajki TSE")</f>
        <v>Bodajki TSE</v>
      </c>
      <c r="B3316" s="1" t="str">
        <f ca="1">IFERROR(__xludf.DUMMYFUNCTION("""COMPUTED_VALUE"""),"Bakonyi Mónika")</f>
        <v>Bakonyi Mónika</v>
      </c>
      <c r="C3316" s="1"/>
      <c r="D3316" s="1" t="str">
        <f ca="1">IFERROR(__xludf.DUMMYFUNCTION("""COMPUTED_VALUE"""),"Nő")</f>
        <v>Nő</v>
      </c>
      <c r="E3316" s="1"/>
      <c r="F3316" s="1">
        <f ca="1">IFERROR(__xludf.DUMMYFUNCTION("""COMPUTED_VALUE"""),1995)</f>
        <v>1995</v>
      </c>
      <c r="G3316" s="1">
        <f ca="1">IFERROR(__xludf.DUMMYFUNCTION("""COMPUTED_VALUE"""),1638)</f>
        <v>1638</v>
      </c>
      <c r="H3316" s="1" t="str">
        <f ca="1">IFERROR(__xludf.DUMMYFUNCTION("""COMPUTED_VALUE"""),"MTLSZ001638A07")</f>
        <v>MTLSZ001638A07</v>
      </c>
      <c r="I3316" s="2">
        <f ca="1">IFERROR(__xludf.DUMMYFUNCTION("""COMPUTED_VALUE"""),39326)</f>
        <v>39326</v>
      </c>
      <c r="J3316" s="2">
        <f ca="1">IFERROR(__xludf.DUMMYFUNCTION("""COMPUTED_VALUE"""),39691)</f>
        <v>39691</v>
      </c>
    </row>
    <row r="3317" spans="1:10" x14ac:dyDescent="0.25">
      <c r="A3317" s="1" t="str">
        <f ca="1">IFERROR(__xludf.DUMMYFUNCTION("""COMPUTED_VALUE"""),"Bodajki TSE")</f>
        <v>Bodajki TSE</v>
      </c>
      <c r="B3317" s="1" t="str">
        <f ca="1">IFERROR(__xludf.DUMMYFUNCTION("""COMPUTED_VALUE"""),"Tóth Péter")</f>
        <v>Tóth Péter</v>
      </c>
      <c r="C3317" s="1"/>
      <c r="D3317" s="1" t="str">
        <f ca="1">IFERROR(__xludf.DUMMYFUNCTION("""COMPUTED_VALUE"""),"Férfi")</f>
        <v>Férfi</v>
      </c>
      <c r="E3317" s="1"/>
      <c r="F3317" s="1">
        <f ca="1">IFERROR(__xludf.DUMMYFUNCTION("""COMPUTED_VALUE"""),1988)</f>
        <v>1988</v>
      </c>
      <c r="G3317" s="1">
        <f ca="1">IFERROR(__xludf.DUMMYFUNCTION("""COMPUTED_VALUE"""),1384)</f>
        <v>1384</v>
      </c>
      <c r="H3317" s="1" t="str">
        <f ca="1">IFERROR(__xludf.DUMMYFUNCTION("""COMPUTED_VALUE"""),"MTLSZ001384A07")</f>
        <v>MTLSZ001384A07</v>
      </c>
      <c r="I3317" s="2">
        <f ca="1">IFERROR(__xludf.DUMMYFUNCTION("""COMPUTED_VALUE"""),39326)</f>
        <v>39326</v>
      </c>
      <c r="J3317" s="2">
        <f ca="1">IFERROR(__xludf.DUMMYFUNCTION("""COMPUTED_VALUE"""),39691)</f>
        <v>39691</v>
      </c>
    </row>
    <row r="3318" spans="1:10" x14ac:dyDescent="0.25">
      <c r="A3318" s="1" t="str">
        <f ca="1">IFERROR(__xludf.DUMMYFUNCTION("""COMPUTED_VALUE"""),"Multi Alarm SE")</f>
        <v>Multi Alarm SE</v>
      </c>
      <c r="B3318" s="1" t="str">
        <f ca="1">IFERROR(__xludf.DUMMYFUNCTION("""COMPUTED_VALUE"""),"Gadó Ramóna")</f>
        <v>Gadó Ramóna</v>
      </c>
      <c r="C3318" s="1"/>
      <c r="D3318" s="1" t="str">
        <f ca="1">IFERROR(__xludf.DUMMYFUNCTION("""COMPUTED_VALUE"""),"Nő")</f>
        <v>Nő</v>
      </c>
      <c r="E3318" s="1"/>
      <c r="F3318" s="1">
        <f ca="1">IFERROR(__xludf.DUMMYFUNCTION("""COMPUTED_VALUE"""),1989)</f>
        <v>1989</v>
      </c>
      <c r="G3318" s="1">
        <f ca="1">IFERROR(__xludf.DUMMYFUNCTION("""COMPUTED_VALUE"""),1713)</f>
        <v>1713</v>
      </c>
      <c r="H3318" s="1" t="str">
        <f ca="1">IFERROR(__xludf.DUMMYFUNCTION("""COMPUTED_VALUE"""),"MTLSZ001713A07")</f>
        <v>MTLSZ001713A07</v>
      </c>
      <c r="I3318" s="2">
        <f ca="1">IFERROR(__xludf.DUMMYFUNCTION("""COMPUTED_VALUE"""),39326)</f>
        <v>39326</v>
      </c>
      <c r="J3318" s="2">
        <f ca="1">IFERROR(__xludf.DUMMYFUNCTION("""COMPUTED_VALUE"""),39691)</f>
        <v>39691</v>
      </c>
    </row>
    <row r="3319" spans="1:10" x14ac:dyDescent="0.25">
      <c r="A3319" s="1" t="str">
        <f ca="1">IFERROR(__xludf.DUMMYFUNCTION("""COMPUTED_VALUE"""),"Multi Alarm SE")</f>
        <v>Multi Alarm SE</v>
      </c>
      <c r="B3319" s="1" t="str">
        <f ca="1">IFERROR(__xludf.DUMMYFUNCTION("""COMPUTED_VALUE"""),"Schulz-Holstege Dörthe")</f>
        <v>Schulz-Holstege Dörthe</v>
      </c>
      <c r="C3319" s="1"/>
      <c r="D3319" s="1" t="str">
        <f ca="1">IFERROR(__xludf.DUMMYFUNCTION("""COMPUTED_VALUE"""),"Nő")</f>
        <v>Nő</v>
      </c>
      <c r="E3319" s="1"/>
      <c r="F3319" s="1">
        <f ca="1">IFERROR(__xludf.DUMMYFUNCTION("""COMPUTED_VALUE"""),1985)</f>
        <v>1985</v>
      </c>
      <c r="G3319" s="1">
        <f ca="1">IFERROR(__xludf.DUMMYFUNCTION("""COMPUTED_VALUE"""),1813)</f>
        <v>1813</v>
      </c>
      <c r="H3319" s="1" t="str">
        <f ca="1">IFERROR(__xludf.DUMMYFUNCTION("""COMPUTED_VALUE"""),"MTLSZ001813A07")</f>
        <v>MTLSZ001813A07</v>
      </c>
      <c r="I3319" s="2">
        <f ca="1">IFERROR(__xludf.DUMMYFUNCTION("""COMPUTED_VALUE"""),39326)</f>
        <v>39326</v>
      </c>
      <c r="J3319" s="2">
        <f ca="1">IFERROR(__xludf.DUMMYFUNCTION("""COMPUTED_VALUE"""),39691)</f>
        <v>39691</v>
      </c>
    </row>
    <row r="3320" spans="1:10" x14ac:dyDescent="0.25">
      <c r="A3320" s="1" t="str">
        <f ca="1">IFERROR(__xludf.DUMMYFUNCTION("""COMPUTED_VALUE"""),"Pedagógus Fáklya SE")</f>
        <v>Pedagógus Fáklya SE</v>
      </c>
      <c r="B3320" s="1" t="str">
        <f ca="1">IFERROR(__xludf.DUMMYFUNCTION("""COMPUTED_VALUE"""),"Samai László Lóránd")</f>
        <v>Samai László Lóránd</v>
      </c>
      <c r="C3320" s="1"/>
      <c r="D3320" s="1" t="str">
        <f ca="1">IFERROR(__xludf.DUMMYFUNCTION("""COMPUTED_VALUE"""),"Férfi")</f>
        <v>Férfi</v>
      </c>
      <c r="E3320" s="1"/>
      <c r="F3320" s="1">
        <f ca="1">IFERROR(__xludf.DUMMYFUNCTION("""COMPUTED_VALUE"""),1972)</f>
        <v>1972</v>
      </c>
      <c r="G3320" s="1">
        <f ca="1">IFERROR(__xludf.DUMMYFUNCTION("""COMPUTED_VALUE"""),1475)</f>
        <v>1475</v>
      </c>
      <c r="H3320" s="1" t="str">
        <f ca="1">IFERROR(__xludf.DUMMYFUNCTION("""COMPUTED_VALUE"""),"MTLSZ001475A07")</f>
        <v>MTLSZ001475A07</v>
      </c>
      <c r="I3320" s="2">
        <f ca="1">IFERROR(__xludf.DUMMYFUNCTION("""COMPUTED_VALUE"""),39254)</f>
        <v>39254</v>
      </c>
      <c r="J3320" s="2">
        <f ca="1">IFERROR(__xludf.DUMMYFUNCTION("""COMPUTED_VALUE"""),39619)</f>
        <v>39619</v>
      </c>
    </row>
    <row r="3321" spans="1:10" x14ac:dyDescent="0.25">
      <c r="A3321" s="1" t="str">
        <f ca="1">IFERROR(__xludf.DUMMYFUNCTION("""COMPUTED_VALUE"""),"Gyöngyösoroszi SK")</f>
        <v>Gyöngyösoroszi SK</v>
      </c>
      <c r="B3321" s="1" t="str">
        <f ca="1">IFERROR(__xludf.DUMMYFUNCTION("""COMPUTED_VALUE"""),"Dudás Dóra")</f>
        <v>Dudás Dóra</v>
      </c>
      <c r="C3321" s="1"/>
      <c r="D3321" s="1" t="str">
        <f ca="1">IFERROR(__xludf.DUMMYFUNCTION("""COMPUTED_VALUE"""),"Nő")</f>
        <v>Nő</v>
      </c>
      <c r="E3321" s="1"/>
      <c r="F3321" s="1">
        <f ca="1">IFERROR(__xludf.DUMMYFUNCTION("""COMPUTED_VALUE"""),1993)</f>
        <v>1993</v>
      </c>
      <c r="G3321" s="1">
        <f ca="1">IFERROR(__xludf.DUMMYFUNCTION("""COMPUTED_VALUE"""),1365)</f>
        <v>1365</v>
      </c>
      <c r="H3321" s="1" t="str">
        <f ca="1">IFERROR(__xludf.DUMMYFUNCTION("""COMPUTED_VALUE"""),"MTLSZ001365A07")</f>
        <v>MTLSZ001365A07</v>
      </c>
      <c r="I3321" s="2">
        <f ca="1">IFERROR(__xludf.DUMMYFUNCTION("""COMPUTED_VALUE"""),39246)</f>
        <v>39246</v>
      </c>
      <c r="J3321" s="2">
        <f ca="1">IFERROR(__xludf.DUMMYFUNCTION("""COMPUTED_VALUE"""),39611)</f>
        <v>39611</v>
      </c>
    </row>
    <row r="3322" spans="1:10" x14ac:dyDescent="0.25">
      <c r="A3322" s="1" t="str">
        <f ca="1">IFERROR(__xludf.DUMMYFUNCTION("""COMPUTED_VALUE"""),"Gyöngyösoroszi SK")</f>
        <v>Gyöngyösoroszi SK</v>
      </c>
      <c r="B3322" s="1" t="str">
        <f ca="1">IFERROR(__xludf.DUMMYFUNCTION("""COMPUTED_VALUE"""),"Gyurkóné Rudas Ildikó")</f>
        <v>Gyurkóné Rudas Ildikó</v>
      </c>
      <c r="C3322" s="1"/>
      <c r="D3322" s="1" t="str">
        <f ca="1">IFERROR(__xludf.DUMMYFUNCTION("""COMPUTED_VALUE"""),"Nő")</f>
        <v>Nő</v>
      </c>
      <c r="E3322" s="1"/>
      <c r="F3322" s="1">
        <f ca="1">IFERROR(__xludf.DUMMYFUNCTION("""COMPUTED_VALUE"""),1974)</f>
        <v>1974</v>
      </c>
      <c r="G3322" s="1">
        <f ca="1">IFERROR(__xludf.DUMMYFUNCTION("""COMPUTED_VALUE"""),317)</f>
        <v>317</v>
      </c>
      <c r="H3322" s="1" t="str">
        <f ca="1">IFERROR(__xludf.DUMMYFUNCTION("""COMPUTED_VALUE"""),"MTLSZ000317A07")</f>
        <v>MTLSZ000317A07</v>
      </c>
      <c r="I3322" s="2">
        <f ca="1">IFERROR(__xludf.DUMMYFUNCTION("""COMPUTED_VALUE"""),39231)</f>
        <v>39231</v>
      </c>
      <c r="J3322" s="2">
        <f ca="1">IFERROR(__xludf.DUMMYFUNCTION("""COMPUTED_VALUE"""),39596)</f>
        <v>39596</v>
      </c>
    </row>
    <row r="3323" spans="1:10" x14ac:dyDescent="0.25">
      <c r="A3323" s="1" t="str">
        <f ca="1">IFERROR(__xludf.DUMMYFUNCTION("""COMPUTED_VALUE"""),"Gyöngyösoroszi SK")</f>
        <v>Gyöngyösoroszi SK</v>
      </c>
      <c r="B3323" s="1" t="str">
        <f ca="1">IFERROR(__xludf.DUMMYFUNCTION("""COMPUTED_VALUE"""),"Ludányi Tamás")</f>
        <v>Ludányi Tamás</v>
      </c>
      <c r="C3323" s="1"/>
      <c r="D3323" s="1" t="str">
        <f ca="1">IFERROR(__xludf.DUMMYFUNCTION("""COMPUTED_VALUE"""),"Férfi")</f>
        <v>Férfi</v>
      </c>
      <c r="E3323" s="1"/>
      <c r="F3323" s="1">
        <f ca="1">IFERROR(__xludf.DUMMYFUNCTION("""COMPUTED_VALUE"""),1988)</f>
        <v>1988</v>
      </c>
      <c r="G3323" s="1">
        <f ca="1">IFERROR(__xludf.DUMMYFUNCTION("""COMPUTED_VALUE"""),599)</f>
        <v>599</v>
      </c>
      <c r="H3323" s="1" t="str">
        <f ca="1">IFERROR(__xludf.DUMMYFUNCTION("""COMPUTED_VALUE"""),"MTLSZ000599A07")</f>
        <v>MTLSZ000599A07</v>
      </c>
      <c r="I3323" s="2">
        <f ca="1">IFERROR(__xludf.DUMMYFUNCTION("""COMPUTED_VALUE"""),39231)</f>
        <v>39231</v>
      </c>
      <c r="J3323" s="2">
        <f ca="1">IFERROR(__xludf.DUMMYFUNCTION("""COMPUTED_VALUE"""),39596)</f>
        <v>39596</v>
      </c>
    </row>
    <row r="3324" spans="1:10" x14ac:dyDescent="0.25">
      <c r="A3324" s="1" t="str">
        <f ca="1">IFERROR(__xludf.DUMMYFUNCTION("""COMPUTED_VALUE"""),"Gyöngyösoroszi SK")</f>
        <v>Gyöngyösoroszi SK</v>
      </c>
      <c r="B3324" s="1" t="str">
        <f ca="1">IFERROR(__xludf.DUMMYFUNCTION("""COMPUTED_VALUE"""),"Szecskő Cintia")</f>
        <v>Szecskő Cintia</v>
      </c>
      <c r="C3324" s="1"/>
      <c r="D3324" s="1" t="str">
        <f ca="1">IFERROR(__xludf.DUMMYFUNCTION("""COMPUTED_VALUE"""),"Nő")</f>
        <v>Nő</v>
      </c>
      <c r="E3324" s="1"/>
      <c r="F3324" s="1">
        <f ca="1">IFERROR(__xludf.DUMMYFUNCTION("""COMPUTED_VALUE"""),1990)</f>
        <v>1990</v>
      </c>
      <c r="G3324" s="1">
        <f ca="1">IFERROR(__xludf.DUMMYFUNCTION("""COMPUTED_VALUE"""),922)</f>
        <v>922</v>
      </c>
      <c r="H3324" s="1" t="str">
        <f ca="1">IFERROR(__xludf.DUMMYFUNCTION("""COMPUTED_VALUE"""),"MTLSZ000922A07")</f>
        <v>MTLSZ000922A07</v>
      </c>
      <c r="I3324" s="2">
        <f ca="1">IFERROR(__xludf.DUMMYFUNCTION("""COMPUTED_VALUE"""),39231)</f>
        <v>39231</v>
      </c>
      <c r="J3324" s="2">
        <f ca="1">IFERROR(__xludf.DUMMYFUNCTION("""COMPUTED_VALUE"""),39596)</f>
        <v>39596</v>
      </c>
    </row>
    <row r="3325" spans="1:10" x14ac:dyDescent="0.25">
      <c r="A3325" s="1" t="str">
        <f ca="1">IFERROR(__xludf.DUMMYFUNCTION("""COMPUTED_VALUE"""),"Danubius KSE")</f>
        <v>Danubius KSE</v>
      </c>
      <c r="B3325" s="1" t="str">
        <f ca="1">IFERROR(__xludf.DUMMYFUNCTION("""COMPUTED_VALUE"""),"Szűcs Viktória")</f>
        <v>Szűcs Viktória</v>
      </c>
      <c r="C3325" s="1"/>
      <c r="D3325" s="1" t="str">
        <f ca="1">IFERROR(__xludf.DUMMYFUNCTION("""COMPUTED_VALUE"""),"Nő")</f>
        <v>Nő</v>
      </c>
      <c r="E3325" s="1"/>
      <c r="F3325" s="1">
        <f ca="1">IFERROR(__xludf.DUMMYFUNCTION("""COMPUTED_VALUE"""),1989)</f>
        <v>1989</v>
      </c>
      <c r="G3325" s="1">
        <f ca="1">IFERROR(__xludf.DUMMYFUNCTION("""COMPUTED_VALUE"""),1645)</f>
        <v>1645</v>
      </c>
      <c r="H3325" s="1" t="str">
        <f ca="1">IFERROR(__xludf.DUMMYFUNCTION("""COMPUTED_VALUE"""),"MTLSZ001645A07")</f>
        <v>MTLSZ001645A07</v>
      </c>
      <c r="I3325" s="2">
        <f ca="1">IFERROR(__xludf.DUMMYFUNCTION("""COMPUTED_VALUE"""),39198)</f>
        <v>39198</v>
      </c>
      <c r="J3325" s="2">
        <f ca="1">IFERROR(__xludf.DUMMYFUNCTION("""COMPUTED_VALUE"""),39563)</f>
        <v>39563</v>
      </c>
    </row>
    <row r="3326" spans="1:10" x14ac:dyDescent="0.25">
      <c r="A3326" s="1" t="str">
        <f ca="1">IFERROR(__xludf.DUMMYFUNCTION("""COMPUTED_VALUE"""),"MAFC")</f>
        <v>MAFC</v>
      </c>
      <c r="B3326" s="1" t="str">
        <f ca="1">IFERROR(__xludf.DUMMYFUNCTION("""COMPUTED_VALUE"""),"Komlósi György")</f>
        <v>Komlósi György</v>
      </c>
      <c r="C3326" s="1"/>
      <c r="D3326" s="1" t="str">
        <f ca="1">IFERROR(__xludf.DUMMYFUNCTION("""COMPUTED_VALUE"""),"Férfi")</f>
        <v>Férfi</v>
      </c>
      <c r="E3326" s="1"/>
      <c r="F3326" s="1">
        <f ca="1">IFERROR(__xludf.DUMMYFUNCTION("""COMPUTED_VALUE"""),1994)</f>
        <v>1994</v>
      </c>
      <c r="G3326" s="1">
        <f ca="1">IFERROR(__xludf.DUMMYFUNCTION("""COMPUTED_VALUE"""),1823)</f>
        <v>1823</v>
      </c>
      <c r="H3326" s="1" t="str">
        <f ca="1">IFERROR(__xludf.DUMMYFUNCTION("""COMPUTED_VALUE"""),"MTLSZ001823A07")</f>
        <v>MTLSZ001823A07</v>
      </c>
      <c r="I3326" s="2">
        <f ca="1">IFERROR(__xludf.DUMMYFUNCTION("""COMPUTED_VALUE"""),39195)</f>
        <v>39195</v>
      </c>
      <c r="J3326" s="2">
        <f ca="1">IFERROR(__xludf.DUMMYFUNCTION("""COMPUTED_VALUE"""),39560)</f>
        <v>39560</v>
      </c>
    </row>
    <row r="3327" spans="1:10" x14ac:dyDescent="0.25">
      <c r="A3327" s="1" t="str">
        <f ca="1">IFERROR(__xludf.DUMMYFUNCTION("""COMPUTED_VALUE"""),"Klébi DSE")</f>
        <v>Klébi DSE</v>
      </c>
      <c r="B3327" s="1" t="str">
        <f ca="1">IFERROR(__xludf.DUMMYFUNCTION("""COMPUTED_VALUE"""),"Papp Dániel")</f>
        <v>Papp Dániel</v>
      </c>
      <c r="C3327" s="1"/>
      <c r="D3327" s="1" t="str">
        <f ca="1">IFERROR(__xludf.DUMMYFUNCTION("""COMPUTED_VALUE"""),"Férfi")</f>
        <v>Férfi</v>
      </c>
      <c r="E3327" s="1"/>
      <c r="F3327" s="1">
        <f ca="1">IFERROR(__xludf.DUMMYFUNCTION("""COMPUTED_VALUE"""),1981)</f>
        <v>1981</v>
      </c>
      <c r="G3327" s="1">
        <f ca="1">IFERROR(__xludf.DUMMYFUNCTION("""COMPUTED_VALUE"""),1758)</f>
        <v>1758</v>
      </c>
      <c r="H3327" s="1" t="str">
        <f ca="1">IFERROR(__xludf.DUMMYFUNCTION("""COMPUTED_VALUE"""),"MTLSZ001758A07")</f>
        <v>MTLSZ001758A07</v>
      </c>
      <c r="I3327" s="2">
        <f ca="1">IFERROR(__xludf.DUMMYFUNCTION("""COMPUTED_VALUE"""),39154)</f>
        <v>39154</v>
      </c>
      <c r="J3327" s="2">
        <f ca="1">IFERROR(__xludf.DUMMYFUNCTION("""COMPUTED_VALUE"""),39519)</f>
        <v>39519</v>
      </c>
    </row>
    <row r="3328" spans="1:10" x14ac:dyDescent="0.25">
      <c r="A3328" s="1" t="str">
        <f ca="1">IFERROR(__xludf.DUMMYFUNCTION("""COMPUTED_VALUE"""),"ZKSE")</f>
        <v>ZKSE</v>
      </c>
      <c r="B3328" s="1" t="str">
        <f ca="1">IFERROR(__xludf.DUMMYFUNCTION("""COMPUTED_VALUE"""),"Koncsek Árpád")</f>
        <v>Koncsek Árpád</v>
      </c>
      <c r="C3328" s="1"/>
      <c r="D3328" s="1" t="str">
        <f ca="1">IFERROR(__xludf.DUMMYFUNCTION("""COMPUTED_VALUE"""),"Férfi")</f>
        <v>Férfi</v>
      </c>
      <c r="E3328" s="1"/>
      <c r="F3328" s="1">
        <f ca="1">IFERROR(__xludf.DUMMYFUNCTION("""COMPUTED_VALUE"""),1990)</f>
        <v>1990</v>
      </c>
      <c r="G3328" s="1">
        <f ca="1">IFERROR(__xludf.DUMMYFUNCTION("""COMPUTED_VALUE"""),512)</f>
        <v>512</v>
      </c>
      <c r="H3328" s="1" t="str">
        <f ca="1">IFERROR(__xludf.DUMMYFUNCTION("""COMPUTED_VALUE"""),"MTLSZ000512A07")</f>
        <v>MTLSZ000512A07</v>
      </c>
      <c r="I3328" s="2">
        <f ca="1">IFERROR(__xludf.DUMMYFUNCTION("""COMPUTED_VALUE"""),39153)</f>
        <v>39153</v>
      </c>
      <c r="J3328" s="2">
        <f ca="1">IFERROR(__xludf.DUMMYFUNCTION("""COMPUTED_VALUE"""),39518)</f>
        <v>39518</v>
      </c>
    </row>
    <row r="3329" spans="1:10" x14ac:dyDescent="0.25">
      <c r="A3329" s="1" t="str">
        <f ca="1">IFERROR(__xludf.DUMMYFUNCTION("""COMPUTED_VALUE"""),"Érdi VSE")</f>
        <v>Érdi VSE</v>
      </c>
      <c r="B3329" s="1" t="str">
        <f ca="1">IFERROR(__xludf.DUMMYFUNCTION("""COMPUTED_VALUE"""),"Csuzdi Péter")</f>
        <v>Csuzdi Péter</v>
      </c>
      <c r="C3329" s="1"/>
      <c r="D3329" s="1" t="str">
        <f ca="1">IFERROR(__xludf.DUMMYFUNCTION("""COMPUTED_VALUE"""),"Férfi")</f>
        <v>Férfi</v>
      </c>
      <c r="E3329" s="1"/>
      <c r="F3329" s="1">
        <f ca="1">IFERROR(__xludf.DUMMYFUNCTION("""COMPUTED_VALUE"""),1993)</f>
        <v>1993</v>
      </c>
      <c r="G3329" s="1">
        <f ca="1">IFERROR(__xludf.DUMMYFUNCTION("""COMPUTED_VALUE"""),1464)</f>
        <v>1464</v>
      </c>
      <c r="H3329" s="1" t="str">
        <f ca="1">IFERROR(__xludf.DUMMYFUNCTION("""COMPUTED_VALUE"""),"MTLSZ001464A07")</f>
        <v>MTLSZ001464A07</v>
      </c>
      <c r="I3329" s="2">
        <f ca="1">IFERROR(__xludf.DUMMYFUNCTION("""COMPUTED_VALUE"""),39149)</f>
        <v>39149</v>
      </c>
      <c r="J3329" s="2">
        <f ca="1">IFERROR(__xludf.DUMMYFUNCTION("""COMPUTED_VALUE"""),39514)</f>
        <v>39514</v>
      </c>
    </row>
    <row r="3330" spans="1:10" x14ac:dyDescent="0.25">
      <c r="A3330" s="1" t="str">
        <f ca="1">IFERROR(__xludf.DUMMYFUNCTION("""COMPUTED_VALUE"""),"Rosco SE")</f>
        <v>Rosco SE</v>
      </c>
      <c r="B3330" s="1" t="str">
        <f ca="1">IFERROR(__xludf.DUMMYFUNCTION("""COMPUTED_VALUE"""),"Egry Linda")</f>
        <v>Egry Linda</v>
      </c>
      <c r="C3330" s="1"/>
      <c r="D3330" s="1" t="str">
        <f ca="1">IFERROR(__xludf.DUMMYFUNCTION("""COMPUTED_VALUE"""),"Nő")</f>
        <v>Nő</v>
      </c>
      <c r="E3330" s="1"/>
      <c r="F3330" s="1">
        <f ca="1">IFERROR(__xludf.DUMMYFUNCTION("""COMPUTED_VALUE"""),1984)</f>
        <v>1984</v>
      </c>
      <c r="G3330" s="1">
        <f ca="1">IFERROR(__xludf.DUMMYFUNCTION("""COMPUTED_VALUE"""),1562)</f>
        <v>1562</v>
      </c>
      <c r="H3330" s="1" t="str">
        <f ca="1">IFERROR(__xludf.DUMMYFUNCTION("""COMPUTED_VALUE"""),"MTLSZ001562A07")</f>
        <v>MTLSZ001562A07</v>
      </c>
      <c r="I3330" s="2">
        <f ca="1">IFERROR(__xludf.DUMMYFUNCTION("""COMPUTED_VALUE"""),39149)</f>
        <v>39149</v>
      </c>
      <c r="J3330" s="2">
        <f ca="1">IFERROR(__xludf.DUMMYFUNCTION("""COMPUTED_VALUE"""),39514)</f>
        <v>39514</v>
      </c>
    </row>
    <row r="3331" spans="1:10" x14ac:dyDescent="0.25">
      <c r="A3331" s="1" t="str">
        <f ca="1">IFERROR(__xludf.DUMMYFUNCTION("""COMPUTED_VALUE"""),"DSC-SI")</f>
        <v>DSC-SI</v>
      </c>
      <c r="B3331" s="1" t="str">
        <f ca="1">IFERROR(__xludf.DUMMYFUNCTION("""COMPUTED_VALUE"""),"Cséti Viktor")</f>
        <v>Cséti Viktor</v>
      </c>
      <c r="C3331" s="1"/>
      <c r="D3331" s="1" t="str">
        <f ca="1">IFERROR(__xludf.DUMMYFUNCTION("""COMPUTED_VALUE"""),"Férfi")</f>
        <v>Férfi</v>
      </c>
      <c r="E3331" s="1"/>
      <c r="F3331" s="1">
        <f ca="1">IFERROR(__xludf.DUMMYFUNCTION("""COMPUTED_VALUE"""),1975)</f>
        <v>1975</v>
      </c>
      <c r="G3331" s="1">
        <f ca="1">IFERROR(__xludf.DUMMYFUNCTION("""COMPUTED_VALUE"""),142)</f>
        <v>142</v>
      </c>
      <c r="H3331" s="1" t="str">
        <f ca="1">IFERROR(__xludf.DUMMYFUNCTION("""COMPUTED_VALUE"""),"MTLSZ000142A07")</f>
        <v>MTLSZ000142A07</v>
      </c>
      <c r="I3331" s="2">
        <f ca="1">IFERROR(__xludf.DUMMYFUNCTION("""COMPUTED_VALUE"""),39146)</f>
        <v>39146</v>
      </c>
      <c r="J3331" s="2">
        <f ca="1">IFERROR(__xludf.DUMMYFUNCTION("""COMPUTED_VALUE"""),39511)</f>
        <v>39511</v>
      </c>
    </row>
    <row r="3332" spans="1:10" x14ac:dyDescent="0.25">
      <c r="A3332" s="1" t="str">
        <f ca="1">IFERROR(__xludf.DUMMYFUNCTION("""COMPUTED_VALUE"""),"DSC-SI")</f>
        <v>DSC-SI</v>
      </c>
      <c r="B3332" s="1" t="str">
        <f ca="1">IFERROR(__xludf.DUMMYFUNCTION("""COMPUTED_VALUE"""),"Varga Mihály")</f>
        <v>Varga Mihály</v>
      </c>
      <c r="C3332" s="1"/>
      <c r="D3332" s="1" t="str">
        <f ca="1">IFERROR(__xludf.DUMMYFUNCTION("""COMPUTED_VALUE"""),"Férfi")</f>
        <v>Férfi</v>
      </c>
      <c r="E3332" s="1"/>
      <c r="F3332" s="1">
        <f ca="1">IFERROR(__xludf.DUMMYFUNCTION("""COMPUTED_VALUE"""),1990)</f>
        <v>1990</v>
      </c>
      <c r="G3332" s="1">
        <f ca="1">IFERROR(__xludf.DUMMYFUNCTION("""COMPUTED_VALUE"""),1094)</f>
        <v>1094</v>
      </c>
      <c r="H3332" s="1" t="str">
        <f ca="1">IFERROR(__xludf.DUMMYFUNCTION("""COMPUTED_VALUE"""),"MTLSZ001094A07")</f>
        <v>MTLSZ001094A07</v>
      </c>
      <c r="I3332" s="2">
        <f ca="1">IFERROR(__xludf.DUMMYFUNCTION("""COMPUTED_VALUE"""),39136)</f>
        <v>39136</v>
      </c>
      <c r="J3332" s="2">
        <f ca="1">IFERROR(__xludf.DUMMYFUNCTION("""COMPUTED_VALUE"""),39500)</f>
        <v>39500</v>
      </c>
    </row>
    <row r="3333" spans="1:10" x14ac:dyDescent="0.25">
      <c r="A3333" s="1" t="str">
        <f ca="1">IFERROR(__xludf.DUMMYFUNCTION("""COMPUTED_VALUE"""),"HZSE")</f>
        <v>HZSE</v>
      </c>
      <c r="B3333" s="1" t="str">
        <f ca="1">IFERROR(__xludf.DUMMYFUNCTION("""COMPUTED_VALUE"""),"Sebők Ágnes")</f>
        <v>Sebők Ágnes</v>
      </c>
      <c r="C3333" s="1"/>
      <c r="D3333" s="1" t="str">
        <f ca="1">IFERROR(__xludf.DUMMYFUNCTION("""COMPUTED_VALUE"""),"Nő")</f>
        <v>Nő</v>
      </c>
      <c r="E3333" s="1"/>
      <c r="F3333" s="1">
        <f ca="1">IFERROR(__xludf.DUMMYFUNCTION("""COMPUTED_VALUE"""),1983)</f>
        <v>1983</v>
      </c>
      <c r="G3333" s="1">
        <f ca="1">IFERROR(__xludf.DUMMYFUNCTION("""COMPUTED_VALUE"""),845)</f>
        <v>845</v>
      </c>
      <c r="H3333" s="1" t="str">
        <f ca="1">IFERROR(__xludf.DUMMYFUNCTION("""COMPUTED_VALUE"""),"MTLSZ000845A07")</f>
        <v>MTLSZ000845A07</v>
      </c>
      <c r="I3333" s="2">
        <f ca="1">IFERROR(__xludf.DUMMYFUNCTION("""COMPUTED_VALUE"""),39122)</f>
        <v>39122</v>
      </c>
      <c r="J3333" s="2">
        <f ca="1">IFERROR(__xludf.DUMMYFUNCTION("""COMPUTED_VALUE"""),39486)</f>
        <v>39486</v>
      </c>
    </row>
    <row r="3334" spans="1:10" x14ac:dyDescent="0.25">
      <c r="A3334" s="1" t="str">
        <f ca="1">IFERROR(__xludf.DUMMYFUNCTION("""COMPUTED_VALUE"""),"DSK")</f>
        <v>DSK</v>
      </c>
      <c r="B3334" s="1" t="str">
        <f ca="1">IFERROR(__xludf.DUMMYFUNCTION("""COMPUTED_VALUE"""),"Kanyó Éva")</f>
        <v>Kanyó Éva</v>
      </c>
      <c r="C3334" s="1"/>
      <c r="D3334" s="1" t="str">
        <f ca="1">IFERROR(__xludf.DUMMYFUNCTION("""COMPUTED_VALUE"""),"Nő")</f>
        <v>Nő</v>
      </c>
      <c r="E3334" s="1"/>
      <c r="F3334" s="1">
        <f ca="1">IFERROR(__xludf.DUMMYFUNCTION("""COMPUTED_VALUE"""),1988)</f>
        <v>1988</v>
      </c>
      <c r="G3334" s="1">
        <f ca="1">IFERROR(__xludf.DUMMYFUNCTION("""COMPUTED_VALUE"""),430)</f>
        <v>430</v>
      </c>
      <c r="H3334" s="1" t="str">
        <f ca="1">IFERROR(__xludf.DUMMYFUNCTION("""COMPUTED_VALUE"""),"MTLSZ000430A07")</f>
        <v>MTLSZ000430A07</v>
      </c>
      <c r="I3334" s="2">
        <f ca="1">IFERROR(__xludf.DUMMYFUNCTION("""COMPUTED_VALUE"""),39119)</f>
        <v>39119</v>
      </c>
      <c r="J3334" s="2">
        <f ca="1">IFERROR(__xludf.DUMMYFUNCTION("""COMPUTED_VALUE"""),39483)</f>
        <v>39483</v>
      </c>
    </row>
    <row r="3335" spans="1:10" x14ac:dyDescent="0.25">
      <c r="A3335" s="1" t="str">
        <f ca="1">IFERROR(__xludf.DUMMYFUNCTION("""COMPUTED_VALUE"""),"Kilián Iskola DSE")</f>
        <v>Kilián Iskola DSE</v>
      </c>
      <c r="B3335" s="1" t="str">
        <f ca="1">IFERROR(__xludf.DUMMYFUNCTION("""COMPUTED_VALUE"""),"Domonkos Anett")</f>
        <v>Domonkos Anett</v>
      </c>
      <c r="C3335" s="1"/>
      <c r="D3335" s="1" t="str">
        <f ca="1">IFERROR(__xludf.DUMMYFUNCTION("""COMPUTED_VALUE"""),"Nő")</f>
        <v>Nő</v>
      </c>
      <c r="E3335" s="1"/>
      <c r="F3335" s="1">
        <f ca="1">IFERROR(__xludf.DUMMYFUNCTION("""COMPUTED_VALUE"""),1991)</f>
        <v>1991</v>
      </c>
      <c r="G3335" s="1">
        <f ca="1">IFERROR(__xludf.DUMMYFUNCTION("""COMPUTED_VALUE"""),1242)</f>
        <v>1242</v>
      </c>
      <c r="H3335" s="1" t="str">
        <f ca="1">IFERROR(__xludf.DUMMYFUNCTION("""COMPUTED_VALUE"""),"MTLSZ001242A07")</f>
        <v>MTLSZ001242A07</v>
      </c>
      <c r="I3335" s="2">
        <f ca="1">IFERROR(__xludf.DUMMYFUNCTION("""COMPUTED_VALUE"""),39119)</f>
        <v>39119</v>
      </c>
      <c r="J3335" s="2">
        <f ca="1">IFERROR(__xludf.DUMMYFUNCTION("""COMPUTED_VALUE"""),39483)</f>
        <v>39483</v>
      </c>
    </row>
    <row r="3336" spans="1:10" x14ac:dyDescent="0.25">
      <c r="A3336" s="1" t="str">
        <f ca="1">IFERROR(__xludf.DUMMYFUNCTION("""COMPUTED_VALUE"""),"Kilián Iskola DSE")</f>
        <v>Kilián Iskola DSE</v>
      </c>
      <c r="B3336" s="1" t="str">
        <f ca="1">IFERROR(__xludf.DUMMYFUNCTION("""COMPUTED_VALUE"""),"Glassl Adrienn")</f>
        <v>Glassl Adrienn</v>
      </c>
      <c r="C3336" s="1"/>
      <c r="D3336" s="1" t="str">
        <f ca="1">IFERROR(__xludf.DUMMYFUNCTION("""COMPUTED_VALUE"""),"Nő")</f>
        <v>Nő</v>
      </c>
      <c r="E3336" s="1"/>
      <c r="F3336" s="1">
        <f ca="1">IFERROR(__xludf.DUMMYFUNCTION("""COMPUTED_VALUE"""),1992)</f>
        <v>1992</v>
      </c>
      <c r="G3336" s="1">
        <f ca="1">IFERROR(__xludf.DUMMYFUNCTION("""COMPUTED_VALUE"""),1210)</f>
        <v>1210</v>
      </c>
      <c r="H3336" s="1" t="str">
        <f ca="1">IFERROR(__xludf.DUMMYFUNCTION("""COMPUTED_VALUE"""),"MTLSZ001210A07")</f>
        <v>MTLSZ001210A07</v>
      </c>
      <c r="I3336" s="2">
        <f ca="1">IFERROR(__xludf.DUMMYFUNCTION("""COMPUTED_VALUE"""),39119)</f>
        <v>39119</v>
      </c>
      <c r="J3336" s="2">
        <f ca="1">IFERROR(__xludf.DUMMYFUNCTION("""COMPUTED_VALUE"""),39483)</f>
        <v>39483</v>
      </c>
    </row>
    <row r="3337" spans="1:10" x14ac:dyDescent="0.25">
      <c r="A3337" s="1" t="str">
        <f ca="1">IFERROR(__xludf.DUMMYFUNCTION("""COMPUTED_VALUE"""),"Kilián Iskola DSE")</f>
        <v>Kilián Iskola DSE</v>
      </c>
      <c r="B3337" s="1" t="str">
        <f ca="1">IFERROR(__xludf.DUMMYFUNCTION("""COMPUTED_VALUE"""),"Horváth Péter 2")</f>
        <v>Horváth Péter 2</v>
      </c>
      <c r="C3337" s="1"/>
      <c r="D3337" s="1" t="str">
        <f ca="1">IFERROR(__xludf.DUMMYFUNCTION("""COMPUTED_VALUE"""),"Férfi")</f>
        <v>Férfi</v>
      </c>
      <c r="E3337" s="1"/>
      <c r="F3337" s="1">
        <f ca="1">IFERROR(__xludf.DUMMYFUNCTION("""COMPUTED_VALUE"""),1987)</f>
        <v>1987</v>
      </c>
      <c r="G3337" s="1">
        <f ca="1">IFERROR(__xludf.DUMMYFUNCTION("""COMPUTED_VALUE"""),380)</f>
        <v>380</v>
      </c>
      <c r="H3337" s="1" t="str">
        <f ca="1">IFERROR(__xludf.DUMMYFUNCTION("""COMPUTED_VALUE"""),"MTLSZ000380A07")</f>
        <v>MTLSZ000380A07</v>
      </c>
      <c r="I3337" s="2">
        <f ca="1">IFERROR(__xludf.DUMMYFUNCTION("""COMPUTED_VALUE"""),39119)</f>
        <v>39119</v>
      </c>
      <c r="J3337" s="2">
        <f ca="1">IFERROR(__xludf.DUMMYFUNCTION("""COMPUTED_VALUE"""),39483)</f>
        <v>39483</v>
      </c>
    </row>
    <row r="3338" spans="1:10" x14ac:dyDescent="0.25">
      <c r="A3338" s="1" t="str">
        <f ca="1">IFERROR(__xludf.DUMMYFUNCTION("""COMPUTED_VALUE"""),"Pedagógus Fáklya SE")</f>
        <v>Pedagógus Fáklya SE</v>
      </c>
      <c r="B3338" s="1" t="str">
        <f ca="1">IFERROR(__xludf.DUMMYFUNCTION("""COMPUTED_VALUE"""),"Dusnoki Vicent-Antoniu")</f>
        <v>Dusnoki Vicent-Antoniu</v>
      </c>
      <c r="C3338" s="1"/>
      <c r="D3338" s="1" t="str">
        <f ca="1">IFERROR(__xludf.DUMMYFUNCTION("""COMPUTED_VALUE"""),"Férfi")</f>
        <v>Férfi</v>
      </c>
      <c r="E3338" s="1"/>
      <c r="F3338" s="1">
        <f ca="1">IFERROR(__xludf.DUMMYFUNCTION("""COMPUTED_VALUE"""),1967)</f>
        <v>1967</v>
      </c>
      <c r="G3338" s="1">
        <f ca="1">IFERROR(__xludf.DUMMYFUNCTION("""COMPUTED_VALUE"""),1316)</f>
        <v>1316</v>
      </c>
      <c r="H3338" s="1" t="str">
        <f ca="1">IFERROR(__xludf.DUMMYFUNCTION("""COMPUTED_VALUE"""),"MTLSZ001316A07")</f>
        <v>MTLSZ001316A07</v>
      </c>
      <c r="I3338" s="2">
        <f ca="1">IFERROR(__xludf.DUMMYFUNCTION("""COMPUTED_VALUE"""),39118)</f>
        <v>39118</v>
      </c>
      <c r="J3338" s="2">
        <f ca="1">IFERROR(__xludf.DUMMYFUNCTION("""COMPUTED_VALUE"""),39482)</f>
        <v>39482</v>
      </c>
    </row>
    <row r="3339" spans="1:10" x14ac:dyDescent="0.25">
      <c r="A3339" s="1" t="str">
        <f ca="1">IFERROR(__xludf.DUMMYFUNCTION("""COMPUTED_VALUE"""),"Pedagógus Fáklya SE")</f>
        <v>Pedagógus Fáklya SE</v>
      </c>
      <c r="B3339" s="1" t="str">
        <f ca="1">IFERROR(__xludf.DUMMYFUNCTION("""COMPUTED_VALUE"""),"Popa Corina-Daniela")</f>
        <v>Popa Corina-Daniela</v>
      </c>
      <c r="C3339" s="1"/>
      <c r="D3339" s="1" t="str">
        <f ca="1">IFERROR(__xludf.DUMMYFUNCTION("""COMPUTED_VALUE"""),"Nő")</f>
        <v>Nő</v>
      </c>
      <c r="E3339" s="1"/>
      <c r="F3339" s="1">
        <f ca="1">IFERROR(__xludf.DUMMYFUNCTION("""COMPUTED_VALUE"""),1983)</f>
        <v>1983</v>
      </c>
      <c r="G3339" s="1">
        <f ca="1">IFERROR(__xludf.DUMMYFUNCTION("""COMPUTED_VALUE"""),1320)</f>
        <v>1320</v>
      </c>
      <c r="H3339" s="1" t="str">
        <f ca="1">IFERROR(__xludf.DUMMYFUNCTION("""COMPUTED_VALUE"""),"MTLSZ001320A07")</f>
        <v>MTLSZ001320A07</v>
      </c>
      <c r="I3339" s="2">
        <f ca="1">IFERROR(__xludf.DUMMYFUNCTION("""COMPUTED_VALUE"""),39118)</f>
        <v>39118</v>
      </c>
      <c r="J3339" s="2">
        <f ca="1">IFERROR(__xludf.DUMMYFUNCTION("""COMPUTED_VALUE"""),39482)</f>
        <v>39482</v>
      </c>
    </row>
    <row r="3340" spans="1:10" x14ac:dyDescent="0.25">
      <c r="A3340" s="1" t="str">
        <f ca="1">IFERROR(__xludf.DUMMYFUNCTION("""COMPUTED_VALUE"""),"Ságvári DSE")</f>
        <v>Ságvári DSE</v>
      </c>
      <c r="B3340" s="1" t="str">
        <f ca="1">IFERROR(__xludf.DUMMYFUNCTION("""COMPUTED_VALUE"""),"Csigér Daniella")</f>
        <v>Csigér Daniella</v>
      </c>
      <c r="C3340" s="1"/>
      <c r="D3340" s="1" t="str">
        <f ca="1">IFERROR(__xludf.DUMMYFUNCTION("""COMPUTED_VALUE"""),"Nő")</f>
        <v>Nő</v>
      </c>
      <c r="E3340" s="1"/>
      <c r="F3340" s="1">
        <f ca="1">IFERROR(__xludf.DUMMYFUNCTION("""COMPUTED_VALUE"""),1994)</f>
        <v>1994</v>
      </c>
      <c r="G3340" s="1">
        <f ca="1">IFERROR(__xludf.DUMMYFUNCTION("""COMPUTED_VALUE"""),1489)</f>
        <v>1489</v>
      </c>
      <c r="H3340" s="1" t="str">
        <f ca="1">IFERROR(__xludf.DUMMYFUNCTION("""COMPUTED_VALUE"""),"MTLSZ001489A07")</f>
        <v>MTLSZ001489A07</v>
      </c>
      <c r="I3340" s="2">
        <f ca="1">IFERROR(__xludf.DUMMYFUNCTION("""COMPUTED_VALUE"""),39113)</f>
        <v>39113</v>
      </c>
      <c r="J3340" s="2">
        <f ca="1">IFERROR(__xludf.DUMMYFUNCTION("""COMPUTED_VALUE"""),39477)</f>
        <v>39477</v>
      </c>
    </row>
    <row r="3341" spans="1:10" x14ac:dyDescent="0.25">
      <c r="A3341" s="1" t="str">
        <f ca="1">IFERROR(__xludf.DUMMYFUNCTION("""COMPUTED_VALUE"""),"Alba-Toll SE")</f>
        <v>Alba-Toll SE</v>
      </c>
      <c r="B3341" s="1" t="str">
        <f ca="1">IFERROR(__xludf.DUMMYFUNCTION("""COMPUTED_VALUE"""),"Kanczler Dániel")</f>
        <v>Kanczler Dániel</v>
      </c>
      <c r="C3341" s="1"/>
      <c r="D3341" s="1" t="str">
        <f ca="1">IFERROR(__xludf.DUMMYFUNCTION("""COMPUTED_VALUE"""),"Férfi")</f>
        <v>Férfi</v>
      </c>
      <c r="E3341" s="1"/>
      <c r="F3341" s="1">
        <f ca="1">IFERROR(__xludf.DUMMYFUNCTION("""COMPUTED_VALUE"""),1993)</f>
        <v>1993</v>
      </c>
      <c r="G3341" s="1">
        <f ca="1">IFERROR(__xludf.DUMMYFUNCTION("""COMPUTED_VALUE"""),1759)</f>
        <v>1759</v>
      </c>
      <c r="H3341" s="1" t="str">
        <f ca="1">IFERROR(__xludf.DUMMYFUNCTION("""COMPUTED_VALUE"""),"MTLSZ001759A07")</f>
        <v>MTLSZ001759A07</v>
      </c>
      <c r="I3341" s="2">
        <f ca="1">IFERROR(__xludf.DUMMYFUNCTION("""COMPUTED_VALUE"""),39099)</f>
        <v>39099</v>
      </c>
      <c r="J3341" s="2">
        <f ca="1">IFERROR(__xludf.DUMMYFUNCTION("""COMPUTED_VALUE"""),39463)</f>
        <v>39463</v>
      </c>
    </row>
    <row r="3342" spans="1:10" x14ac:dyDescent="0.25">
      <c r="A3342" s="1" t="str">
        <f ca="1">IFERROR(__xludf.DUMMYFUNCTION("""COMPUTED_VALUE"""),"Érdi VSE")</f>
        <v>Érdi VSE</v>
      </c>
      <c r="B3342" s="1" t="str">
        <f ca="1">IFERROR(__xludf.DUMMYFUNCTION("""COMPUTED_VALUE"""),"Hunyák Vivien")</f>
        <v>Hunyák Vivien</v>
      </c>
      <c r="C3342" s="1"/>
      <c r="D3342" s="1" t="str">
        <f ca="1">IFERROR(__xludf.DUMMYFUNCTION("""COMPUTED_VALUE"""),"Nő")</f>
        <v>Nő</v>
      </c>
      <c r="E3342" s="1"/>
      <c r="F3342" s="1">
        <f ca="1">IFERROR(__xludf.DUMMYFUNCTION("""COMPUTED_VALUE"""),1992)</f>
        <v>1992</v>
      </c>
      <c r="G3342" s="1">
        <f ca="1">IFERROR(__xludf.DUMMYFUNCTION("""COMPUTED_VALUE"""),1387)</f>
        <v>1387</v>
      </c>
      <c r="H3342" s="1" t="str">
        <f ca="1">IFERROR(__xludf.DUMMYFUNCTION("""COMPUTED_VALUE"""),"MTLSZ001387A07")</f>
        <v>MTLSZ001387A07</v>
      </c>
      <c r="I3342" s="2">
        <f ca="1">IFERROR(__xludf.DUMMYFUNCTION("""COMPUTED_VALUE"""),39084)</f>
        <v>39084</v>
      </c>
      <c r="J3342" s="2">
        <f ca="1">IFERROR(__xludf.DUMMYFUNCTION("""COMPUTED_VALUE"""),39448)</f>
        <v>39448</v>
      </c>
    </row>
    <row r="3343" spans="1:10" x14ac:dyDescent="0.25">
      <c r="A3343" s="1" t="str">
        <f ca="1">IFERROR(__xludf.DUMMYFUNCTION("""COMPUTED_VALUE"""),"Klébi DSE")</f>
        <v>Klébi DSE</v>
      </c>
      <c r="B3343" s="1" t="str">
        <f ca="1">IFERROR(__xludf.DUMMYFUNCTION("""COMPUTED_VALUE"""),"Budai Márton")</f>
        <v>Budai Márton</v>
      </c>
      <c r="C3343" s="1"/>
      <c r="D3343" s="1" t="str">
        <f ca="1">IFERROR(__xludf.DUMMYFUNCTION("""COMPUTED_VALUE"""),"Férfi")</f>
        <v>Férfi</v>
      </c>
      <c r="E3343" s="1"/>
      <c r="F3343" s="1">
        <f ca="1">IFERROR(__xludf.DUMMYFUNCTION("""COMPUTED_VALUE"""),1992)</f>
        <v>1992</v>
      </c>
      <c r="G3343" s="1">
        <f ca="1">IFERROR(__xludf.DUMMYFUNCTION("""COMPUTED_VALUE"""),1561)</f>
        <v>1561</v>
      </c>
      <c r="H3343" s="1" t="str">
        <f ca="1">IFERROR(__xludf.DUMMYFUNCTION("""COMPUTED_VALUE"""),"MTLSZ001561A06")</f>
        <v>MTLSZ001561A06</v>
      </c>
      <c r="I3343" s="2">
        <f ca="1">IFERROR(__xludf.DUMMYFUNCTION("""COMPUTED_VALUE"""),39059)</f>
        <v>39059</v>
      </c>
      <c r="J3343" s="2">
        <f ca="1">IFERROR(__xludf.DUMMYFUNCTION("""COMPUTED_VALUE"""),39423)</f>
        <v>39423</v>
      </c>
    </row>
    <row r="3344" spans="1:10" x14ac:dyDescent="0.25">
      <c r="A3344" s="1" t="str">
        <f ca="1">IFERROR(__xludf.DUMMYFUNCTION("""COMPUTED_VALUE"""),"Klébi DSE")</f>
        <v>Klébi DSE</v>
      </c>
      <c r="B3344" s="1" t="str">
        <f ca="1">IFERROR(__xludf.DUMMYFUNCTION("""COMPUTED_VALUE"""),"Szabó Dorottya")</f>
        <v>Szabó Dorottya</v>
      </c>
      <c r="C3344" s="1"/>
      <c r="D3344" s="1" t="str">
        <f ca="1">IFERROR(__xludf.DUMMYFUNCTION("""COMPUTED_VALUE"""),"Nő")</f>
        <v>Nő</v>
      </c>
      <c r="E3344" s="1"/>
      <c r="F3344" s="1">
        <f ca="1">IFERROR(__xludf.DUMMYFUNCTION("""COMPUTED_VALUE"""),1988)</f>
        <v>1988</v>
      </c>
      <c r="G3344" s="1">
        <f ca="1">IFERROR(__xludf.DUMMYFUNCTION("""COMPUTED_VALUE"""),1818)</f>
        <v>1818</v>
      </c>
      <c r="H3344" s="1" t="str">
        <f ca="1">IFERROR(__xludf.DUMMYFUNCTION("""COMPUTED_VALUE"""),"MTLSZ001818A06")</f>
        <v>MTLSZ001818A06</v>
      </c>
      <c r="I3344" s="2">
        <f ca="1">IFERROR(__xludf.DUMMYFUNCTION("""COMPUTED_VALUE"""),39038)</f>
        <v>39038</v>
      </c>
      <c r="J3344" s="2">
        <f ca="1">IFERROR(__xludf.DUMMYFUNCTION("""COMPUTED_VALUE"""),39402)</f>
        <v>39402</v>
      </c>
    </row>
    <row r="3345" spans="1:10" x14ac:dyDescent="0.25">
      <c r="A3345" s="1" t="str">
        <f ca="1">IFERROR(__xludf.DUMMYFUNCTION("""COMPUTED_VALUE"""),"MAFC")</f>
        <v>MAFC</v>
      </c>
      <c r="B3345" s="1" t="str">
        <f ca="1">IFERROR(__xludf.DUMMYFUNCTION("""COMPUTED_VALUE"""),"Balogh Klára")</f>
        <v>Balogh Klára</v>
      </c>
      <c r="C3345" s="1"/>
      <c r="D3345" s="1" t="str">
        <f ca="1">IFERROR(__xludf.DUMMYFUNCTION("""COMPUTED_VALUE"""),"Nő")</f>
        <v>Nő</v>
      </c>
      <c r="E3345" s="1"/>
      <c r="F3345" s="1">
        <f ca="1">IFERROR(__xludf.DUMMYFUNCTION("""COMPUTED_VALUE"""),1989)</f>
        <v>1989</v>
      </c>
      <c r="G3345" s="1">
        <f ca="1">IFERROR(__xludf.DUMMYFUNCTION("""COMPUTED_VALUE"""),1249)</f>
        <v>1249</v>
      </c>
      <c r="H3345" s="1" t="str">
        <f ca="1">IFERROR(__xludf.DUMMYFUNCTION("""COMPUTED_VALUE"""),"MTLSZ001249A06")</f>
        <v>MTLSZ001249A06</v>
      </c>
      <c r="I3345" s="2">
        <f ca="1">IFERROR(__xludf.DUMMYFUNCTION("""COMPUTED_VALUE"""),39035)</f>
        <v>39035</v>
      </c>
      <c r="J3345" s="2">
        <f ca="1">IFERROR(__xludf.DUMMYFUNCTION("""COMPUTED_VALUE"""),39399)</f>
        <v>39399</v>
      </c>
    </row>
    <row r="3346" spans="1:10" x14ac:dyDescent="0.25">
      <c r="A3346" s="1" t="str">
        <f ca="1">IFERROR(__xludf.DUMMYFUNCTION("""COMPUTED_VALUE"""),"MAFC")</f>
        <v>MAFC</v>
      </c>
      <c r="B3346" s="1" t="str">
        <f ca="1">IFERROR(__xludf.DUMMYFUNCTION("""COMPUTED_VALUE"""),"Laki Margit")</f>
        <v>Laki Margit</v>
      </c>
      <c r="C3346" s="1"/>
      <c r="D3346" s="1" t="str">
        <f ca="1">IFERROR(__xludf.DUMMYFUNCTION("""COMPUTED_VALUE"""),"Nő")</f>
        <v>Nő</v>
      </c>
      <c r="E3346" s="1"/>
      <c r="F3346" s="1">
        <f ca="1">IFERROR(__xludf.DUMMYFUNCTION("""COMPUTED_VALUE"""),1987)</f>
        <v>1987</v>
      </c>
      <c r="G3346" s="1">
        <f ca="1">IFERROR(__xludf.DUMMYFUNCTION("""COMPUTED_VALUE"""),1816)</f>
        <v>1816</v>
      </c>
      <c r="H3346" s="1" t="str">
        <f ca="1">IFERROR(__xludf.DUMMYFUNCTION("""COMPUTED_VALUE"""),"MTLSZ001816A06")</f>
        <v>MTLSZ001816A06</v>
      </c>
      <c r="I3346" s="2">
        <f ca="1">IFERROR(__xludf.DUMMYFUNCTION("""COMPUTED_VALUE"""),39035)</f>
        <v>39035</v>
      </c>
      <c r="J3346" s="2">
        <f ca="1">IFERROR(__xludf.DUMMYFUNCTION("""COMPUTED_VALUE"""),39399)</f>
        <v>39399</v>
      </c>
    </row>
    <row r="3347" spans="1:10" x14ac:dyDescent="0.25">
      <c r="A3347" s="1" t="str">
        <f ca="1">IFERROR(__xludf.DUMMYFUNCTION("""COMPUTED_VALUE"""),"Klébi DSE")</f>
        <v>Klébi DSE</v>
      </c>
      <c r="B3347" s="1" t="str">
        <f ca="1">IFERROR(__xludf.DUMMYFUNCTION("""COMPUTED_VALUE"""),"Medgyesi Zsolt")</f>
        <v>Medgyesi Zsolt</v>
      </c>
      <c r="C3347" s="1"/>
      <c r="D3347" s="1" t="str">
        <f ca="1">IFERROR(__xludf.DUMMYFUNCTION("""COMPUTED_VALUE"""),"Férfi")</f>
        <v>Férfi</v>
      </c>
      <c r="E3347" s="1"/>
      <c r="F3347" s="1">
        <f ca="1">IFERROR(__xludf.DUMMYFUNCTION("""COMPUTED_VALUE"""),1993)</f>
        <v>1993</v>
      </c>
      <c r="G3347" s="1">
        <f ca="1">IFERROR(__xludf.DUMMYFUNCTION("""COMPUTED_VALUE"""),1725)</f>
        <v>1725</v>
      </c>
      <c r="H3347" s="1" t="str">
        <f ca="1">IFERROR(__xludf.DUMMYFUNCTION("""COMPUTED_VALUE"""),"MTLSZ001725A06")</f>
        <v>MTLSZ001725A06</v>
      </c>
      <c r="I3347" s="2">
        <f ca="1">IFERROR(__xludf.DUMMYFUNCTION("""COMPUTED_VALUE"""),39031)</f>
        <v>39031</v>
      </c>
      <c r="J3347" s="2">
        <f ca="1">IFERROR(__xludf.DUMMYFUNCTION("""COMPUTED_VALUE"""),39395)</f>
        <v>39395</v>
      </c>
    </row>
    <row r="3348" spans="1:10" x14ac:dyDescent="0.25">
      <c r="A3348" s="1" t="str">
        <f ca="1">IFERROR(__xludf.DUMMYFUNCTION("""COMPUTED_VALUE"""),"Pedagógus Fáklya SE")</f>
        <v>Pedagógus Fáklya SE</v>
      </c>
      <c r="B3348" s="1" t="str">
        <f ca="1">IFERROR(__xludf.DUMMYFUNCTION("""COMPUTED_VALUE"""),"Dehelean Alexandru-Denis")</f>
        <v>Dehelean Alexandru-Denis</v>
      </c>
      <c r="C3348" s="1"/>
      <c r="D3348" s="1" t="str">
        <f ca="1">IFERROR(__xludf.DUMMYFUNCTION("""COMPUTED_VALUE"""),"Férfi")</f>
        <v>Férfi</v>
      </c>
      <c r="E3348" s="1"/>
      <c r="F3348" s="1">
        <f ca="1">IFERROR(__xludf.DUMMYFUNCTION("""COMPUTED_VALUE"""),1974)</f>
        <v>1974</v>
      </c>
      <c r="G3348" s="1">
        <f ca="1">IFERROR(__xludf.DUMMYFUNCTION("""COMPUTED_VALUE"""),1633)</f>
        <v>1633</v>
      </c>
      <c r="H3348" s="1" t="str">
        <f ca="1">IFERROR(__xludf.DUMMYFUNCTION("""COMPUTED_VALUE"""),"MTLSZ001633A06")</f>
        <v>MTLSZ001633A06</v>
      </c>
      <c r="I3348" s="2">
        <f ca="1">IFERROR(__xludf.DUMMYFUNCTION("""COMPUTED_VALUE"""),39031)</f>
        <v>39031</v>
      </c>
      <c r="J3348" s="2">
        <f ca="1">IFERROR(__xludf.DUMMYFUNCTION("""COMPUTED_VALUE"""),39395)</f>
        <v>39395</v>
      </c>
    </row>
    <row r="3349" spans="1:10" x14ac:dyDescent="0.25">
      <c r="A3349" s="1" t="str">
        <f ca="1">IFERROR(__xludf.DUMMYFUNCTION("""COMPUTED_VALUE"""),"HZSE")</f>
        <v>HZSE</v>
      </c>
      <c r="B3349" s="1" t="str">
        <f ca="1">IFERROR(__xludf.DUMMYFUNCTION("""COMPUTED_VALUE"""),"Szunomár Ágost")</f>
        <v>Szunomár Ágost</v>
      </c>
      <c r="C3349" s="1"/>
      <c r="D3349" s="1" t="str">
        <f ca="1">IFERROR(__xludf.DUMMYFUNCTION("""COMPUTED_VALUE"""),"Férfi")</f>
        <v>Férfi</v>
      </c>
      <c r="E3349" s="1"/>
      <c r="F3349" s="1">
        <f ca="1">IFERROR(__xludf.DUMMYFUNCTION("""COMPUTED_VALUE"""),1987)</f>
        <v>1987</v>
      </c>
      <c r="G3349" s="1">
        <f ca="1">IFERROR(__xludf.DUMMYFUNCTION("""COMPUTED_VALUE"""),1354)</f>
        <v>1354</v>
      </c>
      <c r="H3349" s="1" t="str">
        <f ca="1">IFERROR(__xludf.DUMMYFUNCTION("""COMPUTED_VALUE"""),"MTLSZ001354A06")</f>
        <v>MTLSZ001354A06</v>
      </c>
      <c r="I3349" s="2">
        <f ca="1">IFERROR(__xludf.DUMMYFUNCTION("""COMPUTED_VALUE"""),39028)</f>
        <v>39028</v>
      </c>
      <c r="J3349" s="2">
        <f ca="1">IFERROR(__xludf.DUMMYFUNCTION("""COMPUTED_VALUE"""),39392)</f>
        <v>39392</v>
      </c>
    </row>
    <row r="3350" spans="1:10" x14ac:dyDescent="0.25">
      <c r="A3350" s="1" t="str">
        <f ca="1">IFERROR(__xludf.DUMMYFUNCTION("""COMPUTED_VALUE"""),"HZSE")</f>
        <v>HZSE</v>
      </c>
      <c r="B3350" s="1" t="str">
        <f ca="1">IFERROR(__xludf.DUMMYFUNCTION("""COMPUTED_VALUE"""),"Taigiszer Márton")</f>
        <v>Taigiszer Márton</v>
      </c>
      <c r="C3350" s="1"/>
      <c r="D3350" s="1" t="str">
        <f ca="1">IFERROR(__xludf.DUMMYFUNCTION("""COMPUTED_VALUE"""),"Férfi")</f>
        <v>Férfi</v>
      </c>
      <c r="E3350" s="1"/>
      <c r="F3350" s="1">
        <f ca="1">IFERROR(__xludf.DUMMYFUNCTION("""COMPUTED_VALUE"""),1995)</f>
        <v>1995</v>
      </c>
      <c r="G3350" s="1">
        <f ca="1">IFERROR(__xludf.DUMMYFUNCTION("""COMPUTED_VALUE"""),1814)</f>
        <v>1814</v>
      </c>
      <c r="H3350" s="1" t="str">
        <f ca="1">IFERROR(__xludf.DUMMYFUNCTION("""COMPUTED_VALUE"""),"MTLSZ001814A06")</f>
        <v>MTLSZ001814A06</v>
      </c>
      <c r="I3350" s="2">
        <f ca="1">IFERROR(__xludf.DUMMYFUNCTION("""COMPUTED_VALUE"""),39028)</f>
        <v>39028</v>
      </c>
      <c r="J3350" s="2">
        <f ca="1">IFERROR(__xludf.DUMMYFUNCTION("""COMPUTED_VALUE"""),39392)</f>
        <v>39392</v>
      </c>
    </row>
    <row r="3351" spans="1:10" x14ac:dyDescent="0.25">
      <c r="A3351" s="1" t="str">
        <f ca="1">IFERROR(__xludf.DUMMYFUNCTION("""COMPUTED_VALUE"""),"Multi Alarm SE")</f>
        <v>Multi Alarm SE</v>
      </c>
      <c r="B3351" s="1" t="str">
        <f ca="1">IFERROR(__xludf.DUMMYFUNCTION("""COMPUTED_VALUE"""),"Könyves Ágnes")</f>
        <v>Könyves Ágnes</v>
      </c>
      <c r="C3351" s="1"/>
      <c r="D3351" s="1" t="str">
        <f ca="1">IFERROR(__xludf.DUMMYFUNCTION("""COMPUTED_VALUE"""),"Nő")</f>
        <v>Nő</v>
      </c>
      <c r="E3351" s="1"/>
      <c r="F3351" s="1">
        <f ca="1">IFERROR(__xludf.DUMMYFUNCTION("""COMPUTED_VALUE"""),1981)</f>
        <v>1981</v>
      </c>
      <c r="G3351" s="1">
        <f ca="1">IFERROR(__xludf.DUMMYFUNCTION("""COMPUTED_VALUE"""),1811)</f>
        <v>1811</v>
      </c>
      <c r="H3351" s="1" t="str">
        <f ca="1">IFERROR(__xludf.DUMMYFUNCTION("""COMPUTED_VALUE"""),"MTLSZ001811A06")</f>
        <v>MTLSZ001811A06</v>
      </c>
      <c r="I3351" s="2">
        <f ca="1">IFERROR(__xludf.DUMMYFUNCTION("""COMPUTED_VALUE"""),39027)</f>
        <v>39027</v>
      </c>
      <c r="J3351" s="2">
        <f ca="1">IFERROR(__xludf.DUMMYFUNCTION("""COMPUTED_VALUE"""),39391)</f>
        <v>39391</v>
      </c>
    </row>
    <row r="3352" spans="1:10" x14ac:dyDescent="0.25">
      <c r="A3352" s="1" t="str">
        <f ca="1">IFERROR(__xludf.DUMMYFUNCTION("""COMPUTED_VALUE"""),"Reac SE")</f>
        <v>Reac SE</v>
      </c>
      <c r="B3352" s="1" t="str">
        <f ca="1">IFERROR(__xludf.DUMMYFUNCTION("""COMPUTED_VALUE"""),"Mazalin Gergely")</f>
        <v>Mazalin Gergely</v>
      </c>
      <c r="C3352" s="1"/>
      <c r="D3352" s="1" t="str">
        <f ca="1">IFERROR(__xludf.DUMMYFUNCTION("""COMPUTED_VALUE"""),"Férfi")</f>
        <v>Férfi</v>
      </c>
      <c r="E3352" s="1"/>
      <c r="F3352" s="1">
        <f ca="1">IFERROR(__xludf.DUMMYFUNCTION("""COMPUTED_VALUE"""),1990)</f>
        <v>1990</v>
      </c>
      <c r="G3352" s="1">
        <f ca="1">IFERROR(__xludf.DUMMYFUNCTION("""COMPUTED_VALUE"""),1650)</f>
        <v>1650</v>
      </c>
      <c r="H3352" s="1" t="str">
        <f ca="1">IFERROR(__xludf.DUMMYFUNCTION("""COMPUTED_VALUE"""),"MTLSZ001650A06")</f>
        <v>MTLSZ001650A06</v>
      </c>
      <c r="I3352" s="2">
        <f ca="1">IFERROR(__xludf.DUMMYFUNCTION("""COMPUTED_VALUE"""),39024)</f>
        <v>39024</v>
      </c>
      <c r="J3352" s="2">
        <f ca="1">IFERROR(__xludf.DUMMYFUNCTION("""COMPUTED_VALUE"""),39388)</f>
        <v>39388</v>
      </c>
    </row>
    <row r="3353" spans="1:10" x14ac:dyDescent="0.25">
      <c r="A3353" s="1" t="str">
        <f ca="1">IFERROR(__xludf.DUMMYFUNCTION("""COMPUTED_VALUE"""),"Pedagógus Fáklya SE")</f>
        <v>Pedagógus Fáklya SE</v>
      </c>
      <c r="B3353" s="1" t="str">
        <f ca="1">IFERROR(__xludf.DUMMYFUNCTION("""COMPUTED_VALUE"""),"Egri Andrea")</f>
        <v>Egri Andrea</v>
      </c>
      <c r="C3353" s="1"/>
      <c r="D3353" s="1" t="str">
        <f ca="1">IFERROR(__xludf.DUMMYFUNCTION("""COMPUTED_VALUE"""),"Nő")</f>
        <v>Nő</v>
      </c>
      <c r="E3353" s="1"/>
      <c r="F3353" s="1">
        <f ca="1">IFERROR(__xludf.DUMMYFUNCTION("""COMPUTED_VALUE"""),1990)</f>
        <v>1990</v>
      </c>
      <c r="G3353" s="1">
        <f ca="1">IFERROR(__xludf.DUMMYFUNCTION("""COMPUTED_VALUE"""),1634)</f>
        <v>1634</v>
      </c>
      <c r="H3353" s="1" t="str">
        <f ca="1">IFERROR(__xludf.DUMMYFUNCTION("""COMPUTED_VALUE"""),"MTLSZ001634A06")</f>
        <v>MTLSZ001634A06</v>
      </c>
      <c r="I3353" s="2">
        <f ca="1">IFERROR(__xludf.DUMMYFUNCTION("""COMPUTED_VALUE"""),39023)</f>
        <v>39023</v>
      </c>
      <c r="J3353" s="2">
        <f ca="1">IFERROR(__xludf.DUMMYFUNCTION("""COMPUTED_VALUE"""),39387)</f>
        <v>39387</v>
      </c>
    </row>
    <row r="3354" spans="1:10" x14ac:dyDescent="0.25">
      <c r="A3354" s="1" t="str">
        <f ca="1">IFERROR(__xludf.DUMMYFUNCTION("""COMPUTED_VALUE"""),"Pedagógus Fáklya SE")</f>
        <v>Pedagógus Fáklya SE</v>
      </c>
      <c r="B3354" s="1" t="str">
        <f ca="1">IFERROR(__xludf.DUMMYFUNCTION("""COMPUTED_VALUE"""),"Egri Enikő")</f>
        <v>Egri Enikő</v>
      </c>
      <c r="C3354" s="1"/>
      <c r="D3354" s="1" t="str">
        <f ca="1">IFERROR(__xludf.DUMMYFUNCTION("""COMPUTED_VALUE"""),"Nő")</f>
        <v>Nő</v>
      </c>
      <c r="E3354" s="1"/>
      <c r="F3354" s="1">
        <f ca="1">IFERROR(__xludf.DUMMYFUNCTION("""COMPUTED_VALUE"""),1991)</f>
        <v>1991</v>
      </c>
      <c r="G3354" s="1">
        <f ca="1">IFERROR(__xludf.DUMMYFUNCTION("""COMPUTED_VALUE"""),1609)</f>
        <v>1609</v>
      </c>
      <c r="H3354" s="1" t="str">
        <f ca="1">IFERROR(__xludf.DUMMYFUNCTION("""COMPUTED_VALUE"""),"MTLSZ001609A06")</f>
        <v>MTLSZ001609A06</v>
      </c>
      <c r="I3354" s="2">
        <f ca="1">IFERROR(__xludf.DUMMYFUNCTION("""COMPUTED_VALUE"""),39023)</f>
        <v>39023</v>
      </c>
      <c r="J3354" s="2">
        <f ca="1">IFERROR(__xludf.DUMMYFUNCTION("""COMPUTED_VALUE"""),39387)</f>
        <v>39387</v>
      </c>
    </row>
    <row r="3355" spans="1:10" x14ac:dyDescent="0.25">
      <c r="A3355" s="1" t="str">
        <f ca="1">IFERROR(__xludf.DUMMYFUNCTION("""COMPUTED_VALUE"""),"Pedagógus Fáklya SE")</f>
        <v>Pedagógus Fáklya SE</v>
      </c>
      <c r="B3355" s="1" t="str">
        <f ca="1">IFERROR(__xludf.DUMMYFUNCTION("""COMPUTED_VALUE"""),"Rácz Anett")</f>
        <v>Rácz Anett</v>
      </c>
      <c r="C3355" s="1"/>
      <c r="D3355" s="1" t="str">
        <f ca="1">IFERROR(__xludf.DUMMYFUNCTION("""COMPUTED_VALUE"""),"Nő")</f>
        <v>Nő</v>
      </c>
      <c r="E3355" s="1"/>
      <c r="F3355" s="1">
        <f ca="1">IFERROR(__xludf.DUMMYFUNCTION("""COMPUTED_VALUE"""),1990)</f>
        <v>1990</v>
      </c>
      <c r="G3355" s="1">
        <f ca="1">IFERROR(__xludf.DUMMYFUNCTION("""COMPUTED_VALUE"""),1610)</f>
        <v>1610</v>
      </c>
      <c r="H3355" s="1" t="str">
        <f ca="1">IFERROR(__xludf.DUMMYFUNCTION("""COMPUTED_VALUE"""),"MTLSZ001610A06")</f>
        <v>MTLSZ001610A06</v>
      </c>
      <c r="I3355" s="2">
        <f ca="1">IFERROR(__xludf.DUMMYFUNCTION("""COMPUTED_VALUE"""),39023)</f>
        <v>39023</v>
      </c>
      <c r="J3355" s="2">
        <f ca="1">IFERROR(__xludf.DUMMYFUNCTION("""COMPUTED_VALUE"""),39387)</f>
        <v>39387</v>
      </c>
    </row>
    <row r="3356" spans="1:10" x14ac:dyDescent="0.25">
      <c r="A3356" s="1" t="str">
        <f ca="1">IFERROR(__xludf.DUMMYFUNCTION("""COMPUTED_VALUE"""),"MAFC")</f>
        <v>MAFC</v>
      </c>
      <c r="B3356" s="1" t="str">
        <f ca="1">IFERROR(__xludf.DUMMYFUNCTION("""COMPUTED_VALUE"""),"Hegyi Béla")</f>
        <v>Hegyi Béla</v>
      </c>
      <c r="C3356" s="1"/>
      <c r="D3356" s="1" t="str">
        <f ca="1">IFERROR(__xludf.DUMMYFUNCTION("""COMPUTED_VALUE"""),"Férfi")</f>
        <v>Férfi</v>
      </c>
      <c r="E3356" s="1"/>
      <c r="F3356" s="1">
        <f ca="1">IFERROR(__xludf.DUMMYFUNCTION("""COMPUTED_VALUE"""),1986)</f>
        <v>1986</v>
      </c>
      <c r="G3356" s="1">
        <f ca="1">IFERROR(__xludf.DUMMYFUNCTION("""COMPUTED_VALUE"""),354)</f>
        <v>354</v>
      </c>
      <c r="H3356" s="1" t="str">
        <f ca="1">IFERROR(__xludf.DUMMYFUNCTION("""COMPUTED_VALUE"""),"MTLSZ000354A06")</f>
        <v>MTLSZ000354A06</v>
      </c>
      <c r="I3356" s="2">
        <f ca="1">IFERROR(__xludf.DUMMYFUNCTION("""COMPUTED_VALUE"""),39022)</f>
        <v>39022</v>
      </c>
      <c r="J3356" s="2">
        <f ca="1">IFERROR(__xludf.DUMMYFUNCTION("""COMPUTED_VALUE"""),39386)</f>
        <v>39386</v>
      </c>
    </row>
    <row r="3357" spans="1:10" x14ac:dyDescent="0.25">
      <c r="A3357" s="1" t="str">
        <f ca="1">IFERROR(__xludf.DUMMYFUNCTION("""COMPUTED_VALUE"""),"Ságvári DSE")</f>
        <v>Ságvári DSE</v>
      </c>
      <c r="B3357" s="1" t="str">
        <f ca="1">IFERROR(__xludf.DUMMYFUNCTION("""COMPUTED_VALUE"""),"Juhász-Bóka Brigitta")</f>
        <v>Juhász-Bóka Brigitta</v>
      </c>
      <c r="C3357" s="1"/>
      <c r="D3357" s="1" t="str">
        <f ca="1">IFERROR(__xludf.DUMMYFUNCTION("""COMPUTED_VALUE"""),"Nő")</f>
        <v>Nő</v>
      </c>
      <c r="E3357" s="1"/>
      <c r="F3357" s="1">
        <f ca="1">IFERROR(__xludf.DUMMYFUNCTION("""COMPUTED_VALUE"""),1992)</f>
        <v>1992</v>
      </c>
      <c r="G3357" s="1">
        <f ca="1">IFERROR(__xludf.DUMMYFUNCTION("""COMPUTED_VALUE"""),1730)</f>
        <v>1730</v>
      </c>
      <c r="H3357" s="1" t="str">
        <f ca="1">IFERROR(__xludf.DUMMYFUNCTION("""COMPUTED_VALUE"""),"MTLSZ001730A06")</f>
        <v>MTLSZ001730A06</v>
      </c>
      <c r="I3357" s="2">
        <f ca="1">IFERROR(__xludf.DUMMYFUNCTION("""COMPUTED_VALUE"""),39007)</f>
        <v>39007</v>
      </c>
      <c r="J3357" s="2">
        <f ca="1">IFERROR(__xludf.DUMMYFUNCTION("""COMPUTED_VALUE"""),39371)</f>
        <v>39371</v>
      </c>
    </row>
    <row r="3358" spans="1:10" x14ac:dyDescent="0.25">
      <c r="A3358" s="1" t="str">
        <f ca="1">IFERROR(__xludf.DUMMYFUNCTION("""COMPUTED_VALUE"""),"Ságvári DSE")</f>
        <v>Ságvári DSE</v>
      </c>
      <c r="B3358" s="1" t="str">
        <f ca="1">IFERROR(__xludf.DUMMYFUNCTION("""COMPUTED_VALUE"""),"Tóth Fanni Kinga")</f>
        <v>Tóth Fanni Kinga</v>
      </c>
      <c r="C3358" s="1"/>
      <c r="D3358" s="1" t="str">
        <f ca="1">IFERROR(__xludf.DUMMYFUNCTION("""COMPUTED_VALUE"""),"Nő")</f>
        <v>Nő</v>
      </c>
      <c r="E3358" s="1"/>
      <c r="F3358" s="1">
        <f ca="1">IFERROR(__xludf.DUMMYFUNCTION("""COMPUTED_VALUE"""),1992)</f>
        <v>1992</v>
      </c>
      <c r="G3358" s="1">
        <f ca="1">IFERROR(__xludf.DUMMYFUNCTION("""COMPUTED_VALUE"""),1030)</f>
        <v>1030</v>
      </c>
      <c r="H3358" s="1" t="str">
        <f ca="1">IFERROR(__xludf.DUMMYFUNCTION("""COMPUTED_VALUE"""),"MTLSZ001030A06")</f>
        <v>MTLSZ001030A06</v>
      </c>
      <c r="I3358" s="2">
        <f ca="1">IFERROR(__xludf.DUMMYFUNCTION("""COMPUTED_VALUE"""),39007)</f>
        <v>39007</v>
      </c>
      <c r="J3358" s="2">
        <f ca="1">IFERROR(__xludf.DUMMYFUNCTION("""COMPUTED_VALUE"""),39371)</f>
        <v>39371</v>
      </c>
    </row>
    <row r="3359" spans="1:10" x14ac:dyDescent="0.25">
      <c r="A3359" s="1" t="str">
        <f ca="1">IFERROR(__xludf.DUMMYFUNCTION("""COMPUTED_VALUE"""),"Klébi DSE")</f>
        <v>Klébi DSE</v>
      </c>
      <c r="B3359" s="1" t="str">
        <f ca="1">IFERROR(__xludf.DUMMYFUNCTION("""COMPUTED_VALUE"""),"Kotán Lóránd")</f>
        <v>Kotán Lóránd</v>
      </c>
      <c r="C3359" s="1"/>
      <c r="D3359" s="1" t="str">
        <f ca="1">IFERROR(__xludf.DUMMYFUNCTION("""COMPUTED_VALUE"""),"Férfi")</f>
        <v>Férfi</v>
      </c>
      <c r="E3359" s="1"/>
      <c r="F3359" s="1">
        <f ca="1">IFERROR(__xludf.DUMMYFUNCTION("""COMPUTED_VALUE"""),1991)</f>
        <v>1991</v>
      </c>
      <c r="G3359" s="1">
        <f ca="1">IFERROR(__xludf.DUMMYFUNCTION("""COMPUTED_VALUE"""),1275)</f>
        <v>1275</v>
      </c>
      <c r="H3359" s="1" t="str">
        <f ca="1">IFERROR(__xludf.DUMMYFUNCTION("""COMPUTED_VALUE"""),"MTLSZ001275A06")</f>
        <v>MTLSZ001275A06</v>
      </c>
      <c r="I3359" s="2">
        <f ca="1">IFERROR(__xludf.DUMMYFUNCTION("""COMPUTED_VALUE"""),38994)</f>
        <v>38994</v>
      </c>
      <c r="J3359" s="2">
        <f ca="1">IFERROR(__xludf.DUMMYFUNCTION("""COMPUTED_VALUE"""),39358)</f>
        <v>39358</v>
      </c>
    </row>
    <row r="3360" spans="1:10" x14ac:dyDescent="0.25">
      <c r="A3360" s="1" t="str">
        <f ca="1">IFERROR(__xludf.DUMMYFUNCTION("""COMPUTED_VALUE"""),"Klébi DSE")</f>
        <v>Klébi DSE</v>
      </c>
      <c r="B3360" s="1" t="str">
        <f ca="1">IFERROR(__xludf.DUMMYFUNCTION("""COMPUTED_VALUE"""),"Márk Balázs")</f>
        <v>Márk Balázs</v>
      </c>
      <c r="C3360" s="1"/>
      <c r="D3360" s="1" t="str">
        <f ca="1">IFERROR(__xludf.DUMMYFUNCTION("""COMPUTED_VALUE"""),"Férfi")</f>
        <v>Férfi</v>
      </c>
      <c r="E3360" s="1"/>
      <c r="F3360" s="1">
        <f ca="1">IFERROR(__xludf.DUMMYFUNCTION("""COMPUTED_VALUE"""),1987)</f>
        <v>1987</v>
      </c>
      <c r="G3360" s="1">
        <f ca="1">IFERROR(__xludf.DUMMYFUNCTION("""COMPUTED_VALUE"""),617)</f>
        <v>617</v>
      </c>
      <c r="H3360" s="1" t="str">
        <f ca="1">IFERROR(__xludf.DUMMYFUNCTION("""COMPUTED_VALUE"""),"MTLSZ000617A06")</f>
        <v>MTLSZ000617A06</v>
      </c>
      <c r="I3360" s="2">
        <f ca="1">IFERROR(__xludf.DUMMYFUNCTION("""COMPUTED_VALUE"""),38989)</f>
        <v>38989</v>
      </c>
      <c r="J3360" s="2">
        <f ca="1">IFERROR(__xludf.DUMMYFUNCTION("""COMPUTED_VALUE"""),39353)</f>
        <v>39353</v>
      </c>
    </row>
    <row r="3361" spans="1:10" x14ac:dyDescent="0.25">
      <c r="A3361" s="1" t="str">
        <f ca="1">IFERROR(__xludf.DUMMYFUNCTION("""COMPUTED_VALUE"""),"Klébi DSE")</f>
        <v>Klébi DSE</v>
      </c>
      <c r="B3361" s="1" t="str">
        <f ca="1">IFERROR(__xludf.DUMMYFUNCTION("""COMPUTED_VALUE"""),"Psenyeczki-Nagy Richárd")</f>
        <v>Psenyeczki-Nagy Richárd</v>
      </c>
      <c r="C3361" s="1"/>
      <c r="D3361" s="1" t="str">
        <f ca="1">IFERROR(__xludf.DUMMYFUNCTION("""COMPUTED_VALUE"""),"Férfi")</f>
        <v>Férfi</v>
      </c>
      <c r="E3361" s="1"/>
      <c r="F3361" s="1">
        <f ca="1">IFERROR(__xludf.DUMMYFUNCTION("""COMPUTED_VALUE"""),1992)</f>
        <v>1992</v>
      </c>
      <c r="G3361" s="1">
        <f ca="1">IFERROR(__xludf.DUMMYFUNCTION("""COMPUTED_VALUE"""),1793)</f>
        <v>1793</v>
      </c>
      <c r="H3361" s="1" t="str">
        <f ca="1">IFERROR(__xludf.DUMMYFUNCTION("""COMPUTED_VALUE"""),"MTLSZ001793A06")</f>
        <v>MTLSZ001793A06</v>
      </c>
      <c r="I3361" s="2">
        <f ca="1">IFERROR(__xludf.DUMMYFUNCTION("""COMPUTED_VALUE"""),38989)</f>
        <v>38989</v>
      </c>
      <c r="J3361" s="2">
        <f ca="1">IFERROR(__xludf.DUMMYFUNCTION("""COMPUTED_VALUE"""),39353)</f>
        <v>39353</v>
      </c>
    </row>
    <row r="3362" spans="1:10" x14ac:dyDescent="0.25">
      <c r="A3362" s="1" t="str">
        <f ca="1">IFERROR(__xludf.DUMMYFUNCTION("""COMPUTED_VALUE"""),"Alba-Toll SE")</f>
        <v>Alba-Toll SE</v>
      </c>
      <c r="B3362" s="1" t="str">
        <f ca="1">IFERROR(__xludf.DUMMYFUNCTION("""COMPUTED_VALUE"""),"Koósz Milán")</f>
        <v>Koósz Milán</v>
      </c>
      <c r="C3362" s="1"/>
      <c r="D3362" s="1" t="str">
        <f ca="1">IFERROR(__xludf.DUMMYFUNCTION("""COMPUTED_VALUE"""),"Férfi")</f>
        <v>Férfi</v>
      </c>
      <c r="E3362" s="1"/>
      <c r="F3362" s="1">
        <f ca="1">IFERROR(__xludf.DUMMYFUNCTION("""COMPUTED_VALUE"""),1993)</f>
        <v>1993</v>
      </c>
      <c r="G3362" s="1">
        <f ca="1">IFERROR(__xludf.DUMMYFUNCTION("""COMPUTED_VALUE"""),1790)</f>
        <v>1790</v>
      </c>
      <c r="H3362" s="1" t="str">
        <f ca="1">IFERROR(__xludf.DUMMYFUNCTION("""COMPUTED_VALUE"""),"MTLSZ001790A06")</f>
        <v>MTLSZ001790A06</v>
      </c>
      <c r="I3362" s="2">
        <f ca="1">IFERROR(__xludf.DUMMYFUNCTION("""COMPUTED_VALUE"""),38988)</f>
        <v>38988</v>
      </c>
      <c r="J3362" s="2">
        <f ca="1">IFERROR(__xludf.DUMMYFUNCTION("""COMPUTED_VALUE"""),39352)</f>
        <v>39352</v>
      </c>
    </row>
    <row r="3363" spans="1:10" x14ac:dyDescent="0.25">
      <c r="A3363" s="1" t="str">
        <f ca="1">IFERROR(__xludf.DUMMYFUNCTION("""COMPUTED_VALUE"""),"Alba-Toll SE")</f>
        <v>Alba-Toll SE</v>
      </c>
      <c r="B3363" s="1" t="str">
        <f ca="1">IFERROR(__xludf.DUMMYFUNCTION("""COMPUTED_VALUE"""),"Lovász Krisztián")</f>
        <v>Lovász Krisztián</v>
      </c>
      <c r="C3363" s="1"/>
      <c r="D3363" s="1" t="str">
        <f ca="1">IFERROR(__xludf.DUMMYFUNCTION("""COMPUTED_VALUE"""),"Férfi")</f>
        <v>Férfi</v>
      </c>
      <c r="E3363" s="1"/>
      <c r="F3363" s="1">
        <f ca="1">IFERROR(__xludf.DUMMYFUNCTION("""COMPUTED_VALUE"""),1994)</f>
        <v>1994</v>
      </c>
      <c r="G3363" s="1">
        <f ca="1">IFERROR(__xludf.DUMMYFUNCTION("""COMPUTED_VALUE"""),1718)</f>
        <v>1718</v>
      </c>
      <c r="H3363" s="1" t="str">
        <f ca="1">IFERROR(__xludf.DUMMYFUNCTION("""COMPUTED_VALUE"""),"MTLSZ001718A06")</f>
        <v>MTLSZ001718A06</v>
      </c>
      <c r="I3363" s="2">
        <f ca="1">IFERROR(__xludf.DUMMYFUNCTION("""COMPUTED_VALUE"""),38988)</f>
        <v>38988</v>
      </c>
      <c r="J3363" s="2">
        <f ca="1">IFERROR(__xludf.DUMMYFUNCTION("""COMPUTED_VALUE"""),39352)</f>
        <v>39352</v>
      </c>
    </row>
    <row r="3364" spans="1:10" x14ac:dyDescent="0.25">
      <c r="A3364" s="1" t="str">
        <f ca="1">IFERROR(__xludf.DUMMYFUNCTION("""COMPUTED_VALUE"""),"Alba-Toll SE")</f>
        <v>Alba-Toll SE</v>
      </c>
      <c r="B3364" s="1" t="str">
        <f ca="1">IFERROR(__xludf.DUMMYFUNCTION("""COMPUTED_VALUE"""),"Móricz Rita")</f>
        <v>Móricz Rita</v>
      </c>
      <c r="C3364" s="1"/>
      <c r="D3364" s="1" t="str">
        <f ca="1">IFERROR(__xludf.DUMMYFUNCTION("""COMPUTED_VALUE"""),"Nő")</f>
        <v>Nő</v>
      </c>
      <c r="E3364" s="1"/>
      <c r="F3364" s="1">
        <f ca="1">IFERROR(__xludf.DUMMYFUNCTION("""COMPUTED_VALUE"""),1994)</f>
        <v>1994</v>
      </c>
      <c r="G3364" s="1">
        <f ca="1">IFERROR(__xludf.DUMMYFUNCTION("""COMPUTED_VALUE"""),1415)</f>
        <v>1415</v>
      </c>
      <c r="H3364" s="1" t="str">
        <f ca="1">IFERROR(__xludf.DUMMYFUNCTION("""COMPUTED_VALUE"""),"MTLSZ001415A06")</f>
        <v>MTLSZ001415A06</v>
      </c>
      <c r="I3364" s="2">
        <f ca="1">IFERROR(__xludf.DUMMYFUNCTION("""COMPUTED_VALUE"""),38988)</f>
        <v>38988</v>
      </c>
      <c r="J3364" s="2">
        <f ca="1">IFERROR(__xludf.DUMMYFUNCTION("""COMPUTED_VALUE"""),39352)</f>
        <v>39352</v>
      </c>
    </row>
    <row r="3365" spans="1:10" x14ac:dyDescent="0.25">
      <c r="A3365" s="1" t="str">
        <f ca="1">IFERROR(__xludf.DUMMYFUNCTION("""COMPUTED_VALUE"""),"Danubius KSE")</f>
        <v>Danubius KSE</v>
      </c>
      <c r="B3365" s="1" t="str">
        <f ca="1">IFERROR(__xludf.DUMMYFUNCTION("""COMPUTED_VALUE"""),"Nagy Ádám")</f>
        <v>Nagy Ádám</v>
      </c>
      <c r="C3365" s="1"/>
      <c r="D3365" s="1" t="str">
        <f ca="1">IFERROR(__xludf.DUMMYFUNCTION("""COMPUTED_VALUE"""),"Férfi")</f>
        <v>Férfi</v>
      </c>
      <c r="E3365" s="1"/>
      <c r="F3365" s="1">
        <f ca="1">IFERROR(__xludf.DUMMYFUNCTION("""COMPUTED_VALUE"""),1996)</f>
        <v>1996</v>
      </c>
      <c r="G3365" s="1">
        <f ca="1">IFERROR(__xludf.DUMMYFUNCTION("""COMPUTED_VALUE"""),1791)</f>
        <v>1791</v>
      </c>
      <c r="H3365" s="1" t="str">
        <f ca="1">IFERROR(__xludf.DUMMYFUNCTION("""COMPUTED_VALUE"""),"MTLSZ001791A06")</f>
        <v>MTLSZ001791A06</v>
      </c>
      <c r="I3365" s="2">
        <f ca="1">IFERROR(__xludf.DUMMYFUNCTION("""COMPUTED_VALUE"""),38988)</f>
        <v>38988</v>
      </c>
      <c r="J3365" s="2">
        <f ca="1">IFERROR(__xludf.DUMMYFUNCTION("""COMPUTED_VALUE"""),39352)</f>
        <v>39352</v>
      </c>
    </row>
    <row r="3366" spans="1:10" x14ac:dyDescent="0.25">
      <c r="A3366" s="1" t="str">
        <f ca="1">IFERROR(__xludf.DUMMYFUNCTION("""COMPUTED_VALUE"""),"Formás SE")</f>
        <v>Formás SE</v>
      </c>
      <c r="B3366" s="1" t="str">
        <f ca="1">IFERROR(__xludf.DUMMYFUNCTION("""COMPUTED_VALUE"""),"Mentes Tamás")</f>
        <v>Mentes Tamás</v>
      </c>
      <c r="C3366" s="1"/>
      <c r="D3366" s="1" t="str">
        <f ca="1">IFERROR(__xludf.DUMMYFUNCTION("""COMPUTED_VALUE"""),"Férfi")</f>
        <v>Férfi</v>
      </c>
      <c r="E3366" s="1"/>
      <c r="F3366" s="1">
        <f ca="1">IFERROR(__xludf.DUMMYFUNCTION("""COMPUTED_VALUE"""),1976)</f>
        <v>1976</v>
      </c>
      <c r="G3366" s="1">
        <f ca="1">IFERROR(__xludf.DUMMYFUNCTION("""COMPUTED_VALUE"""),1789)</f>
        <v>1789</v>
      </c>
      <c r="H3366" s="1" t="str">
        <f ca="1">IFERROR(__xludf.DUMMYFUNCTION("""COMPUTED_VALUE"""),"MTLSZ001789A06")</f>
        <v>MTLSZ001789A06</v>
      </c>
      <c r="I3366" s="2">
        <f ca="1">IFERROR(__xludf.DUMMYFUNCTION("""COMPUTED_VALUE"""),38987)</f>
        <v>38987</v>
      </c>
      <c r="J3366" s="2">
        <f ca="1">IFERROR(__xludf.DUMMYFUNCTION("""COMPUTED_VALUE"""),39351)</f>
        <v>39351</v>
      </c>
    </row>
    <row r="3367" spans="1:10" x14ac:dyDescent="0.25">
      <c r="A3367" s="1" t="str">
        <f ca="1">IFERROR(__xludf.DUMMYFUNCTION("""COMPUTED_VALUE"""),"Érdi VSE")</f>
        <v>Érdi VSE</v>
      </c>
      <c r="B3367" s="1" t="str">
        <f ca="1">IFERROR(__xludf.DUMMYFUNCTION("""COMPUTED_VALUE"""),"Detki Dominika")</f>
        <v>Detki Dominika</v>
      </c>
      <c r="C3367" s="1"/>
      <c r="D3367" s="1" t="str">
        <f ca="1">IFERROR(__xludf.DUMMYFUNCTION("""COMPUTED_VALUE"""),"Nő")</f>
        <v>Nő</v>
      </c>
      <c r="E3367" s="1"/>
      <c r="F3367" s="1">
        <f ca="1">IFERROR(__xludf.DUMMYFUNCTION("""COMPUTED_VALUE"""),1996)</f>
        <v>1996</v>
      </c>
      <c r="G3367" s="1">
        <f ca="1">IFERROR(__xludf.DUMMYFUNCTION("""COMPUTED_VALUE"""),1786)</f>
        <v>1786</v>
      </c>
      <c r="H3367" s="1" t="str">
        <f ca="1">IFERROR(__xludf.DUMMYFUNCTION("""COMPUTED_VALUE"""),"MTLSZ001786A06")</f>
        <v>MTLSZ001786A06</v>
      </c>
      <c r="I3367" s="2">
        <f ca="1">IFERROR(__xludf.DUMMYFUNCTION("""COMPUTED_VALUE"""),38986)</f>
        <v>38986</v>
      </c>
      <c r="J3367" s="2">
        <f ca="1">IFERROR(__xludf.DUMMYFUNCTION("""COMPUTED_VALUE"""),39350)</f>
        <v>39350</v>
      </c>
    </row>
    <row r="3368" spans="1:10" x14ac:dyDescent="0.25">
      <c r="A3368" s="1" t="str">
        <f ca="1">IFERROR(__xludf.DUMMYFUNCTION("""COMPUTED_VALUE"""),"Érdi VSE")</f>
        <v>Érdi VSE</v>
      </c>
      <c r="B3368" s="1" t="str">
        <f ca="1">IFERROR(__xludf.DUMMYFUNCTION("""COMPUTED_VALUE"""),"Detki Fanni")</f>
        <v>Detki Fanni</v>
      </c>
      <c r="C3368" s="1"/>
      <c r="D3368" s="1" t="str">
        <f ca="1">IFERROR(__xludf.DUMMYFUNCTION("""COMPUTED_VALUE"""),"Nő")</f>
        <v>Nő</v>
      </c>
      <c r="E3368" s="1"/>
      <c r="F3368" s="1">
        <f ca="1">IFERROR(__xludf.DUMMYFUNCTION("""COMPUTED_VALUE"""),1992)</f>
        <v>1992</v>
      </c>
      <c r="G3368" s="1">
        <f ca="1">IFERROR(__xludf.DUMMYFUNCTION("""COMPUTED_VALUE"""),1788)</f>
        <v>1788</v>
      </c>
      <c r="H3368" s="1" t="str">
        <f ca="1">IFERROR(__xludf.DUMMYFUNCTION("""COMPUTED_VALUE"""),"MTLSZ001788A06")</f>
        <v>MTLSZ001788A06</v>
      </c>
      <c r="I3368" s="2">
        <f ca="1">IFERROR(__xludf.DUMMYFUNCTION("""COMPUTED_VALUE"""),38986)</f>
        <v>38986</v>
      </c>
      <c r="J3368" s="2">
        <f ca="1">IFERROR(__xludf.DUMMYFUNCTION("""COMPUTED_VALUE"""),39350)</f>
        <v>39350</v>
      </c>
    </row>
    <row r="3369" spans="1:10" x14ac:dyDescent="0.25">
      <c r="A3369" s="1" t="str">
        <f ca="1">IFERROR(__xludf.DUMMYFUNCTION("""COMPUTED_VALUE"""),"Ságvári DSE")</f>
        <v>Ságvári DSE</v>
      </c>
      <c r="B3369" s="1" t="str">
        <f ca="1">IFERROR(__xludf.DUMMYFUNCTION("""COMPUTED_VALUE"""),"Lakatos Veronika")</f>
        <v>Lakatos Veronika</v>
      </c>
      <c r="C3369" s="1"/>
      <c r="D3369" s="1" t="str">
        <f ca="1">IFERROR(__xludf.DUMMYFUNCTION("""COMPUTED_VALUE"""),"Nő")</f>
        <v>Nő</v>
      </c>
      <c r="E3369" s="1"/>
      <c r="F3369" s="1">
        <f ca="1">IFERROR(__xludf.DUMMYFUNCTION("""COMPUTED_VALUE"""),1993)</f>
        <v>1993</v>
      </c>
      <c r="G3369" s="1">
        <f ca="1">IFERROR(__xludf.DUMMYFUNCTION("""COMPUTED_VALUE"""),1541)</f>
        <v>1541</v>
      </c>
      <c r="H3369" s="1" t="str">
        <f ca="1">IFERROR(__xludf.DUMMYFUNCTION("""COMPUTED_VALUE"""),"MTLSZ001541A06")</f>
        <v>MTLSZ001541A06</v>
      </c>
      <c r="I3369" s="2">
        <f ca="1">IFERROR(__xludf.DUMMYFUNCTION("""COMPUTED_VALUE"""),38986)</f>
        <v>38986</v>
      </c>
      <c r="J3369" s="2">
        <f ca="1">IFERROR(__xludf.DUMMYFUNCTION("""COMPUTED_VALUE"""),39350)</f>
        <v>39350</v>
      </c>
    </row>
    <row r="3370" spans="1:10" x14ac:dyDescent="0.25">
      <c r="A3370" s="1" t="str">
        <f ca="1">IFERROR(__xludf.DUMMYFUNCTION("""COMPUTED_VALUE"""),"Pedagógus Fáklya SE")</f>
        <v>Pedagógus Fáklya SE</v>
      </c>
      <c r="B3370" s="1" t="str">
        <f ca="1">IFERROR(__xludf.DUMMYFUNCTION("""COMPUTED_VALUE"""),"Szűcs Fruzsina")</f>
        <v>Szűcs Fruzsina</v>
      </c>
      <c r="C3370" s="1"/>
      <c r="D3370" s="1" t="str">
        <f ca="1">IFERROR(__xludf.DUMMYFUNCTION("""COMPUTED_VALUE"""),"Nő")</f>
        <v>Nő</v>
      </c>
      <c r="E3370" s="1"/>
      <c r="F3370" s="1">
        <f ca="1">IFERROR(__xludf.DUMMYFUNCTION("""COMPUTED_VALUE"""),1997)</f>
        <v>1997</v>
      </c>
      <c r="G3370" s="1">
        <f ca="1">IFERROR(__xludf.DUMMYFUNCTION("""COMPUTED_VALUE"""),1785)</f>
        <v>1785</v>
      </c>
      <c r="H3370" s="1" t="str">
        <f ca="1">IFERROR(__xludf.DUMMYFUNCTION("""COMPUTED_VALUE"""),"MTLSZ001785A06")</f>
        <v>MTLSZ001785A06</v>
      </c>
      <c r="I3370" s="2">
        <f ca="1">IFERROR(__xludf.DUMMYFUNCTION("""COMPUTED_VALUE"""),38985)</f>
        <v>38985</v>
      </c>
      <c r="J3370" s="2">
        <f ca="1">IFERROR(__xludf.DUMMYFUNCTION("""COMPUTED_VALUE"""),39349)</f>
        <v>39349</v>
      </c>
    </row>
    <row r="3371" spans="1:10" x14ac:dyDescent="0.25">
      <c r="A3371" s="1" t="str">
        <f ca="1">IFERROR(__xludf.DUMMYFUNCTION("""COMPUTED_VALUE"""),"Érdi VSE")</f>
        <v>Érdi VSE</v>
      </c>
      <c r="B3371" s="1" t="str">
        <f ca="1">IFERROR(__xludf.DUMMYFUNCTION("""COMPUTED_VALUE"""),"Balogh Cintia")</f>
        <v>Balogh Cintia</v>
      </c>
      <c r="C3371" s="1"/>
      <c r="D3371" s="1" t="str">
        <f ca="1">IFERROR(__xludf.DUMMYFUNCTION("""COMPUTED_VALUE"""),"Férfi")</f>
        <v>Férfi</v>
      </c>
      <c r="E3371" s="1"/>
      <c r="F3371" s="1">
        <f ca="1">IFERROR(__xludf.DUMMYFUNCTION("""COMPUTED_VALUE"""),1996)</f>
        <v>1996</v>
      </c>
      <c r="G3371" s="1">
        <f ca="1">IFERROR(__xludf.DUMMYFUNCTION("""COMPUTED_VALUE"""),1781)</f>
        <v>1781</v>
      </c>
      <c r="H3371" s="1" t="str">
        <f ca="1">IFERROR(__xludf.DUMMYFUNCTION("""COMPUTED_VALUE"""),"MTLSZ001781A06")</f>
        <v>MTLSZ001781A06</v>
      </c>
      <c r="I3371" s="2">
        <f ca="1">IFERROR(__xludf.DUMMYFUNCTION("""COMPUTED_VALUE"""),38979)</f>
        <v>38979</v>
      </c>
      <c r="J3371" s="2">
        <f ca="1">IFERROR(__xludf.DUMMYFUNCTION("""COMPUTED_VALUE"""),39343)</f>
        <v>39343</v>
      </c>
    </row>
    <row r="3372" spans="1:10" x14ac:dyDescent="0.25">
      <c r="A3372" s="1" t="str">
        <f ca="1">IFERROR(__xludf.DUMMYFUNCTION("""COMPUTED_VALUE"""),"Érdi VSE")</f>
        <v>Érdi VSE</v>
      </c>
      <c r="B3372" s="1" t="str">
        <f ca="1">IFERROR(__xludf.DUMMYFUNCTION("""COMPUTED_VALUE"""),"Szántó György")</f>
        <v>Szántó György</v>
      </c>
      <c r="C3372" s="1"/>
      <c r="D3372" s="1" t="str">
        <f ca="1">IFERROR(__xludf.DUMMYFUNCTION("""COMPUTED_VALUE"""),"Férfi")</f>
        <v>Férfi</v>
      </c>
      <c r="E3372" s="1"/>
      <c r="F3372" s="1">
        <f ca="1">IFERROR(__xludf.DUMMYFUNCTION("""COMPUTED_VALUE"""),1994)</f>
        <v>1994</v>
      </c>
      <c r="G3372" s="1">
        <f ca="1">IFERROR(__xludf.DUMMYFUNCTION("""COMPUTED_VALUE"""),1743)</f>
        <v>1743</v>
      </c>
      <c r="H3372" s="1" t="str">
        <f ca="1">IFERROR(__xludf.DUMMYFUNCTION("""COMPUTED_VALUE"""),"MTLSZ001743A06")</f>
        <v>MTLSZ001743A06</v>
      </c>
      <c r="I3372" s="2">
        <f ca="1">IFERROR(__xludf.DUMMYFUNCTION("""COMPUTED_VALUE"""),38979)</f>
        <v>38979</v>
      </c>
      <c r="J3372" s="2">
        <f ca="1">IFERROR(__xludf.DUMMYFUNCTION("""COMPUTED_VALUE"""),39343)</f>
        <v>39343</v>
      </c>
    </row>
    <row r="3373" spans="1:10" x14ac:dyDescent="0.25">
      <c r="A3373" s="1" t="str">
        <f ca="1">IFERROR(__xludf.DUMMYFUNCTION("""COMPUTED_VALUE"""),"Segesi DE")</f>
        <v>Segesi DE</v>
      </c>
      <c r="B3373" s="1" t="str">
        <f ca="1">IFERROR(__xludf.DUMMYFUNCTION("""COMPUTED_VALUE"""),"Büki Kitti")</f>
        <v>Büki Kitti</v>
      </c>
      <c r="C3373" s="1"/>
      <c r="D3373" s="1" t="str">
        <f ca="1">IFERROR(__xludf.DUMMYFUNCTION("""COMPUTED_VALUE"""),"Nő")</f>
        <v>Nő</v>
      </c>
      <c r="E3373" s="1"/>
      <c r="F3373" s="1">
        <f ca="1">IFERROR(__xludf.DUMMYFUNCTION("""COMPUTED_VALUE"""),1993)</f>
        <v>1993</v>
      </c>
      <c r="G3373" s="1">
        <f ca="1">IFERROR(__xludf.DUMMYFUNCTION("""COMPUTED_VALUE"""),1196)</f>
        <v>1196</v>
      </c>
      <c r="H3373" s="1" t="str">
        <f ca="1">IFERROR(__xludf.DUMMYFUNCTION("""COMPUTED_VALUE"""),"MTLSZ001196A06")</f>
        <v>MTLSZ001196A06</v>
      </c>
      <c r="I3373" s="2">
        <f ca="1">IFERROR(__xludf.DUMMYFUNCTION("""COMPUTED_VALUE"""),38978)</f>
        <v>38978</v>
      </c>
      <c r="J3373" s="2">
        <f ca="1">IFERROR(__xludf.DUMMYFUNCTION("""COMPUTED_VALUE"""),39342)</f>
        <v>39342</v>
      </c>
    </row>
    <row r="3374" spans="1:10" x14ac:dyDescent="0.25">
      <c r="A3374" s="1" t="str">
        <f ca="1">IFERROR(__xludf.DUMMYFUNCTION("""COMPUTED_VALUE"""),"Segesi DE")</f>
        <v>Segesi DE</v>
      </c>
      <c r="B3374" s="1" t="str">
        <f ca="1">IFERROR(__xludf.DUMMYFUNCTION("""COMPUTED_VALUE"""),"Filó Bence")</f>
        <v>Filó Bence</v>
      </c>
      <c r="C3374" s="1"/>
      <c r="D3374" s="1" t="str">
        <f ca="1">IFERROR(__xludf.DUMMYFUNCTION("""COMPUTED_VALUE"""),"Férfi")</f>
        <v>Férfi</v>
      </c>
      <c r="E3374" s="1"/>
      <c r="F3374" s="1">
        <f ca="1">IFERROR(__xludf.DUMMYFUNCTION("""COMPUTED_VALUE"""),1992)</f>
        <v>1992</v>
      </c>
      <c r="G3374" s="1">
        <f ca="1">IFERROR(__xludf.DUMMYFUNCTION("""COMPUTED_VALUE"""),251)</f>
        <v>251</v>
      </c>
      <c r="H3374" s="1" t="str">
        <f ca="1">IFERROR(__xludf.DUMMYFUNCTION("""COMPUTED_VALUE"""),"MTLSZ000251A06")</f>
        <v>MTLSZ000251A06</v>
      </c>
      <c r="I3374" s="2">
        <f ca="1">IFERROR(__xludf.DUMMYFUNCTION("""COMPUTED_VALUE"""),38978)</f>
        <v>38978</v>
      </c>
      <c r="J3374" s="2">
        <f ca="1">IFERROR(__xludf.DUMMYFUNCTION("""COMPUTED_VALUE"""),39342)</f>
        <v>39342</v>
      </c>
    </row>
    <row r="3375" spans="1:10" x14ac:dyDescent="0.25">
      <c r="A3375" s="1" t="str">
        <f ca="1">IFERROR(__xludf.DUMMYFUNCTION("""COMPUTED_VALUE"""),"Segesi DE")</f>
        <v>Segesi DE</v>
      </c>
      <c r="B3375" s="1" t="str">
        <f ca="1">IFERROR(__xludf.DUMMYFUNCTION("""COMPUTED_VALUE"""),"Orsós Norbert")</f>
        <v>Orsós Norbert</v>
      </c>
      <c r="C3375" s="1"/>
      <c r="D3375" s="1" t="str">
        <f ca="1">IFERROR(__xludf.DUMMYFUNCTION("""COMPUTED_VALUE"""),"Férfi")</f>
        <v>Férfi</v>
      </c>
      <c r="E3375" s="1"/>
      <c r="F3375" s="1">
        <f ca="1">IFERROR(__xludf.DUMMYFUNCTION("""COMPUTED_VALUE"""),1992)</f>
        <v>1992</v>
      </c>
      <c r="G3375" s="1">
        <f ca="1">IFERROR(__xludf.DUMMYFUNCTION("""COMPUTED_VALUE"""),1195)</f>
        <v>1195</v>
      </c>
      <c r="H3375" s="1" t="str">
        <f ca="1">IFERROR(__xludf.DUMMYFUNCTION("""COMPUTED_VALUE"""),"MTLSZ001195A06")</f>
        <v>MTLSZ001195A06</v>
      </c>
      <c r="I3375" s="2">
        <f ca="1">IFERROR(__xludf.DUMMYFUNCTION("""COMPUTED_VALUE"""),38978)</f>
        <v>38978</v>
      </c>
      <c r="J3375" s="2">
        <f ca="1">IFERROR(__xludf.DUMMYFUNCTION("""COMPUTED_VALUE"""),39342)</f>
        <v>39342</v>
      </c>
    </row>
    <row r="3376" spans="1:10" x14ac:dyDescent="0.25">
      <c r="A3376" s="1" t="str">
        <f ca="1">IFERROR(__xludf.DUMMYFUNCTION("""COMPUTED_VALUE"""),"Segesi DE")</f>
        <v>Segesi DE</v>
      </c>
      <c r="B3376" s="1" t="str">
        <f ca="1">IFERROR(__xludf.DUMMYFUNCTION("""COMPUTED_VALUE"""),"Vörös Klementina")</f>
        <v>Vörös Klementina</v>
      </c>
      <c r="C3376" s="1"/>
      <c r="D3376" s="1" t="str">
        <f ca="1">IFERROR(__xludf.DUMMYFUNCTION("""COMPUTED_VALUE"""),"Nő")</f>
        <v>Nő</v>
      </c>
      <c r="E3376" s="1"/>
      <c r="F3376" s="1">
        <f ca="1">IFERROR(__xludf.DUMMYFUNCTION("""COMPUTED_VALUE"""),1993)</f>
        <v>1993</v>
      </c>
      <c r="G3376" s="1">
        <f ca="1">IFERROR(__xludf.DUMMYFUNCTION("""COMPUTED_VALUE"""),1198)</f>
        <v>1198</v>
      </c>
      <c r="H3376" s="1" t="str">
        <f ca="1">IFERROR(__xludf.DUMMYFUNCTION("""COMPUTED_VALUE"""),"MTLSZ001198A06")</f>
        <v>MTLSZ001198A06</v>
      </c>
      <c r="I3376" s="2">
        <f ca="1">IFERROR(__xludf.DUMMYFUNCTION("""COMPUTED_VALUE"""),38978)</f>
        <v>38978</v>
      </c>
      <c r="J3376" s="2">
        <f ca="1">IFERROR(__xludf.DUMMYFUNCTION("""COMPUTED_VALUE"""),39342)</f>
        <v>39342</v>
      </c>
    </row>
    <row r="3377" spans="1:10" x14ac:dyDescent="0.25">
      <c r="A3377" s="1" t="str">
        <f ca="1">IFERROR(__xludf.DUMMYFUNCTION("""COMPUTED_VALUE"""),"Klébi DSE")</f>
        <v>Klébi DSE</v>
      </c>
      <c r="B3377" s="1" t="str">
        <f ca="1">IFERROR(__xludf.DUMMYFUNCTION("""COMPUTED_VALUE"""),"Urr Bendegúz")</f>
        <v>Urr Bendegúz</v>
      </c>
      <c r="C3377" s="1"/>
      <c r="D3377" s="1" t="str">
        <f ca="1">IFERROR(__xludf.DUMMYFUNCTION("""COMPUTED_VALUE"""),"Férfi")</f>
        <v>Férfi</v>
      </c>
      <c r="E3377" s="1"/>
      <c r="F3377" s="1">
        <f ca="1">IFERROR(__xludf.DUMMYFUNCTION("""COMPUTED_VALUE"""),1993)</f>
        <v>1993</v>
      </c>
      <c r="G3377" s="1">
        <f ca="1">IFERROR(__xludf.DUMMYFUNCTION("""COMPUTED_VALUE"""),1722)</f>
        <v>1722</v>
      </c>
      <c r="H3377" s="1" t="str">
        <f ca="1">IFERROR(__xludf.DUMMYFUNCTION("""COMPUTED_VALUE"""),"MTLSZ001722A06")</f>
        <v>MTLSZ001722A06</v>
      </c>
      <c r="I3377" s="2">
        <f ca="1">IFERROR(__xludf.DUMMYFUNCTION("""COMPUTED_VALUE"""),38973)</f>
        <v>38973</v>
      </c>
      <c r="J3377" s="2">
        <f ca="1">IFERROR(__xludf.DUMMYFUNCTION("""COMPUTED_VALUE"""),39337)</f>
        <v>39337</v>
      </c>
    </row>
    <row r="3378" spans="1:10" x14ac:dyDescent="0.25">
      <c r="A3378" s="1" t="str">
        <f ca="1">IFERROR(__xludf.DUMMYFUNCTION("""COMPUTED_VALUE"""),"Klébi DSE")</f>
        <v>Klébi DSE</v>
      </c>
      <c r="B3378" s="1" t="str">
        <f ca="1">IFERROR(__xludf.DUMMYFUNCTION("""COMPUTED_VALUE"""),"Varga Dániel")</f>
        <v>Varga Dániel</v>
      </c>
      <c r="C3378" s="1"/>
      <c r="D3378" s="1" t="str">
        <f ca="1">IFERROR(__xludf.DUMMYFUNCTION("""COMPUTED_VALUE"""),"Férfi")</f>
        <v>Férfi</v>
      </c>
      <c r="E3378" s="1"/>
      <c r="F3378" s="1">
        <f ca="1">IFERROR(__xludf.DUMMYFUNCTION("""COMPUTED_VALUE"""),1987)</f>
        <v>1987</v>
      </c>
      <c r="G3378" s="1">
        <f ca="1">IFERROR(__xludf.DUMMYFUNCTION("""COMPUTED_VALUE"""),1549)</f>
        <v>1549</v>
      </c>
      <c r="H3378" s="1" t="str">
        <f ca="1">IFERROR(__xludf.DUMMYFUNCTION("""COMPUTED_VALUE"""),"MTLSZ001549A06")</f>
        <v>MTLSZ001549A06</v>
      </c>
      <c r="I3378" s="2">
        <f ca="1">IFERROR(__xludf.DUMMYFUNCTION("""COMPUTED_VALUE"""),38973)</f>
        <v>38973</v>
      </c>
      <c r="J3378" s="2">
        <f ca="1">IFERROR(__xludf.DUMMYFUNCTION("""COMPUTED_VALUE"""),39337)</f>
        <v>39337</v>
      </c>
    </row>
    <row r="3379" spans="1:10" x14ac:dyDescent="0.25">
      <c r="A3379" s="1" t="str">
        <f ca="1">IFERROR(__xludf.DUMMYFUNCTION("""COMPUTED_VALUE"""),"Ságvári DSE")</f>
        <v>Ságvári DSE</v>
      </c>
      <c r="B3379" s="1" t="str">
        <f ca="1">IFERROR(__xludf.DUMMYFUNCTION("""COMPUTED_VALUE"""),"Szűcs Roland")</f>
        <v>Szűcs Roland</v>
      </c>
      <c r="C3379" s="1"/>
      <c r="D3379" s="1" t="str">
        <f ca="1">IFERROR(__xludf.DUMMYFUNCTION("""COMPUTED_VALUE"""),"Férfi")</f>
        <v>Férfi</v>
      </c>
      <c r="E3379" s="1"/>
      <c r="F3379" s="1">
        <f ca="1">IFERROR(__xludf.DUMMYFUNCTION("""COMPUTED_VALUE"""),1994)</f>
        <v>1994</v>
      </c>
      <c r="G3379" s="1">
        <f ca="1">IFERROR(__xludf.DUMMYFUNCTION("""COMPUTED_VALUE"""),1492)</f>
        <v>1492</v>
      </c>
      <c r="H3379" s="1" t="str">
        <f ca="1">IFERROR(__xludf.DUMMYFUNCTION("""COMPUTED_VALUE"""),"MTLSZ001492A06")</f>
        <v>MTLSZ001492A06</v>
      </c>
      <c r="I3379" s="2">
        <f ca="1">IFERROR(__xludf.DUMMYFUNCTION("""COMPUTED_VALUE"""),38973)</f>
        <v>38973</v>
      </c>
      <c r="J3379" s="2">
        <f ca="1">IFERROR(__xludf.DUMMYFUNCTION("""COMPUTED_VALUE"""),39337)</f>
        <v>39337</v>
      </c>
    </row>
    <row r="3380" spans="1:10" x14ac:dyDescent="0.25">
      <c r="A3380" s="1" t="str">
        <f ca="1">IFERROR(__xludf.DUMMYFUNCTION("""COMPUTED_VALUE"""),"Ságvári DSE")</f>
        <v>Ságvári DSE</v>
      </c>
      <c r="B3380" s="1" t="str">
        <f ca="1">IFERROR(__xludf.DUMMYFUNCTION("""COMPUTED_VALUE"""),"Tárkány Zsófia")</f>
        <v>Tárkány Zsófia</v>
      </c>
      <c r="C3380" s="1"/>
      <c r="D3380" s="1" t="str">
        <f ca="1">IFERROR(__xludf.DUMMYFUNCTION("""COMPUTED_VALUE"""),"Nő")</f>
        <v>Nő</v>
      </c>
      <c r="E3380" s="1"/>
      <c r="F3380" s="1">
        <f ca="1">IFERROR(__xludf.DUMMYFUNCTION("""COMPUTED_VALUE"""),1994)</f>
        <v>1994</v>
      </c>
      <c r="G3380" s="1">
        <f ca="1">IFERROR(__xludf.DUMMYFUNCTION("""COMPUTED_VALUE"""),1493)</f>
        <v>1493</v>
      </c>
      <c r="H3380" s="1" t="str">
        <f ca="1">IFERROR(__xludf.DUMMYFUNCTION("""COMPUTED_VALUE"""),"MTLSZ001493A06")</f>
        <v>MTLSZ001493A06</v>
      </c>
      <c r="I3380" s="2">
        <f ca="1">IFERROR(__xludf.DUMMYFUNCTION("""COMPUTED_VALUE"""),38973)</f>
        <v>38973</v>
      </c>
      <c r="J3380" s="2">
        <f ca="1">IFERROR(__xludf.DUMMYFUNCTION("""COMPUTED_VALUE"""),39337)</f>
        <v>39337</v>
      </c>
    </row>
    <row r="3381" spans="1:10" x14ac:dyDescent="0.25">
      <c r="A3381" s="1" t="str">
        <f ca="1">IFERROR(__xludf.DUMMYFUNCTION("""COMPUTED_VALUE"""),"Reac SE")</f>
        <v>Reac SE</v>
      </c>
      <c r="B3381" s="1" t="str">
        <f ca="1">IFERROR(__xludf.DUMMYFUNCTION("""COMPUTED_VALUE"""),"Margitai Dániel")</f>
        <v>Margitai Dániel</v>
      </c>
      <c r="C3381" s="1"/>
      <c r="D3381" s="1" t="str">
        <f ca="1">IFERROR(__xludf.DUMMYFUNCTION("""COMPUTED_VALUE"""),"Férfi")</f>
        <v>Férfi</v>
      </c>
      <c r="E3381" s="1"/>
      <c r="F3381" s="1">
        <f ca="1">IFERROR(__xludf.DUMMYFUNCTION("""COMPUTED_VALUE"""),1992)</f>
        <v>1992</v>
      </c>
      <c r="G3381" s="1">
        <f ca="1">IFERROR(__xludf.DUMMYFUNCTION("""COMPUTED_VALUE"""),613)</f>
        <v>613</v>
      </c>
      <c r="H3381" s="1" t="str">
        <f ca="1">IFERROR(__xludf.DUMMYFUNCTION("""COMPUTED_VALUE"""),"MTLSZ000613A06")</f>
        <v>MTLSZ000613A06</v>
      </c>
      <c r="I3381" s="2">
        <f ca="1">IFERROR(__xludf.DUMMYFUNCTION("""COMPUTED_VALUE"""),38968)</f>
        <v>38968</v>
      </c>
      <c r="J3381" s="2">
        <f ca="1">IFERROR(__xludf.DUMMYFUNCTION("""COMPUTED_VALUE"""),39332)</f>
        <v>39332</v>
      </c>
    </row>
    <row r="3382" spans="1:10" x14ac:dyDescent="0.25">
      <c r="A3382" s="1" t="str">
        <f ca="1">IFERROR(__xludf.DUMMYFUNCTION("""COMPUTED_VALUE"""),"Reac SE")</f>
        <v>Reac SE</v>
      </c>
      <c r="B3382" s="1" t="str">
        <f ca="1">IFERROR(__xludf.DUMMYFUNCTION("""COMPUTED_VALUE"""),"Margitai Viktor")</f>
        <v>Margitai Viktor</v>
      </c>
      <c r="C3382" s="1"/>
      <c r="D3382" s="1" t="str">
        <f ca="1">IFERROR(__xludf.DUMMYFUNCTION("""COMPUTED_VALUE"""),"Férfi")</f>
        <v>Férfi</v>
      </c>
      <c r="E3382" s="1"/>
      <c r="F3382" s="1">
        <f ca="1">IFERROR(__xludf.DUMMYFUNCTION("""COMPUTED_VALUE"""),1989)</f>
        <v>1989</v>
      </c>
      <c r="G3382" s="1">
        <f ca="1">IFERROR(__xludf.DUMMYFUNCTION("""COMPUTED_VALUE"""),614)</f>
        <v>614</v>
      </c>
      <c r="H3382" s="1" t="str">
        <f ca="1">IFERROR(__xludf.DUMMYFUNCTION("""COMPUTED_VALUE"""),"MTLSZ000614A06")</f>
        <v>MTLSZ000614A06</v>
      </c>
      <c r="I3382" s="2">
        <f ca="1">IFERROR(__xludf.DUMMYFUNCTION("""COMPUTED_VALUE"""),38968)</f>
        <v>38968</v>
      </c>
      <c r="J3382" s="2">
        <f ca="1">IFERROR(__xludf.DUMMYFUNCTION("""COMPUTED_VALUE"""),39332)</f>
        <v>39332</v>
      </c>
    </row>
    <row r="3383" spans="1:10" x14ac:dyDescent="0.25">
      <c r="A3383" s="1" t="str">
        <f ca="1">IFERROR(__xludf.DUMMYFUNCTION("""COMPUTED_VALUE"""),"DSC-SI")</f>
        <v>DSC-SI</v>
      </c>
      <c r="B3383" s="1" t="str">
        <f ca="1">IFERROR(__xludf.DUMMYFUNCTION("""COMPUTED_VALUE"""),"Kovács Zsófia")</f>
        <v>Kovács Zsófia</v>
      </c>
      <c r="C3383" s="1"/>
      <c r="D3383" s="1" t="str">
        <f ca="1">IFERROR(__xludf.DUMMYFUNCTION("""COMPUTED_VALUE"""),"Nő")</f>
        <v>Nő</v>
      </c>
      <c r="E3383" s="1"/>
      <c r="F3383" s="1">
        <f ca="1">IFERROR(__xludf.DUMMYFUNCTION("""COMPUTED_VALUE"""),1984)</f>
        <v>1984</v>
      </c>
      <c r="G3383" s="1">
        <f ca="1">IFERROR(__xludf.DUMMYFUNCTION("""COMPUTED_VALUE"""),537)</f>
        <v>537</v>
      </c>
      <c r="H3383" s="1" t="str">
        <f ca="1">IFERROR(__xludf.DUMMYFUNCTION("""COMPUTED_VALUE"""),"MTLSZ000537A06")</f>
        <v>MTLSZ000537A06</v>
      </c>
      <c r="I3383" s="2">
        <f ca="1">IFERROR(__xludf.DUMMYFUNCTION("""COMPUTED_VALUE"""),38967)</f>
        <v>38967</v>
      </c>
      <c r="J3383" s="2">
        <f ca="1">IFERROR(__xludf.DUMMYFUNCTION("""COMPUTED_VALUE"""),39331)</f>
        <v>39331</v>
      </c>
    </row>
    <row r="3384" spans="1:10" x14ac:dyDescent="0.25">
      <c r="A3384" s="1" t="str">
        <f ca="1">IFERROR(__xludf.DUMMYFUNCTION("""COMPUTED_VALUE"""),"DSC-SI")</f>
        <v>DSC-SI</v>
      </c>
      <c r="B3384" s="1" t="str">
        <f ca="1">IFERROR(__xludf.DUMMYFUNCTION("""COMPUTED_VALUE"""),"Nagy Fruzsina")</f>
        <v>Nagy Fruzsina</v>
      </c>
      <c r="C3384" s="1"/>
      <c r="D3384" s="1" t="str">
        <f ca="1">IFERROR(__xludf.DUMMYFUNCTION("""COMPUTED_VALUE"""),"Nő")</f>
        <v>Nő</v>
      </c>
      <c r="E3384" s="1"/>
      <c r="F3384" s="1">
        <f ca="1">IFERROR(__xludf.DUMMYFUNCTION("""COMPUTED_VALUE"""),1994)</f>
        <v>1994</v>
      </c>
      <c r="G3384" s="1">
        <f ca="1">IFERROR(__xludf.DUMMYFUNCTION("""COMPUTED_VALUE"""),1679)</f>
        <v>1679</v>
      </c>
      <c r="H3384" s="1" t="str">
        <f ca="1">IFERROR(__xludf.DUMMYFUNCTION("""COMPUTED_VALUE"""),"MTLSZ001679A06")</f>
        <v>MTLSZ001679A06</v>
      </c>
      <c r="I3384" s="2">
        <f ca="1">IFERROR(__xludf.DUMMYFUNCTION("""COMPUTED_VALUE"""),38967)</f>
        <v>38967</v>
      </c>
      <c r="J3384" s="2">
        <f ca="1">IFERROR(__xludf.DUMMYFUNCTION("""COMPUTED_VALUE"""),39331)</f>
        <v>39331</v>
      </c>
    </row>
    <row r="3385" spans="1:10" x14ac:dyDescent="0.25">
      <c r="A3385" s="1" t="str">
        <f ca="1">IFERROR(__xludf.DUMMYFUNCTION("""COMPUTED_VALUE"""),"DSC-SI")</f>
        <v>DSC-SI</v>
      </c>
      <c r="B3385" s="1" t="str">
        <f ca="1">IFERROR(__xludf.DUMMYFUNCTION("""COMPUTED_VALUE"""),"Tóth András")</f>
        <v>Tóth András</v>
      </c>
      <c r="C3385" s="1"/>
      <c r="D3385" s="1" t="str">
        <f ca="1">IFERROR(__xludf.DUMMYFUNCTION("""COMPUTED_VALUE"""),"Férfi")</f>
        <v>Férfi</v>
      </c>
      <c r="E3385" s="1"/>
      <c r="F3385" s="1">
        <f ca="1">IFERROR(__xludf.DUMMYFUNCTION("""COMPUTED_VALUE"""),1994)</f>
        <v>1994</v>
      </c>
      <c r="G3385" s="1">
        <f ca="1">IFERROR(__xludf.DUMMYFUNCTION("""COMPUTED_VALUE"""),1677)</f>
        <v>1677</v>
      </c>
      <c r="H3385" s="1" t="str">
        <f ca="1">IFERROR(__xludf.DUMMYFUNCTION("""COMPUTED_VALUE"""),"MTLSZ001677A06")</f>
        <v>MTLSZ001677A06</v>
      </c>
      <c r="I3385" s="2">
        <f ca="1">IFERROR(__xludf.DUMMYFUNCTION("""COMPUTED_VALUE"""),38967)</f>
        <v>38967</v>
      </c>
      <c r="J3385" s="2">
        <f ca="1">IFERROR(__xludf.DUMMYFUNCTION("""COMPUTED_VALUE"""),39331)</f>
        <v>39331</v>
      </c>
    </row>
    <row r="3386" spans="1:10" x14ac:dyDescent="0.25">
      <c r="A3386" s="1" t="str">
        <f ca="1">IFERROR(__xludf.DUMMYFUNCTION("""COMPUTED_VALUE"""),"DSC-SI")</f>
        <v>DSC-SI</v>
      </c>
      <c r="B3386" s="1" t="str">
        <f ca="1">IFERROR(__xludf.DUMMYFUNCTION("""COMPUTED_VALUE"""),"Tóth Viktor")</f>
        <v>Tóth Viktor</v>
      </c>
      <c r="C3386" s="1"/>
      <c r="D3386" s="1" t="str">
        <f ca="1">IFERROR(__xludf.DUMMYFUNCTION("""COMPUTED_VALUE"""),"Férfi")</f>
        <v>Férfi</v>
      </c>
      <c r="E3386" s="1"/>
      <c r="F3386" s="1">
        <f ca="1">IFERROR(__xludf.DUMMYFUNCTION("""COMPUTED_VALUE"""),1988)</f>
        <v>1988</v>
      </c>
      <c r="G3386" s="1">
        <f ca="1">IFERROR(__xludf.DUMMYFUNCTION("""COMPUTED_VALUE"""),1049)</f>
        <v>1049</v>
      </c>
      <c r="H3386" s="1" t="str">
        <f ca="1">IFERROR(__xludf.DUMMYFUNCTION("""COMPUTED_VALUE"""),"MTLSZ001049A06")</f>
        <v>MTLSZ001049A06</v>
      </c>
      <c r="I3386" s="2">
        <f ca="1">IFERROR(__xludf.DUMMYFUNCTION("""COMPUTED_VALUE"""),38967)</f>
        <v>38967</v>
      </c>
      <c r="J3386" s="2">
        <f ca="1">IFERROR(__xludf.DUMMYFUNCTION("""COMPUTED_VALUE"""),39331)</f>
        <v>39331</v>
      </c>
    </row>
    <row r="3387" spans="1:10" x14ac:dyDescent="0.25">
      <c r="A3387" s="1" t="str">
        <f ca="1">IFERROR(__xludf.DUMMYFUNCTION("""COMPUTED_VALUE"""),"HZSE")</f>
        <v>HZSE</v>
      </c>
      <c r="B3387" s="1" t="str">
        <f ca="1">IFERROR(__xludf.DUMMYFUNCTION("""COMPUTED_VALUE"""),"Thomas Brandsch")</f>
        <v>Thomas Brandsch</v>
      </c>
      <c r="C3387" s="1"/>
      <c r="D3387" s="1" t="str">
        <f ca="1">IFERROR(__xludf.DUMMYFUNCTION("""COMPUTED_VALUE"""),"Férfi")</f>
        <v>Férfi</v>
      </c>
      <c r="E3387" s="1"/>
      <c r="F3387" s="1">
        <f ca="1">IFERROR(__xludf.DUMMYFUNCTION("""COMPUTED_VALUE"""),1982)</f>
        <v>1982</v>
      </c>
      <c r="G3387" s="1">
        <f ca="1">IFERROR(__xludf.DUMMYFUNCTION("""COMPUTED_VALUE"""),1573)</f>
        <v>1573</v>
      </c>
      <c r="H3387" s="1" t="str">
        <f ca="1">IFERROR(__xludf.DUMMYFUNCTION("""COMPUTED_VALUE"""),"MTLSZ001573A06")</f>
        <v>MTLSZ001573A06</v>
      </c>
      <c r="I3387" s="2">
        <f ca="1">IFERROR(__xludf.DUMMYFUNCTION("""COMPUTED_VALUE"""),38967)</f>
        <v>38967</v>
      </c>
      <c r="J3387" s="2">
        <f ca="1">IFERROR(__xludf.DUMMYFUNCTION("""COMPUTED_VALUE"""),39331)</f>
        <v>39331</v>
      </c>
    </row>
    <row r="3388" spans="1:10" x14ac:dyDescent="0.25">
      <c r="A3388" s="1" t="str">
        <f ca="1">IFERROR(__xludf.DUMMYFUNCTION("""COMPUTED_VALUE"""),"Universitas SC")</f>
        <v>Universitas SC</v>
      </c>
      <c r="B3388" s="1" t="str">
        <f ca="1">IFERROR(__xludf.DUMMYFUNCTION("""COMPUTED_VALUE"""),"Varga Róbert")</f>
        <v>Varga Róbert</v>
      </c>
      <c r="C3388" s="1"/>
      <c r="D3388" s="1" t="str">
        <f ca="1">IFERROR(__xludf.DUMMYFUNCTION("""COMPUTED_VALUE"""),"Férfi")</f>
        <v>Férfi</v>
      </c>
      <c r="E3388" s="1"/>
      <c r="F3388" s="1">
        <f ca="1">IFERROR(__xludf.DUMMYFUNCTION("""COMPUTED_VALUE"""),1974)</f>
        <v>1974</v>
      </c>
      <c r="G3388" s="1">
        <f ca="1">IFERROR(__xludf.DUMMYFUNCTION("""COMPUTED_VALUE"""),1096)</f>
        <v>1096</v>
      </c>
      <c r="H3388" s="1" t="str">
        <f ca="1">IFERROR(__xludf.DUMMYFUNCTION("""COMPUTED_VALUE"""),"MTLSZ001096A06")</f>
        <v>MTLSZ001096A06</v>
      </c>
      <c r="I3388" s="2">
        <f ca="1">IFERROR(__xludf.DUMMYFUNCTION("""COMPUTED_VALUE"""),38967)</f>
        <v>38967</v>
      </c>
      <c r="J3388" s="2">
        <f ca="1">IFERROR(__xludf.DUMMYFUNCTION("""COMPUTED_VALUE"""),39331)</f>
        <v>39331</v>
      </c>
    </row>
    <row r="3389" spans="1:10" x14ac:dyDescent="0.25">
      <c r="A3389" s="1" t="str">
        <f ca="1">IFERROR(__xludf.DUMMYFUNCTION("""COMPUTED_VALUE"""),"DSC-SI")</f>
        <v>DSC-SI</v>
      </c>
      <c r="B3389" s="1" t="str">
        <f ca="1">IFERROR(__xludf.DUMMYFUNCTION("""COMPUTED_VALUE"""),"Gombos György")</f>
        <v>Gombos György</v>
      </c>
      <c r="C3389" s="1"/>
      <c r="D3389" s="1" t="str">
        <f ca="1">IFERROR(__xludf.DUMMYFUNCTION("""COMPUTED_VALUE"""),"Férfi")</f>
        <v>Férfi</v>
      </c>
      <c r="E3389" s="1"/>
      <c r="F3389" s="1">
        <f ca="1">IFERROR(__xludf.DUMMYFUNCTION("""COMPUTED_VALUE"""),1994)</f>
        <v>1994</v>
      </c>
      <c r="G3389" s="1">
        <f ca="1">IFERROR(__xludf.DUMMYFUNCTION("""COMPUTED_VALUE"""),1518)</f>
        <v>1518</v>
      </c>
      <c r="H3389" s="1" t="str">
        <f ca="1">IFERROR(__xludf.DUMMYFUNCTION("""COMPUTED_VALUE"""),"MTLSZ001518A06")</f>
        <v>MTLSZ001518A06</v>
      </c>
      <c r="I3389" s="2">
        <f ca="1">IFERROR(__xludf.DUMMYFUNCTION("""COMPUTED_VALUE"""),38966)</f>
        <v>38966</v>
      </c>
      <c r="J3389" s="2">
        <f ca="1">IFERROR(__xludf.DUMMYFUNCTION("""COMPUTED_VALUE"""),39330)</f>
        <v>39330</v>
      </c>
    </row>
    <row r="3390" spans="1:10" x14ac:dyDescent="0.25">
      <c r="A3390" s="1" t="str">
        <f ca="1">IFERROR(__xludf.DUMMYFUNCTION("""COMPUTED_VALUE"""),"DSC-SI")</f>
        <v>DSC-SI</v>
      </c>
      <c r="B3390" s="1" t="str">
        <f ca="1">IFERROR(__xludf.DUMMYFUNCTION("""COMPUTED_VALUE"""),"Gulyás Róbert")</f>
        <v>Gulyás Róbert</v>
      </c>
      <c r="C3390" s="1"/>
      <c r="D3390" s="1" t="str">
        <f ca="1">IFERROR(__xludf.DUMMYFUNCTION("""COMPUTED_VALUE"""),"Férfi")</f>
        <v>Férfi</v>
      </c>
      <c r="E3390" s="1"/>
      <c r="F3390" s="1">
        <f ca="1">IFERROR(__xludf.DUMMYFUNCTION("""COMPUTED_VALUE"""),1992)</f>
        <v>1992</v>
      </c>
      <c r="G3390" s="1">
        <f ca="1">IFERROR(__xludf.DUMMYFUNCTION("""COMPUTED_VALUE"""),1738)</f>
        <v>1738</v>
      </c>
      <c r="H3390" s="1" t="str">
        <f ca="1">IFERROR(__xludf.DUMMYFUNCTION("""COMPUTED_VALUE"""),"MTLSZ001738A06")</f>
        <v>MTLSZ001738A06</v>
      </c>
      <c r="I3390" s="2">
        <f ca="1">IFERROR(__xludf.DUMMYFUNCTION("""COMPUTED_VALUE"""),38966)</f>
        <v>38966</v>
      </c>
      <c r="J3390" s="2">
        <f ca="1">IFERROR(__xludf.DUMMYFUNCTION("""COMPUTED_VALUE"""),39330)</f>
        <v>39330</v>
      </c>
    </row>
    <row r="3391" spans="1:10" x14ac:dyDescent="0.25">
      <c r="A3391" s="1" t="str">
        <f ca="1">IFERROR(__xludf.DUMMYFUNCTION("""COMPUTED_VALUE"""),"DSC-SI")</f>
        <v>DSC-SI</v>
      </c>
      <c r="B3391" s="1" t="str">
        <f ca="1">IFERROR(__xludf.DUMMYFUNCTION("""COMPUTED_VALUE"""),"Karácsony Kinga")</f>
        <v>Karácsony Kinga</v>
      </c>
      <c r="C3391" s="1"/>
      <c r="D3391" s="1" t="str">
        <f ca="1">IFERROR(__xludf.DUMMYFUNCTION("""COMPUTED_VALUE"""),"Nő")</f>
        <v>Nő</v>
      </c>
      <c r="E3391" s="1"/>
      <c r="F3391" s="1">
        <f ca="1">IFERROR(__xludf.DUMMYFUNCTION("""COMPUTED_VALUE"""),1969)</f>
        <v>1969</v>
      </c>
      <c r="G3391" s="1">
        <f ca="1">IFERROR(__xludf.DUMMYFUNCTION("""COMPUTED_VALUE"""),434)</f>
        <v>434</v>
      </c>
      <c r="H3391" s="1" t="str">
        <f ca="1">IFERROR(__xludf.DUMMYFUNCTION("""COMPUTED_VALUE"""),"MTLSZ000434A06")</f>
        <v>MTLSZ000434A06</v>
      </c>
      <c r="I3391" s="2">
        <f ca="1">IFERROR(__xludf.DUMMYFUNCTION("""COMPUTED_VALUE"""),38966)</f>
        <v>38966</v>
      </c>
      <c r="J3391" s="2">
        <f ca="1">IFERROR(__xludf.DUMMYFUNCTION("""COMPUTED_VALUE"""),39330)</f>
        <v>39330</v>
      </c>
    </row>
    <row r="3392" spans="1:10" x14ac:dyDescent="0.25">
      <c r="A3392" s="1" t="str">
        <f ca="1">IFERROR(__xludf.DUMMYFUNCTION("""COMPUTED_VALUE"""),"Gyöngyösoroszi SK")</f>
        <v>Gyöngyösoroszi SK</v>
      </c>
      <c r="B3392" s="1" t="str">
        <f ca="1">IFERROR(__xludf.DUMMYFUNCTION("""COMPUTED_VALUE"""),"Tóth Zsolt")</f>
        <v>Tóth Zsolt</v>
      </c>
      <c r="C3392" s="1"/>
      <c r="D3392" s="1" t="str">
        <f ca="1">IFERROR(__xludf.DUMMYFUNCTION("""COMPUTED_VALUE"""),"Férfi")</f>
        <v>Férfi</v>
      </c>
      <c r="E3392" s="1"/>
      <c r="F3392" s="1">
        <f ca="1">IFERROR(__xludf.DUMMYFUNCTION("""COMPUTED_VALUE"""),1985)</f>
        <v>1985</v>
      </c>
      <c r="G3392" s="1">
        <f ca="1">IFERROR(__xludf.DUMMYFUNCTION("""COMPUTED_VALUE"""),1055)</f>
        <v>1055</v>
      </c>
      <c r="H3392" s="1" t="str">
        <f ca="1">IFERROR(__xludf.DUMMYFUNCTION("""COMPUTED_VALUE"""),"MTLSZ001055A06")</f>
        <v>MTLSZ001055A06</v>
      </c>
      <c r="I3392" s="2">
        <f ca="1">IFERROR(__xludf.DUMMYFUNCTION("""COMPUTED_VALUE"""),38961)</f>
        <v>38961</v>
      </c>
      <c r="J3392" s="2">
        <f ca="1">IFERROR(__xludf.DUMMYFUNCTION("""COMPUTED_VALUE"""),39325)</f>
        <v>39325</v>
      </c>
    </row>
    <row r="3393" spans="1:10" x14ac:dyDescent="0.25">
      <c r="A3393" s="1" t="str">
        <f ca="1">IFERROR(__xludf.DUMMYFUNCTION("""COMPUTED_VALUE"""),"Bodajki TSE")</f>
        <v>Bodajki TSE</v>
      </c>
      <c r="B3393" s="1" t="str">
        <f ca="1">IFERROR(__xludf.DUMMYFUNCTION("""COMPUTED_VALUE"""),"Kiss Adrienn")</f>
        <v>Kiss Adrienn</v>
      </c>
      <c r="C3393" s="1"/>
      <c r="D3393" s="1" t="str">
        <f ca="1">IFERROR(__xludf.DUMMYFUNCTION("""COMPUTED_VALUE"""),"Nő")</f>
        <v>Nő</v>
      </c>
      <c r="E3393" s="1"/>
      <c r="F3393" s="1">
        <f ca="1">IFERROR(__xludf.DUMMYFUNCTION("""COMPUTED_VALUE"""),1992)</f>
        <v>1992</v>
      </c>
      <c r="G3393" s="1">
        <f ca="1">IFERROR(__xludf.DUMMYFUNCTION("""COMPUTED_VALUE"""),482)</f>
        <v>482</v>
      </c>
      <c r="H3393" s="1" t="str">
        <f ca="1">IFERROR(__xludf.DUMMYFUNCTION("""COMPUTED_VALUE"""),"MTLSZ000482A06")</f>
        <v>MTLSZ000482A06</v>
      </c>
      <c r="I3393" s="2">
        <f ca="1">IFERROR(__xludf.DUMMYFUNCTION("""COMPUTED_VALUE"""),38954)</f>
        <v>38954</v>
      </c>
      <c r="J3393" s="2">
        <f ca="1">IFERROR(__xludf.DUMMYFUNCTION("""COMPUTED_VALUE"""),39318)</f>
        <v>39318</v>
      </c>
    </row>
    <row r="3394" spans="1:10" x14ac:dyDescent="0.25">
      <c r="A3394" s="1" t="str">
        <f ca="1">IFERROR(__xludf.DUMMYFUNCTION("""COMPUTED_VALUE"""),"Bodajki TSE")</f>
        <v>Bodajki TSE</v>
      </c>
      <c r="B3394" s="1" t="str">
        <f ca="1">IFERROR(__xludf.DUMMYFUNCTION("""COMPUTED_VALUE"""),"Krár Márta")</f>
        <v>Krár Márta</v>
      </c>
      <c r="C3394" s="1"/>
      <c r="D3394" s="1" t="str">
        <f ca="1">IFERROR(__xludf.DUMMYFUNCTION("""COMPUTED_VALUE"""),"Nő")</f>
        <v>Nő</v>
      </c>
      <c r="E3394" s="1"/>
      <c r="F3394" s="1">
        <f ca="1">IFERROR(__xludf.DUMMYFUNCTION("""COMPUTED_VALUE"""),1993)</f>
        <v>1993</v>
      </c>
      <c r="G3394" s="1">
        <f ca="1">IFERROR(__xludf.DUMMYFUNCTION("""COMPUTED_VALUE"""),1383)</f>
        <v>1383</v>
      </c>
      <c r="H3394" s="1" t="str">
        <f ca="1">IFERROR(__xludf.DUMMYFUNCTION("""COMPUTED_VALUE"""),"MTLSZ001383A06")</f>
        <v>MTLSZ001383A06</v>
      </c>
      <c r="I3394" s="2">
        <f ca="1">IFERROR(__xludf.DUMMYFUNCTION("""COMPUTED_VALUE"""),38954)</f>
        <v>38954</v>
      </c>
      <c r="J3394" s="2">
        <f ca="1">IFERROR(__xludf.DUMMYFUNCTION("""COMPUTED_VALUE"""),39318)</f>
        <v>39318</v>
      </c>
    </row>
    <row r="3395" spans="1:10" x14ac:dyDescent="0.25">
      <c r="A3395" s="1" t="str">
        <f ca="1">IFERROR(__xludf.DUMMYFUNCTION("""COMPUTED_VALUE"""),"Bodajki TSE")</f>
        <v>Bodajki TSE</v>
      </c>
      <c r="B3395" s="1" t="str">
        <f ca="1">IFERROR(__xludf.DUMMYFUNCTION("""COMPUTED_VALUE"""),"Piller János")</f>
        <v>Piller János</v>
      </c>
      <c r="C3395" s="1"/>
      <c r="D3395" s="1" t="str">
        <f ca="1">IFERROR(__xludf.DUMMYFUNCTION("""COMPUTED_VALUE"""),"Férfi")</f>
        <v>Férfi</v>
      </c>
      <c r="E3395" s="1"/>
      <c r="F3395" s="1">
        <f ca="1">IFERROR(__xludf.DUMMYFUNCTION("""COMPUTED_VALUE"""),1992)</f>
        <v>1992</v>
      </c>
      <c r="G3395" s="1">
        <f ca="1">IFERROR(__xludf.DUMMYFUNCTION("""COMPUTED_VALUE"""),1523)</f>
        <v>1523</v>
      </c>
      <c r="H3395" s="1" t="str">
        <f ca="1">IFERROR(__xludf.DUMMYFUNCTION("""COMPUTED_VALUE"""),"MTLSZ001523A06")</f>
        <v>MTLSZ001523A06</v>
      </c>
      <c r="I3395" s="2">
        <f ca="1">IFERROR(__xludf.DUMMYFUNCTION("""COMPUTED_VALUE"""),38954)</f>
        <v>38954</v>
      </c>
      <c r="J3395" s="2">
        <f ca="1">IFERROR(__xludf.DUMMYFUNCTION("""COMPUTED_VALUE"""),39318)</f>
        <v>39318</v>
      </c>
    </row>
    <row r="3396" spans="1:10" x14ac:dyDescent="0.25">
      <c r="A3396" s="1" t="str">
        <f ca="1">IFERROR(__xludf.DUMMYFUNCTION("""COMPUTED_VALUE"""),"Gyöngyösoroszi SK")</f>
        <v>Gyöngyösoroszi SK</v>
      </c>
      <c r="B3396" s="1" t="str">
        <f ca="1">IFERROR(__xludf.DUMMYFUNCTION("""COMPUTED_VALUE"""),"Dudás Ádám")</f>
        <v>Dudás Ádám</v>
      </c>
      <c r="C3396" s="1"/>
      <c r="D3396" s="1" t="str">
        <f ca="1">IFERROR(__xludf.DUMMYFUNCTION("""COMPUTED_VALUE"""),"Férfi")</f>
        <v>Férfi</v>
      </c>
      <c r="E3396" s="1"/>
      <c r="F3396" s="1">
        <f ca="1">IFERROR(__xludf.DUMMYFUNCTION("""COMPUTED_VALUE"""),1989)</f>
        <v>1989</v>
      </c>
      <c r="G3396" s="1">
        <f ca="1">IFERROR(__xludf.DUMMYFUNCTION("""COMPUTED_VALUE"""),201)</f>
        <v>201</v>
      </c>
      <c r="H3396" s="1" t="str">
        <f ca="1">IFERROR(__xludf.DUMMYFUNCTION("""COMPUTED_VALUE"""),"MTLSZ000201A06")</f>
        <v>MTLSZ000201A06</v>
      </c>
      <c r="I3396" s="2">
        <f ca="1">IFERROR(__xludf.DUMMYFUNCTION("""COMPUTED_VALUE"""),38953)</f>
        <v>38953</v>
      </c>
      <c r="J3396" s="2">
        <f ca="1">IFERROR(__xludf.DUMMYFUNCTION("""COMPUTED_VALUE"""),39317)</f>
        <v>39317</v>
      </c>
    </row>
    <row r="3397" spans="1:10" x14ac:dyDescent="0.25">
      <c r="A3397" s="1" t="str">
        <f ca="1">IFERROR(__xludf.DUMMYFUNCTION("""COMPUTED_VALUE"""),"Gyöngyösoroszi SK")</f>
        <v>Gyöngyösoroszi SK</v>
      </c>
      <c r="B3397" s="1" t="str">
        <f ca="1">IFERROR(__xludf.DUMMYFUNCTION("""COMPUTED_VALUE"""),"Imre Veronika")</f>
        <v>Imre Veronika</v>
      </c>
      <c r="C3397" s="1"/>
      <c r="D3397" s="1" t="str">
        <f ca="1">IFERROR(__xludf.DUMMYFUNCTION("""COMPUTED_VALUE"""),"Nő")</f>
        <v>Nő</v>
      </c>
      <c r="E3397" s="1"/>
      <c r="F3397" s="1">
        <f ca="1">IFERROR(__xludf.DUMMYFUNCTION("""COMPUTED_VALUE"""),1991)</f>
        <v>1991</v>
      </c>
      <c r="G3397" s="1">
        <f ca="1">IFERROR(__xludf.DUMMYFUNCTION("""COMPUTED_VALUE"""),396)</f>
        <v>396</v>
      </c>
      <c r="H3397" s="1" t="str">
        <f ca="1">IFERROR(__xludf.DUMMYFUNCTION("""COMPUTED_VALUE"""),"MTLSZ000396A06")</f>
        <v>MTLSZ000396A06</v>
      </c>
      <c r="I3397" s="2">
        <f ca="1">IFERROR(__xludf.DUMMYFUNCTION("""COMPUTED_VALUE"""),38953)</f>
        <v>38953</v>
      </c>
      <c r="J3397" s="2">
        <f ca="1">IFERROR(__xludf.DUMMYFUNCTION("""COMPUTED_VALUE"""),39317)</f>
        <v>39317</v>
      </c>
    </row>
    <row r="3398" spans="1:10" x14ac:dyDescent="0.25">
      <c r="A3398" s="1" t="str">
        <f ca="1">IFERROR(__xludf.DUMMYFUNCTION("""COMPUTED_VALUE"""),"Gyöngyösoroszi SK")</f>
        <v>Gyöngyösoroszi SK</v>
      </c>
      <c r="B3398" s="1" t="str">
        <f ca="1">IFERROR(__xludf.DUMMYFUNCTION("""COMPUTED_VALUE"""),"Kökény Ágnes")</f>
        <v>Kökény Ágnes</v>
      </c>
      <c r="C3398" s="1"/>
      <c r="D3398" s="1" t="str">
        <f ca="1">IFERROR(__xludf.DUMMYFUNCTION("""COMPUTED_VALUE"""),"Nő")</f>
        <v>Nő</v>
      </c>
      <c r="E3398" s="1"/>
      <c r="F3398" s="1">
        <f ca="1">IFERROR(__xludf.DUMMYFUNCTION("""COMPUTED_VALUE"""),1992)</f>
        <v>1992</v>
      </c>
      <c r="G3398" s="1">
        <f ca="1">IFERROR(__xludf.DUMMYFUNCTION("""COMPUTED_VALUE"""),557)</f>
        <v>557</v>
      </c>
      <c r="H3398" s="1" t="str">
        <f ca="1">IFERROR(__xludf.DUMMYFUNCTION("""COMPUTED_VALUE"""),"MTLSZ000557A06")</f>
        <v>MTLSZ000557A06</v>
      </c>
      <c r="I3398" s="2">
        <f ca="1">IFERROR(__xludf.DUMMYFUNCTION("""COMPUTED_VALUE"""),38953)</f>
        <v>38953</v>
      </c>
      <c r="J3398" s="2">
        <f ca="1">IFERROR(__xludf.DUMMYFUNCTION("""COMPUTED_VALUE"""),39317)</f>
        <v>39317</v>
      </c>
    </row>
    <row r="3399" spans="1:10" x14ac:dyDescent="0.25">
      <c r="A3399" s="1" t="str">
        <f ca="1">IFERROR(__xludf.DUMMYFUNCTION("""COMPUTED_VALUE"""),"Gyöngyösoroszi SK")</f>
        <v>Gyöngyösoroszi SK</v>
      </c>
      <c r="B3399" s="1" t="str">
        <f ca="1">IFERROR(__xludf.DUMMYFUNCTION("""COMPUTED_VALUE"""),"Lakatos Renátó")</f>
        <v>Lakatos Renátó</v>
      </c>
      <c r="C3399" s="1"/>
      <c r="D3399" s="1" t="str">
        <f ca="1">IFERROR(__xludf.DUMMYFUNCTION("""COMPUTED_VALUE"""),"Férfi")</f>
        <v>Férfi</v>
      </c>
      <c r="E3399" s="1"/>
      <c r="F3399" s="1">
        <f ca="1">IFERROR(__xludf.DUMMYFUNCTION("""COMPUTED_VALUE"""),1991)</f>
        <v>1991</v>
      </c>
      <c r="G3399" s="1">
        <f ca="1">IFERROR(__xludf.DUMMYFUNCTION("""COMPUTED_VALUE"""),567)</f>
        <v>567</v>
      </c>
      <c r="H3399" s="1" t="str">
        <f ca="1">IFERROR(__xludf.DUMMYFUNCTION("""COMPUTED_VALUE"""),"MTLSZ000567A06")</f>
        <v>MTLSZ000567A06</v>
      </c>
      <c r="I3399" s="2">
        <f ca="1">IFERROR(__xludf.DUMMYFUNCTION("""COMPUTED_VALUE"""),38953)</f>
        <v>38953</v>
      </c>
      <c r="J3399" s="2">
        <f ca="1">IFERROR(__xludf.DUMMYFUNCTION("""COMPUTED_VALUE"""),39317)</f>
        <v>39317</v>
      </c>
    </row>
    <row r="3400" spans="1:10" x14ac:dyDescent="0.25">
      <c r="A3400" s="1" t="str">
        <f ca="1">IFERROR(__xludf.DUMMYFUNCTION("""COMPUTED_VALUE"""),"NYVSC")</f>
        <v>NYVSC</v>
      </c>
      <c r="B3400" s="1" t="str">
        <f ca="1">IFERROR(__xludf.DUMMYFUNCTION("""COMPUTED_VALUE"""),"Halász Viktor")</f>
        <v>Halász Viktor</v>
      </c>
      <c r="C3400" s="1"/>
      <c r="D3400" s="1" t="str">
        <f ca="1">IFERROR(__xludf.DUMMYFUNCTION("""COMPUTED_VALUE"""),"Férfi")</f>
        <v>Férfi</v>
      </c>
      <c r="E3400" s="1"/>
      <c r="F3400" s="1">
        <f ca="1">IFERROR(__xludf.DUMMYFUNCTION("""COMPUTED_VALUE"""),1987)</f>
        <v>1987</v>
      </c>
      <c r="G3400" s="1">
        <f ca="1">IFERROR(__xludf.DUMMYFUNCTION("""COMPUTED_VALUE"""),1768)</f>
        <v>1768</v>
      </c>
      <c r="H3400" s="1" t="str">
        <f ca="1">IFERROR(__xludf.DUMMYFUNCTION("""COMPUTED_VALUE"""),"MTLSZ001768A06")</f>
        <v>MTLSZ001768A06</v>
      </c>
      <c r="I3400" s="2">
        <f ca="1">IFERROR(__xludf.DUMMYFUNCTION("""COMPUTED_VALUE"""),38866)</f>
        <v>38866</v>
      </c>
      <c r="J3400" s="2">
        <f ca="1">IFERROR(__xludf.DUMMYFUNCTION("""COMPUTED_VALUE"""),39230)</f>
        <v>39230</v>
      </c>
    </row>
    <row r="3401" spans="1:10" x14ac:dyDescent="0.25">
      <c r="A3401" s="1" t="str">
        <f ca="1">IFERROR(__xludf.DUMMYFUNCTION("""COMPUTED_VALUE"""),"NYVSC")</f>
        <v>NYVSC</v>
      </c>
      <c r="B3401" s="1" t="str">
        <f ca="1">IFERROR(__xludf.DUMMYFUNCTION("""COMPUTED_VALUE"""),"Sára Jenő István")</f>
        <v>Sára Jenő István</v>
      </c>
      <c r="C3401" s="1"/>
      <c r="D3401" s="1" t="str">
        <f ca="1">IFERROR(__xludf.DUMMYFUNCTION("""COMPUTED_VALUE"""),"Férfi")</f>
        <v>Férfi</v>
      </c>
      <c r="E3401" s="1"/>
      <c r="F3401" s="1">
        <f ca="1">IFERROR(__xludf.DUMMYFUNCTION("""COMPUTED_VALUE"""),1983)</f>
        <v>1983</v>
      </c>
      <c r="G3401" s="1">
        <f ca="1">IFERROR(__xludf.DUMMYFUNCTION("""COMPUTED_VALUE"""),1766)</f>
        <v>1766</v>
      </c>
      <c r="H3401" s="1" t="str">
        <f ca="1">IFERROR(__xludf.DUMMYFUNCTION("""COMPUTED_VALUE"""),"MTLSZ001766A06")</f>
        <v>MTLSZ001766A06</v>
      </c>
      <c r="I3401" s="2">
        <f ca="1">IFERROR(__xludf.DUMMYFUNCTION("""COMPUTED_VALUE"""),38866)</f>
        <v>38866</v>
      </c>
      <c r="J3401" s="2">
        <f ca="1">IFERROR(__xludf.DUMMYFUNCTION("""COMPUTED_VALUE"""),39230)</f>
        <v>39230</v>
      </c>
    </row>
    <row r="3402" spans="1:10" x14ac:dyDescent="0.25">
      <c r="A3402" s="1" t="str">
        <f ca="1">IFERROR(__xludf.DUMMYFUNCTION("""COMPUTED_VALUE"""),"Danubius KSE")</f>
        <v>Danubius KSE</v>
      </c>
      <c r="B3402" s="1" t="str">
        <f ca="1">IFERROR(__xludf.DUMMYFUNCTION("""COMPUTED_VALUE"""),"Csilléry Viktor")</f>
        <v>Csilléry Viktor</v>
      </c>
      <c r="C3402" s="1"/>
      <c r="D3402" s="1" t="str">
        <f ca="1">IFERROR(__xludf.DUMMYFUNCTION("""COMPUTED_VALUE"""),"Férfi")</f>
        <v>Férfi</v>
      </c>
      <c r="E3402" s="1"/>
      <c r="F3402" s="1">
        <f ca="1">IFERROR(__xludf.DUMMYFUNCTION("""COMPUTED_VALUE"""),1985)</f>
        <v>1985</v>
      </c>
      <c r="G3402" s="1">
        <f ca="1">IFERROR(__xludf.DUMMYFUNCTION("""COMPUTED_VALUE"""),1676)</f>
        <v>1676</v>
      </c>
      <c r="H3402" s="1" t="str">
        <f ca="1">IFERROR(__xludf.DUMMYFUNCTION("""COMPUTED_VALUE"""),"MTLSZ001676A06")</f>
        <v>MTLSZ001676A06</v>
      </c>
      <c r="I3402" s="2">
        <f ca="1">IFERROR(__xludf.DUMMYFUNCTION("""COMPUTED_VALUE"""),38833)</f>
        <v>38833</v>
      </c>
      <c r="J3402" s="2">
        <f ca="1">IFERROR(__xludf.DUMMYFUNCTION("""COMPUTED_VALUE"""),39197)</f>
        <v>39197</v>
      </c>
    </row>
    <row r="3403" spans="1:10" x14ac:dyDescent="0.25">
      <c r="A3403" s="1" t="str">
        <f ca="1">IFERROR(__xludf.DUMMYFUNCTION("""COMPUTED_VALUE"""),"ZKSE")</f>
        <v>ZKSE</v>
      </c>
      <c r="B3403" s="1" t="str">
        <f ca="1">IFERROR(__xludf.DUMMYFUNCTION("""COMPUTED_VALUE"""),"Csomor Elizabet")</f>
        <v>Csomor Elizabet</v>
      </c>
      <c r="C3403" s="1"/>
      <c r="D3403" s="1" t="str">
        <f ca="1">IFERROR(__xludf.DUMMYFUNCTION("""COMPUTED_VALUE"""),"Nő")</f>
        <v>Nő</v>
      </c>
      <c r="E3403" s="1"/>
      <c r="F3403" s="1">
        <f ca="1">IFERROR(__xludf.DUMMYFUNCTION("""COMPUTED_VALUE"""),1994)</f>
        <v>1994</v>
      </c>
      <c r="G3403" s="1">
        <f ca="1">IFERROR(__xludf.DUMMYFUNCTION("""COMPUTED_VALUE"""),1631)</f>
        <v>1631</v>
      </c>
      <c r="H3403" s="1" t="str">
        <f ca="1">IFERROR(__xludf.DUMMYFUNCTION("""COMPUTED_VALUE"""),"MTLSZ001631A06")</f>
        <v>MTLSZ001631A06</v>
      </c>
      <c r="I3403" s="2">
        <f ca="1">IFERROR(__xludf.DUMMYFUNCTION("""COMPUTED_VALUE"""),38821)</f>
        <v>38821</v>
      </c>
      <c r="J3403" s="2">
        <f ca="1">IFERROR(__xludf.DUMMYFUNCTION("""COMPUTED_VALUE"""),39185)</f>
        <v>39185</v>
      </c>
    </row>
    <row r="3404" spans="1:10" x14ac:dyDescent="0.25">
      <c r="A3404" s="1" t="str">
        <f ca="1">IFERROR(__xludf.DUMMYFUNCTION("""COMPUTED_VALUE"""),"Gyöngyösoroszi SK")</f>
        <v>Gyöngyösoroszi SK</v>
      </c>
      <c r="B3404" s="1" t="str">
        <f ca="1">IFERROR(__xludf.DUMMYFUNCTION("""COMPUTED_VALUE"""),"Torda Dóra")</f>
        <v>Torda Dóra</v>
      </c>
      <c r="C3404" s="1"/>
      <c r="D3404" s="1" t="str">
        <f ca="1">IFERROR(__xludf.DUMMYFUNCTION("""COMPUTED_VALUE"""),"Nő")</f>
        <v>Nő</v>
      </c>
      <c r="E3404" s="1"/>
      <c r="F3404" s="1">
        <f ca="1">IFERROR(__xludf.DUMMYFUNCTION("""COMPUTED_VALUE"""),1996)</f>
        <v>1996</v>
      </c>
      <c r="G3404" s="1">
        <f ca="1">IFERROR(__xludf.DUMMYFUNCTION("""COMPUTED_VALUE"""),1537)</f>
        <v>1537</v>
      </c>
      <c r="H3404" s="1" t="str">
        <f ca="1">IFERROR(__xludf.DUMMYFUNCTION("""COMPUTED_VALUE"""),"MTLSZ001537A06")</f>
        <v>MTLSZ001537A06</v>
      </c>
      <c r="I3404" s="2">
        <f ca="1">IFERROR(__xludf.DUMMYFUNCTION("""COMPUTED_VALUE"""),38810)</f>
        <v>38810</v>
      </c>
      <c r="J3404" s="2">
        <f ca="1">IFERROR(__xludf.DUMMYFUNCTION("""COMPUTED_VALUE"""),39174)</f>
        <v>39174</v>
      </c>
    </row>
    <row r="3405" spans="1:10" x14ac:dyDescent="0.25">
      <c r="A3405" s="1" t="str">
        <f ca="1">IFERROR(__xludf.DUMMYFUNCTION("""COMPUTED_VALUE"""),"MAFC")</f>
        <v>MAFC</v>
      </c>
      <c r="B3405" s="1" t="str">
        <f ca="1">IFERROR(__xludf.DUMMYFUNCTION("""COMPUTED_VALUE"""),"Várkonyi Balázs")</f>
        <v>Várkonyi Balázs</v>
      </c>
      <c r="C3405" s="1"/>
      <c r="D3405" s="1" t="str">
        <f ca="1">IFERROR(__xludf.DUMMYFUNCTION("""COMPUTED_VALUE"""),"Férfi")</f>
        <v>Férfi</v>
      </c>
      <c r="E3405" s="1"/>
      <c r="F3405" s="1">
        <f ca="1">IFERROR(__xludf.DUMMYFUNCTION("""COMPUTED_VALUE"""),1984)</f>
        <v>1984</v>
      </c>
      <c r="G3405" s="1">
        <f ca="1">IFERROR(__xludf.DUMMYFUNCTION("""COMPUTED_VALUE"""),1468)</f>
        <v>1468</v>
      </c>
      <c r="H3405" s="1" t="str">
        <f ca="1">IFERROR(__xludf.DUMMYFUNCTION("""COMPUTED_VALUE"""),"MTLSZ001468A06")</f>
        <v>MTLSZ001468A06</v>
      </c>
      <c r="I3405" s="2">
        <f ca="1">IFERROR(__xludf.DUMMYFUNCTION("""COMPUTED_VALUE"""),38800)</f>
        <v>38800</v>
      </c>
      <c r="J3405" s="2">
        <f ca="1">IFERROR(__xludf.DUMMYFUNCTION("""COMPUTED_VALUE"""),39164)</f>
        <v>39164</v>
      </c>
    </row>
    <row r="3406" spans="1:10" x14ac:dyDescent="0.25">
      <c r="A3406" s="1" t="str">
        <f ca="1">IFERROR(__xludf.DUMMYFUNCTION("""COMPUTED_VALUE"""),"Pedagógus Fáklya SE")</f>
        <v>Pedagógus Fáklya SE</v>
      </c>
      <c r="B3406" s="1" t="str">
        <f ca="1">IFERROR(__xludf.DUMMYFUNCTION("""COMPUTED_VALUE"""),"Erdei László")</f>
        <v>Erdei László</v>
      </c>
      <c r="C3406" s="1"/>
      <c r="D3406" s="1" t="str">
        <f ca="1">IFERROR(__xludf.DUMMYFUNCTION("""COMPUTED_VALUE"""),"Férfi")</f>
        <v>Férfi</v>
      </c>
      <c r="E3406" s="1"/>
      <c r="F3406" s="1">
        <f ca="1">IFERROR(__xludf.DUMMYFUNCTION("""COMPUTED_VALUE"""),1980)</f>
        <v>1980</v>
      </c>
      <c r="G3406" s="1">
        <f ca="1">IFERROR(__xludf.DUMMYFUNCTION("""COMPUTED_VALUE"""),1425)</f>
        <v>1425</v>
      </c>
      <c r="H3406" s="1" t="str">
        <f ca="1">IFERROR(__xludf.DUMMYFUNCTION("""COMPUTED_VALUE"""),"MTLSZ001425A06")</f>
        <v>MTLSZ001425A06</v>
      </c>
      <c r="I3406" s="2">
        <f ca="1">IFERROR(__xludf.DUMMYFUNCTION("""COMPUTED_VALUE"""),38793)</f>
        <v>38793</v>
      </c>
      <c r="J3406" s="2">
        <f ca="1">IFERROR(__xludf.DUMMYFUNCTION("""COMPUTED_VALUE"""),39157)</f>
        <v>39157</v>
      </c>
    </row>
    <row r="3407" spans="1:10" x14ac:dyDescent="0.25">
      <c r="A3407" s="1" t="str">
        <f ca="1">IFERROR(__xludf.DUMMYFUNCTION("""COMPUTED_VALUE"""),"Pedagógus Fáklya SE")</f>
        <v>Pedagógus Fáklya SE</v>
      </c>
      <c r="B3407" s="1" t="str">
        <f ca="1">IFERROR(__xludf.DUMMYFUNCTION("""COMPUTED_VALUE"""),"Jeges Sándor")</f>
        <v>Jeges Sándor</v>
      </c>
      <c r="C3407" s="1"/>
      <c r="D3407" s="1" t="str">
        <f ca="1">IFERROR(__xludf.DUMMYFUNCTION("""COMPUTED_VALUE"""),"Férfi")</f>
        <v>Férfi</v>
      </c>
      <c r="E3407" s="1"/>
      <c r="F3407" s="1">
        <f ca="1">IFERROR(__xludf.DUMMYFUNCTION("""COMPUTED_VALUE"""),1954)</f>
        <v>1954</v>
      </c>
      <c r="G3407" s="1">
        <f ca="1">IFERROR(__xludf.DUMMYFUNCTION("""COMPUTED_VALUE"""),410)</f>
        <v>410</v>
      </c>
      <c r="H3407" s="1" t="str">
        <f ca="1">IFERROR(__xludf.DUMMYFUNCTION("""COMPUTED_VALUE"""),"MTLSZ000410A06")</f>
        <v>MTLSZ000410A06</v>
      </c>
      <c r="I3407" s="2">
        <f ca="1">IFERROR(__xludf.DUMMYFUNCTION("""COMPUTED_VALUE"""),38793)</f>
        <v>38793</v>
      </c>
      <c r="J3407" s="2">
        <f ca="1">IFERROR(__xludf.DUMMYFUNCTION("""COMPUTED_VALUE"""),39157)</f>
        <v>39157</v>
      </c>
    </row>
    <row r="3408" spans="1:10" x14ac:dyDescent="0.25">
      <c r="A3408" s="1" t="str">
        <f ca="1">IFERROR(__xludf.DUMMYFUNCTION("""COMPUTED_VALUE"""),"ZKSE")</f>
        <v>ZKSE</v>
      </c>
      <c r="B3408" s="1" t="str">
        <f ca="1">IFERROR(__xludf.DUMMYFUNCTION("""COMPUTED_VALUE"""),"Szojka Angéla")</f>
        <v>Szojka Angéla</v>
      </c>
      <c r="C3408" s="1"/>
      <c r="D3408" s="1" t="str">
        <f ca="1">IFERROR(__xludf.DUMMYFUNCTION("""COMPUTED_VALUE"""),"Nő")</f>
        <v>Nő</v>
      </c>
      <c r="E3408" s="1"/>
      <c r="F3408" s="1">
        <f ca="1">IFERROR(__xludf.DUMMYFUNCTION("""COMPUTED_VALUE"""),1995)</f>
        <v>1995</v>
      </c>
      <c r="G3408" s="1">
        <f ca="1">IFERROR(__xludf.DUMMYFUNCTION("""COMPUTED_VALUE"""),1632)</f>
        <v>1632</v>
      </c>
      <c r="H3408" s="1" t="str">
        <f ca="1">IFERROR(__xludf.DUMMYFUNCTION("""COMPUTED_VALUE"""),"MTLSZ001632A06")</f>
        <v>MTLSZ001632A06</v>
      </c>
      <c r="I3408" s="2">
        <f ca="1">IFERROR(__xludf.DUMMYFUNCTION("""COMPUTED_VALUE"""),38778)</f>
        <v>38778</v>
      </c>
      <c r="J3408" s="2">
        <f ca="1">IFERROR(__xludf.DUMMYFUNCTION("""COMPUTED_VALUE"""),39142)</f>
        <v>39142</v>
      </c>
    </row>
    <row r="3409" spans="1:10" x14ac:dyDescent="0.25">
      <c r="A3409" s="1" t="str">
        <f ca="1">IFERROR(__xludf.DUMMYFUNCTION("""COMPUTED_VALUE"""),"Danubius KSE")</f>
        <v>Danubius KSE</v>
      </c>
      <c r="B3409" s="1" t="str">
        <f ca="1">IFERROR(__xludf.DUMMYFUNCTION("""COMPUTED_VALUE"""),"Kovács Márk")</f>
        <v>Kovács Márk</v>
      </c>
      <c r="C3409" s="1"/>
      <c r="D3409" s="1" t="str">
        <f ca="1">IFERROR(__xludf.DUMMYFUNCTION("""COMPUTED_VALUE"""),"Férfi")</f>
        <v>Férfi</v>
      </c>
      <c r="E3409" s="1"/>
      <c r="F3409" s="1">
        <f ca="1">IFERROR(__xludf.DUMMYFUNCTION("""COMPUTED_VALUE"""),1995)</f>
        <v>1995</v>
      </c>
      <c r="G3409" s="1">
        <f ca="1">IFERROR(__xludf.DUMMYFUNCTION("""COMPUTED_VALUE"""),1756)</f>
        <v>1756</v>
      </c>
      <c r="H3409" s="1" t="str">
        <f ca="1">IFERROR(__xludf.DUMMYFUNCTION("""COMPUTED_VALUE"""),"MTLSZ001756A06")</f>
        <v>MTLSZ001756A06</v>
      </c>
      <c r="I3409" s="2">
        <f ca="1">IFERROR(__xludf.DUMMYFUNCTION("""COMPUTED_VALUE"""),38777)</f>
        <v>38777</v>
      </c>
      <c r="J3409" s="2">
        <f ca="1">IFERROR(__xludf.DUMMYFUNCTION("""COMPUTED_VALUE"""),39141)</f>
        <v>39141</v>
      </c>
    </row>
    <row r="3410" spans="1:10" x14ac:dyDescent="0.25">
      <c r="A3410" s="1" t="str">
        <f ca="1">IFERROR(__xludf.DUMMYFUNCTION("""COMPUTED_VALUE"""),"Klébi DSE")</f>
        <v>Klébi DSE</v>
      </c>
      <c r="B3410" s="1" t="str">
        <f ca="1">IFERROR(__xludf.DUMMYFUNCTION("""COMPUTED_VALUE"""),"Hinsenkamp Fülöp")</f>
        <v>Hinsenkamp Fülöp</v>
      </c>
      <c r="C3410" s="1"/>
      <c r="D3410" s="1" t="str">
        <f ca="1">IFERROR(__xludf.DUMMYFUNCTION("""COMPUTED_VALUE"""),"Férfi")</f>
        <v>Férfi</v>
      </c>
      <c r="E3410" s="1"/>
      <c r="F3410" s="1">
        <f ca="1">IFERROR(__xludf.DUMMYFUNCTION("""COMPUTED_VALUE"""),1992)</f>
        <v>1992</v>
      </c>
      <c r="G3410" s="1">
        <f ca="1">IFERROR(__xludf.DUMMYFUNCTION("""COMPUTED_VALUE"""),1753)</f>
        <v>1753</v>
      </c>
      <c r="H3410" s="1" t="str">
        <f ca="1">IFERROR(__xludf.DUMMYFUNCTION("""COMPUTED_VALUE"""),"MTLSZ001753A06")</f>
        <v>MTLSZ001753A06</v>
      </c>
      <c r="I3410" s="2">
        <f ca="1">IFERROR(__xludf.DUMMYFUNCTION("""COMPUTED_VALUE"""),38771)</f>
        <v>38771</v>
      </c>
      <c r="J3410" s="2">
        <f ca="1">IFERROR(__xludf.DUMMYFUNCTION("""COMPUTED_VALUE"""),39135)</f>
        <v>39135</v>
      </c>
    </row>
    <row r="3411" spans="1:10" x14ac:dyDescent="0.25">
      <c r="A3411" s="1" t="str">
        <f ca="1">IFERROR(__xludf.DUMMYFUNCTION("""COMPUTED_VALUE"""),"Klébi DSE")</f>
        <v>Klébi DSE</v>
      </c>
      <c r="B3411" s="1" t="str">
        <f ca="1">IFERROR(__xludf.DUMMYFUNCTION("""COMPUTED_VALUE"""),"Mocsai Virginia")</f>
        <v>Mocsai Virginia</v>
      </c>
      <c r="C3411" s="1"/>
      <c r="D3411" s="1" t="str">
        <f ca="1">IFERROR(__xludf.DUMMYFUNCTION("""COMPUTED_VALUE"""),"Nő")</f>
        <v>Nő</v>
      </c>
      <c r="E3411" s="1"/>
      <c r="F3411" s="1">
        <f ca="1">IFERROR(__xludf.DUMMYFUNCTION("""COMPUTED_VALUE"""),1983)</f>
        <v>1983</v>
      </c>
      <c r="G3411" s="1">
        <f ca="1">IFERROR(__xludf.DUMMYFUNCTION("""COMPUTED_VALUE"""),653)</f>
        <v>653</v>
      </c>
      <c r="H3411" s="1" t="str">
        <f ca="1">IFERROR(__xludf.DUMMYFUNCTION("""COMPUTED_VALUE"""),"MTLSZ000653A06")</f>
        <v>MTLSZ000653A06</v>
      </c>
      <c r="I3411" s="2">
        <f ca="1">IFERROR(__xludf.DUMMYFUNCTION("""COMPUTED_VALUE"""),38756)</f>
        <v>38756</v>
      </c>
      <c r="J3411" s="2">
        <f ca="1">IFERROR(__xludf.DUMMYFUNCTION("""COMPUTED_VALUE"""),39120)</f>
        <v>39120</v>
      </c>
    </row>
    <row r="3412" spans="1:10" x14ac:dyDescent="0.25">
      <c r="A3412" s="1" t="str">
        <f ca="1">IFERROR(__xludf.DUMMYFUNCTION("""COMPUTED_VALUE"""),"Pedagógus Fáklya SE")</f>
        <v>Pedagógus Fáklya SE</v>
      </c>
      <c r="B3412" s="1" t="str">
        <f ca="1">IFERROR(__xludf.DUMMYFUNCTION("""COMPUTED_VALUE"""),"Madár Anikó")</f>
        <v>Madár Anikó</v>
      </c>
      <c r="C3412" s="1"/>
      <c r="D3412" s="1" t="str">
        <f ca="1">IFERROR(__xludf.DUMMYFUNCTION("""COMPUTED_VALUE"""),"Nő")</f>
        <v>Nő</v>
      </c>
      <c r="E3412" s="1"/>
      <c r="F3412" s="1">
        <f ca="1">IFERROR(__xludf.DUMMYFUNCTION("""COMPUTED_VALUE"""),1969)</f>
        <v>1969</v>
      </c>
      <c r="G3412" s="1">
        <f ca="1">IFERROR(__xludf.DUMMYFUNCTION("""COMPUTED_VALUE"""),602)</f>
        <v>602</v>
      </c>
      <c r="H3412" s="1" t="str">
        <f ca="1">IFERROR(__xludf.DUMMYFUNCTION("""COMPUTED_VALUE"""),"MTLSZ000602A06")</f>
        <v>MTLSZ000602A06</v>
      </c>
      <c r="I3412" s="2">
        <f ca="1">IFERROR(__xludf.DUMMYFUNCTION("""COMPUTED_VALUE"""),38750)</f>
        <v>38750</v>
      </c>
      <c r="J3412" s="2">
        <f ca="1">IFERROR(__xludf.DUMMYFUNCTION("""COMPUTED_VALUE"""),39114)</f>
        <v>39114</v>
      </c>
    </row>
    <row r="3413" spans="1:10" x14ac:dyDescent="0.25">
      <c r="A3413" s="1" t="str">
        <f ca="1">IFERROR(__xludf.DUMMYFUNCTION("""COMPUTED_VALUE"""),"HZSE")</f>
        <v>HZSE</v>
      </c>
      <c r="B3413" s="1" t="str">
        <f ca="1">IFERROR(__xludf.DUMMYFUNCTION("""COMPUTED_VALUE"""),"Rakonczai Dániel")</f>
        <v>Rakonczai Dániel</v>
      </c>
      <c r="C3413" s="1"/>
      <c r="D3413" s="1" t="str">
        <f ca="1">IFERROR(__xludf.DUMMYFUNCTION("""COMPUTED_VALUE"""),"Férfi")</f>
        <v>Férfi</v>
      </c>
      <c r="E3413" s="1"/>
      <c r="F3413" s="1">
        <f ca="1">IFERROR(__xludf.DUMMYFUNCTION("""COMPUTED_VALUE"""),1988)</f>
        <v>1988</v>
      </c>
      <c r="G3413" s="1">
        <f ca="1">IFERROR(__xludf.DUMMYFUNCTION("""COMPUTED_VALUE"""),1751)</f>
        <v>1751</v>
      </c>
      <c r="H3413" s="1" t="str">
        <f ca="1">IFERROR(__xludf.DUMMYFUNCTION("""COMPUTED_VALUE"""),"MTLSZ001751A06")</f>
        <v>MTLSZ001751A06</v>
      </c>
      <c r="I3413" s="2">
        <f ca="1">IFERROR(__xludf.DUMMYFUNCTION("""COMPUTED_VALUE"""),38749)</f>
        <v>38749</v>
      </c>
      <c r="J3413" s="2">
        <f ca="1">IFERROR(__xludf.DUMMYFUNCTION("""COMPUTED_VALUE"""),39113)</f>
        <v>39113</v>
      </c>
    </row>
    <row r="3414" spans="1:10" x14ac:dyDescent="0.25">
      <c r="A3414" s="1" t="str">
        <f ca="1">IFERROR(__xludf.DUMMYFUNCTION("""COMPUTED_VALUE"""),"Danubius KSE")</f>
        <v>Danubius KSE</v>
      </c>
      <c r="B3414" s="1" t="str">
        <f ca="1">IFERROR(__xludf.DUMMYFUNCTION("""COMPUTED_VALUE"""),"Árpási Tünde")</f>
        <v>Árpási Tünde</v>
      </c>
      <c r="C3414" s="1"/>
      <c r="D3414" s="1" t="str">
        <f ca="1">IFERROR(__xludf.DUMMYFUNCTION("""COMPUTED_VALUE"""),"Nő")</f>
        <v>Nő</v>
      </c>
      <c r="E3414" s="1"/>
      <c r="F3414" s="1">
        <f ca="1">IFERROR(__xludf.DUMMYFUNCTION("""COMPUTED_VALUE"""),1991)</f>
        <v>1991</v>
      </c>
      <c r="G3414" s="1">
        <f ca="1">IFERROR(__xludf.DUMMYFUNCTION("""COMPUTED_VALUE"""),1749)</f>
        <v>1749</v>
      </c>
      <c r="H3414" s="1" t="str">
        <f ca="1">IFERROR(__xludf.DUMMYFUNCTION("""COMPUTED_VALUE"""),"MTLSZ001749A06")</f>
        <v>MTLSZ001749A06</v>
      </c>
      <c r="I3414" s="2">
        <f ca="1">IFERROR(__xludf.DUMMYFUNCTION("""COMPUTED_VALUE"""),38735)</f>
        <v>38735</v>
      </c>
      <c r="J3414" s="2">
        <f ca="1">IFERROR(__xludf.DUMMYFUNCTION("""COMPUTED_VALUE"""),39099)</f>
        <v>39099</v>
      </c>
    </row>
    <row r="3415" spans="1:10" x14ac:dyDescent="0.25">
      <c r="A3415" s="1" t="str">
        <f ca="1">IFERROR(__xludf.DUMMYFUNCTION("""COMPUTED_VALUE"""),"Danubius KSE")</f>
        <v>Danubius KSE</v>
      </c>
      <c r="B3415" s="1" t="str">
        <f ca="1">IFERROR(__xludf.DUMMYFUNCTION("""COMPUTED_VALUE"""),"Góman Zsolt")</f>
        <v>Góman Zsolt</v>
      </c>
      <c r="C3415" s="1"/>
      <c r="D3415" s="1" t="str">
        <f ca="1">IFERROR(__xludf.DUMMYFUNCTION("""COMPUTED_VALUE"""),"Férfi")</f>
        <v>Férfi</v>
      </c>
      <c r="E3415" s="1"/>
      <c r="F3415" s="1">
        <f ca="1">IFERROR(__xludf.DUMMYFUNCTION("""COMPUTED_VALUE"""),1995)</f>
        <v>1995</v>
      </c>
      <c r="G3415" s="1">
        <f ca="1">IFERROR(__xludf.DUMMYFUNCTION("""COMPUTED_VALUE"""),1748)</f>
        <v>1748</v>
      </c>
      <c r="H3415" s="1" t="str">
        <f ca="1">IFERROR(__xludf.DUMMYFUNCTION("""COMPUTED_VALUE"""),"MTLSZ001748A06")</f>
        <v>MTLSZ001748A06</v>
      </c>
      <c r="I3415" s="2">
        <f ca="1">IFERROR(__xludf.DUMMYFUNCTION("""COMPUTED_VALUE"""),38735)</f>
        <v>38735</v>
      </c>
      <c r="J3415" s="2">
        <f ca="1">IFERROR(__xludf.DUMMYFUNCTION("""COMPUTED_VALUE"""),39099)</f>
        <v>39099</v>
      </c>
    </row>
    <row r="3416" spans="1:10" x14ac:dyDescent="0.25">
      <c r="A3416" s="1" t="str">
        <f ca="1">IFERROR(__xludf.DUMMYFUNCTION("""COMPUTED_VALUE"""),"Danubius KSE")</f>
        <v>Danubius KSE</v>
      </c>
      <c r="B3416" s="1" t="str">
        <f ca="1">IFERROR(__xludf.DUMMYFUNCTION("""COMPUTED_VALUE"""),"Szabó Péter")</f>
        <v>Szabó Péter</v>
      </c>
      <c r="C3416" s="1"/>
      <c r="D3416" s="1" t="str">
        <f ca="1">IFERROR(__xludf.DUMMYFUNCTION("""COMPUTED_VALUE"""),"Férfi")</f>
        <v>Férfi</v>
      </c>
      <c r="E3416" s="1"/>
      <c r="F3416" s="1">
        <f ca="1">IFERROR(__xludf.DUMMYFUNCTION("""COMPUTED_VALUE"""),1994)</f>
        <v>1994</v>
      </c>
      <c r="G3416" s="1">
        <f ca="1">IFERROR(__xludf.DUMMYFUNCTION("""COMPUTED_VALUE"""),1746)</f>
        <v>1746</v>
      </c>
      <c r="H3416" s="1" t="str">
        <f ca="1">IFERROR(__xludf.DUMMYFUNCTION("""COMPUTED_VALUE"""),"MTLSZ001746A06")</f>
        <v>MTLSZ001746A06</v>
      </c>
      <c r="I3416" s="2">
        <f ca="1">IFERROR(__xludf.DUMMYFUNCTION("""COMPUTED_VALUE"""),38735)</f>
        <v>38735</v>
      </c>
      <c r="J3416" s="2">
        <f ca="1">IFERROR(__xludf.DUMMYFUNCTION("""COMPUTED_VALUE"""),39099)</f>
        <v>39099</v>
      </c>
    </row>
    <row r="3417" spans="1:10" x14ac:dyDescent="0.25">
      <c r="A3417" s="1" t="str">
        <f ca="1">IFERROR(__xludf.DUMMYFUNCTION("""COMPUTED_VALUE"""),"Érdi VSE")</f>
        <v>Érdi VSE</v>
      </c>
      <c r="B3417" s="1" t="str">
        <f ca="1">IFERROR(__xludf.DUMMYFUNCTION("""COMPUTED_VALUE"""),"Lipták Krisztina")</f>
        <v>Lipták Krisztina</v>
      </c>
      <c r="C3417" s="1"/>
      <c r="D3417" s="1" t="str">
        <f ca="1">IFERROR(__xludf.DUMMYFUNCTION("""COMPUTED_VALUE"""),"Nő")</f>
        <v>Nő</v>
      </c>
      <c r="E3417" s="1"/>
      <c r="F3417" s="1">
        <f ca="1">IFERROR(__xludf.DUMMYFUNCTION("""COMPUTED_VALUE"""),1996)</f>
        <v>1996</v>
      </c>
      <c r="G3417" s="1">
        <f ca="1">IFERROR(__xludf.DUMMYFUNCTION("""COMPUTED_VALUE"""),1742)</f>
        <v>1742</v>
      </c>
      <c r="H3417" s="1" t="str">
        <f ca="1">IFERROR(__xludf.DUMMYFUNCTION("""COMPUTED_VALUE"""),"MTLSZ001742A06")</f>
        <v>MTLSZ001742A06</v>
      </c>
      <c r="I3417" s="2">
        <f ca="1">IFERROR(__xludf.DUMMYFUNCTION("""COMPUTED_VALUE"""),38723)</f>
        <v>38723</v>
      </c>
      <c r="J3417" s="2">
        <f ca="1">IFERROR(__xludf.DUMMYFUNCTION("""COMPUTED_VALUE"""),39087)</f>
        <v>39087</v>
      </c>
    </row>
    <row r="3418" spans="1:10" x14ac:dyDescent="0.25">
      <c r="A3418" s="1" t="str">
        <f ca="1">IFERROR(__xludf.DUMMYFUNCTION("""COMPUTED_VALUE"""),"DSC-SI")</f>
        <v>DSC-SI</v>
      </c>
      <c r="B3418" s="1" t="str">
        <f ca="1">IFERROR(__xludf.DUMMYFUNCTION("""COMPUTED_VALUE"""),"Girán Viktória")</f>
        <v>Girán Viktória</v>
      </c>
      <c r="C3418" s="1"/>
      <c r="D3418" s="1" t="str">
        <f ca="1">IFERROR(__xludf.DUMMYFUNCTION("""COMPUTED_VALUE"""),"Nő")</f>
        <v>Nő</v>
      </c>
      <c r="E3418" s="1"/>
      <c r="F3418" s="1">
        <f ca="1">IFERROR(__xludf.DUMMYFUNCTION("""COMPUTED_VALUE"""),1994)</f>
        <v>1994</v>
      </c>
      <c r="G3418" s="1">
        <f ca="1">IFERROR(__xludf.DUMMYFUNCTION("""COMPUTED_VALUE"""),1678)</f>
        <v>1678</v>
      </c>
      <c r="H3418" s="1" t="str">
        <f ca="1">IFERROR(__xludf.DUMMYFUNCTION("""COMPUTED_VALUE"""),"MTLSZ001678A05")</f>
        <v>MTLSZ001678A05</v>
      </c>
      <c r="I3418" s="2">
        <f ca="1">IFERROR(__xludf.DUMMYFUNCTION("""COMPUTED_VALUE"""),38695)</f>
        <v>38695</v>
      </c>
      <c r="J3418" s="2">
        <f ca="1">IFERROR(__xludf.DUMMYFUNCTION("""COMPUTED_VALUE"""),39059)</f>
        <v>39059</v>
      </c>
    </row>
    <row r="3419" spans="1:10" x14ac:dyDescent="0.25">
      <c r="A3419" s="1" t="str">
        <f ca="1">IFERROR(__xludf.DUMMYFUNCTION("""COMPUTED_VALUE"""),"DSC-SI")</f>
        <v>DSC-SI</v>
      </c>
      <c r="B3419" s="1" t="str">
        <f ca="1">IFERROR(__xludf.DUMMYFUNCTION("""COMPUTED_VALUE"""),"Verebélyi Tamás")</f>
        <v>Verebélyi Tamás</v>
      </c>
      <c r="C3419" s="1"/>
      <c r="D3419" s="1" t="str">
        <f ca="1">IFERROR(__xludf.DUMMYFUNCTION("""COMPUTED_VALUE"""),"Férfi")</f>
        <v>Férfi</v>
      </c>
      <c r="E3419" s="1"/>
      <c r="F3419" s="1">
        <f ca="1">IFERROR(__xludf.DUMMYFUNCTION("""COMPUTED_VALUE"""),1992)</f>
        <v>1992</v>
      </c>
      <c r="G3419" s="1">
        <f ca="1">IFERROR(__xludf.DUMMYFUNCTION("""COMPUTED_VALUE"""),1229)</f>
        <v>1229</v>
      </c>
      <c r="H3419" s="1" t="str">
        <f ca="1">IFERROR(__xludf.DUMMYFUNCTION("""COMPUTED_VALUE"""),"MTLSZ001229A05")</f>
        <v>MTLSZ001229A05</v>
      </c>
      <c r="I3419" s="2">
        <f ca="1">IFERROR(__xludf.DUMMYFUNCTION("""COMPUTED_VALUE"""),38695)</f>
        <v>38695</v>
      </c>
      <c r="J3419" s="2">
        <f ca="1">IFERROR(__xludf.DUMMYFUNCTION("""COMPUTED_VALUE"""),39059)</f>
        <v>39059</v>
      </c>
    </row>
    <row r="3420" spans="1:10" x14ac:dyDescent="0.25">
      <c r="A3420" s="1" t="str">
        <f ca="1">IFERROR(__xludf.DUMMYFUNCTION("""COMPUTED_VALUE"""),"Zsombói SE")</f>
        <v>Zsombói SE</v>
      </c>
      <c r="B3420" s="1" t="str">
        <f ca="1">IFERROR(__xludf.DUMMYFUNCTION("""COMPUTED_VALUE"""),"Ábrahám Martin")</f>
        <v>Ábrahám Martin</v>
      </c>
      <c r="C3420" s="1"/>
      <c r="D3420" s="1" t="str">
        <f ca="1">IFERROR(__xludf.DUMMYFUNCTION("""COMPUTED_VALUE"""),"Férfi")</f>
        <v>Férfi</v>
      </c>
      <c r="E3420" s="1"/>
      <c r="F3420" s="1">
        <f ca="1">IFERROR(__xludf.DUMMYFUNCTION("""COMPUTED_VALUE"""),1992)</f>
        <v>1992</v>
      </c>
      <c r="G3420" s="1">
        <f ca="1">IFERROR(__xludf.DUMMYFUNCTION("""COMPUTED_VALUE"""),1686)</f>
        <v>1686</v>
      </c>
      <c r="H3420" s="1" t="str">
        <f ca="1">IFERROR(__xludf.DUMMYFUNCTION("""COMPUTED_VALUE"""),"MTLSZ001686A05")</f>
        <v>MTLSZ001686A05</v>
      </c>
      <c r="I3420" s="2">
        <f ca="1">IFERROR(__xludf.DUMMYFUNCTION("""COMPUTED_VALUE"""),38693)</f>
        <v>38693</v>
      </c>
      <c r="J3420" s="2">
        <f ca="1">IFERROR(__xludf.DUMMYFUNCTION("""COMPUTED_VALUE"""),39057)</f>
        <v>39057</v>
      </c>
    </row>
    <row r="3421" spans="1:10" x14ac:dyDescent="0.25">
      <c r="A3421" s="1" t="str">
        <f ca="1">IFERROR(__xludf.DUMMYFUNCTION("""COMPUTED_VALUE"""),"Zsombói SE")</f>
        <v>Zsombói SE</v>
      </c>
      <c r="B3421" s="1" t="str">
        <f ca="1">IFERROR(__xludf.DUMMYFUNCTION("""COMPUTED_VALUE"""),"Gyuris Attila")</f>
        <v>Gyuris Attila</v>
      </c>
      <c r="C3421" s="1"/>
      <c r="D3421" s="1" t="str">
        <f ca="1">IFERROR(__xludf.DUMMYFUNCTION("""COMPUTED_VALUE"""),"Férfi")</f>
        <v>Férfi</v>
      </c>
      <c r="E3421" s="1"/>
      <c r="F3421" s="1">
        <f ca="1">IFERROR(__xludf.DUMMYFUNCTION("""COMPUTED_VALUE"""),1991)</f>
        <v>1991</v>
      </c>
      <c r="G3421" s="1">
        <f ca="1">IFERROR(__xludf.DUMMYFUNCTION("""COMPUTED_VALUE"""),1690)</f>
        <v>1690</v>
      </c>
      <c r="H3421" s="1" t="str">
        <f ca="1">IFERROR(__xludf.DUMMYFUNCTION("""COMPUTED_VALUE"""),"MTLSZ001690A05")</f>
        <v>MTLSZ001690A05</v>
      </c>
      <c r="I3421" s="2">
        <f ca="1">IFERROR(__xludf.DUMMYFUNCTION("""COMPUTED_VALUE"""),38693)</f>
        <v>38693</v>
      </c>
      <c r="J3421" s="2">
        <f ca="1">IFERROR(__xludf.DUMMYFUNCTION("""COMPUTED_VALUE"""),39057)</f>
        <v>39057</v>
      </c>
    </row>
    <row r="3422" spans="1:10" x14ac:dyDescent="0.25">
      <c r="A3422" s="1" t="str">
        <f ca="1">IFERROR(__xludf.DUMMYFUNCTION("""COMPUTED_VALUE"""),"Zsombói SE")</f>
        <v>Zsombói SE</v>
      </c>
      <c r="B3422" s="1" t="str">
        <f ca="1">IFERROR(__xludf.DUMMYFUNCTION("""COMPUTED_VALUE"""),"Juhász Martin")</f>
        <v>Juhász Martin</v>
      </c>
      <c r="C3422" s="1"/>
      <c r="D3422" s="1" t="str">
        <f ca="1">IFERROR(__xludf.DUMMYFUNCTION("""COMPUTED_VALUE"""),"Férfi")</f>
        <v>Férfi</v>
      </c>
      <c r="E3422" s="1"/>
      <c r="F3422" s="1">
        <f ca="1">IFERROR(__xludf.DUMMYFUNCTION("""COMPUTED_VALUE"""),1991)</f>
        <v>1991</v>
      </c>
      <c r="G3422" s="1">
        <f ca="1">IFERROR(__xludf.DUMMYFUNCTION("""COMPUTED_VALUE"""),1687)</f>
        <v>1687</v>
      </c>
      <c r="H3422" s="1" t="str">
        <f ca="1">IFERROR(__xludf.DUMMYFUNCTION("""COMPUTED_VALUE"""),"MTLSZ001687A05")</f>
        <v>MTLSZ001687A05</v>
      </c>
      <c r="I3422" s="2">
        <f ca="1">IFERROR(__xludf.DUMMYFUNCTION("""COMPUTED_VALUE"""),38693)</f>
        <v>38693</v>
      </c>
      <c r="J3422" s="2">
        <f ca="1">IFERROR(__xludf.DUMMYFUNCTION("""COMPUTED_VALUE"""),39057)</f>
        <v>39057</v>
      </c>
    </row>
    <row r="3423" spans="1:10" x14ac:dyDescent="0.25">
      <c r="A3423" s="1" t="str">
        <f ca="1">IFERROR(__xludf.DUMMYFUNCTION("""COMPUTED_VALUE"""),"Danubius KSE")</f>
        <v>Danubius KSE</v>
      </c>
      <c r="B3423" s="1" t="str">
        <f ca="1">IFERROR(__xludf.DUMMYFUNCTION("""COMPUTED_VALUE"""),"Balogh Krisztián")</f>
        <v>Balogh Krisztián</v>
      </c>
      <c r="C3423" s="1"/>
      <c r="D3423" s="1" t="str">
        <f ca="1">IFERROR(__xludf.DUMMYFUNCTION("""COMPUTED_VALUE"""),"Férfi")</f>
        <v>Férfi</v>
      </c>
      <c r="E3423" s="1"/>
      <c r="F3423" s="1">
        <f ca="1">IFERROR(__xludf.DUMMYFUNCTION("""COMPUTED_VALUE"""),1989)</f>
        <v>1989</v>
      </c>
      <c r="G3423" s="1">
        <f ca="1">IFERROR(__xludf.DUMMYFUNCTION("""COMPUTED_VALUE"""),1611)</f>
        <v>1611</v>
      </c>
      <c r="H3423" s="1" t="str">
        <f ca="1">IFERROR(__xludf.DUMMYFUNCTION("""COMPUTED_VALUE"""),"MTLSZ001611A05")</f>
        <v>MTLSZ001611A05</v>
      </c>
      <c r="I3423" s="2">
        <f ca="1">IFERROR(__xludf.DUMMYFUNCTION("""COMPUTED_VALUE"""),38680)</f>
        <v>38680</v>
      </c>
      <c r="J3423" s="2">
        <f ca="1">IFERROR(__xludf.DUMMYFUNCTION("""COMPUTED_VALUE"""),39044)</f>
        <v>39044</v>
      </c>
    </row>
    <row r="3424" spans="1:10" x14ac:dyDescent="0.25">
      <c r="A3424" s="1" t="str">
        <f ca="1">IFERROR(__xludf.DUMMYFUNCTION("""COMPUTED_VALUE"""),"Danubius KSE")</f>
        <v>Danubius KSE</v>
      </c>
      <c r="B3424" s="1" t="str">
        <f ca="1">IFERROR(__xludf.DUMMYFUNCTION("""COMPUTED_VALUE"""),"Kohán Beáta")</f>
        <v>Kohán Beáta</v>
      </c>
      <c r="C3424" s="1"/>
      <c r="D3424" s="1" t="str">
        <f ca="1">IFERROR(__xludf.DUMMYFUNCTION("""COMPUTED_VALUE"""),"Nő")</f>
        <v>Nő</v>
      </c>
      <c r="E3424" s="1"/>
      <c r="F3424" s="1">
        <f ca="1">IFERROR(__xludf.DUMMYFUNCTION("""COMPUTED_VALUE"""),1990)</f>
        <v>1990</v>
      </c>
      <c r="G3424" s="1">
        <f ca="1">IFERROR(__xludf.DUMMYFUNCTION("""COMPUTED_VALUE"""),1617)</f>
        <v>1617</v>
      </c>
      <c r="H3424" s="1" t="str">
        <f ca="1">IFERROR(__xludf.DUMMYFUNCTION("""COMPUTED_VALUE"""),"MTLSZ001617A05")</f>
        <v>MTLSZ001617A05</v>
      </c>
      <c r="I3424" s="2">
        <f ca="1">IFERROR(__xludf.DUMMYFUNCTION("""COMPUTED_VALUE"""),38680)</f>
        <v>38680</v>
      </c>
      <c r="J3424" s="2">
        <f ca="1">IFERROR(__xludf.DUMMYFUNCTION("""COMPUTED_VALUE"""),39044)</f>
        <v>39044</v>
      </c>
    </row>
    <row r="3425" spans="1:10" x14ac:dyDescent="0.25">
      <c r="A3425" s="1" t="str">
        <f ca="1">IFERROR(__xludf.DUMMYFUNCTION("""COMPUTED_VALUE"""),"Danubius KSE")</f>
        <v>Danubius KSE</v>
      </c>
      <c r="B3425" s="1" t="str">
        <f ca="1">IFERROR(__xludf.DUMMYFUNCTION("""COMPUTED_VALUE"""),"Sója László Tibor")</f>
        <v>Sója László Tibor</v>
      </c>
      <c r="C3425" s="1"/>
      <c r="D3425" s="1" t="str">
        <f ca="1">IFERROR(__xludf.DUMMYFUNCTION("""COMPUTED_VALUE"""),"Férfi")</f>
        <v>Férfi</v>
      </c>
      <c r="E3425" s="1"/>
      <c r="F3425" s="1">
        <f ca="1">IFERROR(__xludf.DUMMYFUNCTION("""COMPUTED_VALUE"""),1989)</f>
        <v>1989</v>
      </c>
      <c r="G3425" s="1">
        <f ca="1">IFERROR(__xludf.DUMMYFUNCTION("""COMPUTED_VALUE"""),1622)</f>
        <v>1622</v>
      </c>
      <c r="H3425" s="1" t="str">
        <f ca="1">IFERROR(__xludf.DUMMYFUNCTION("""COMPUTED_VALUE"""),"MTLSZ001622A05")</f>
        <v>MTLSZ001622A05</v>
      </c>
      <c r="I3425" s="2">
        <f ca="1">IFERROR(__xludf.DUMMYFUNCTION("""COMPUTED_VALUE"""),38680)</f>
        <v>38680</v>
      </c>
      <c r="J3425" s="2">
        <f ca="1">IFERROR(__xludf.DUMMYFUNCTION("""COMPUTED_VALUE"""),39044)</f>
        <v>39044</v>
      </c>
    </row>
    <row r="3426" spans="1:10" x14ac:dyDescent="0.25">
      <c r="A3426" s="1" t="str">
        <f ca="1">IFERROR(__xludf.DUMMYFUNCTION("""COMPUTED_VALUE"""),"Multi Alarm SE")</f>
        <v>Multi Alarm SE</v>
      </c>
      <c r="B3426" s="1" t="str">
        <f ca="1">IFERROR(__xludf.DUMMYFUNCTION("""COMPUTED_VALUE"""),"Schulz-Holstege Olaf")</f>
        <v>Schulz-Holstege Olaf</v>
      </c>
      <c r="C3426" s="1"/>
      <c r="D3426" s="1" t="str">
        <f ca="1">IFERROR(__xludf.DUMMYFUNCTION("""COMPUTED_VALUE"""),"Férfi")</f>
        <v>Férfi</v>
      </c>
      <c r="E3426" s="1"/>
      <c r="F3426" s="1">
        <f ca="1">IFERROR(__xludf.DUMMYFUNCTION("""COMPUTED_VALUE"""),1984)</f>
        <v>1984</v>
      </c>
      <c r="G3426" s="1">
        <f ca="1">IFERROR(__xludf.DUMMYFUNCTION("""COMPUTED_VALUE"""),1735)</f>
        <v>1735</v>
      </c>
      <c r="H3426" s="1" t="str">
        <f ca="1">IFERROR(__xludf.DUMMYFUNCTION("""COMPUTED_VALUE"""),"MTLSZ001735A05")</f>
        <v>MTLSZ001735A05</v>
      </c>
      <c r="I3426" s="2">
        <f ca="1">IFERROR(__xludf.DUMMYFUNCTION("""COMPUTED_VALUE"""),38670)</f>
        <v>38670</v>
      </c>
      <c r="J3426" s="2">
        <f ca="1">IFERROR(__xludf.DUMMYFUNCTION("""COMPUTED_VALUE"""),39034)</f>
        <v>39034</v>
      </c>
    </row>
    <row r="3427" spans="1:10" x14ac:dyDescent="0.25">
      <c r="A3427" s="1" t="str">
        <f ca="1">IFERROR(__xludf.DUMMYFUNCTION("""COMPUTED_VALUE"""),"Pedagógus Fáklya SE")</f>
        <v>Pedagógus Fáklya SE</v>
      </c>
      <c r="B3427" s="1" t="str">
        <f ca="1">IFERROR(__xludf.DUMMYFUNCTION("""COMPUTED_VALUE"""),"Kiss Zoltán")</f>
        <v>Kiss Zoltán</v>
      </c>
      <c r="C3427" s="1"/>
      <c r="D3427" s="1" t="str">
        <f ca="1">IFERROR(__xludf.DUMMYFUNCTION("""COMPUTED_VALUE"""),"Férfi")</f>
        <v>Férfi</v>
      </c>
      <c r="E3427" s="1"/>
      <c r="F3427" s="1">
        <f ca="1">IFERROR(__xludf.DUMMYFUNCTION("""COMPUTED_VALUE"""),1970)</f>
        <v>1970</v>
      </c>
      <c r="G3427" s="1">
        <f ca="1">IFERROR(__xludf.DUMMYFUNCTION("""COMPUTED_VALUE"""),495)</f>
        <v>495</v>
      </c>
      <c r="H3427" s="1" t="str">
        <f ca="1">IFERROR(__xludf.DUMMYFUNCTION("""COMPUTED_VALUE"""),"MTLSZ000495A05")</f>
        <v>MTLSZ000495A05</v>
      </c>
      <c r="I3427" s="2">
        <f ca="1">IFERROR(__xludf.DUMMYFUNCTION("""COMPUTED_VALUE"""),38667)</f>
        <v>38667</v>
      </c>
      <c r="J3427" s="2">
        <f ca="1">IFERROR(__xludf.DUMMYFUNCTION("""COMPUTED_VALUE"""),39031)</f>
        <v>39031</v>
      </c>
    </row>
    <row r="3428" spans="1:10" x14ac:dyDescent="0.25">
      <c r="A3428" s="1" t="str">
        <f ca="1">IFERROR(__xludf.DUMMYFUNCTION("""COMPUTED_VALUE"""),"Ságvári DSE")</f>
        <v>Ságvári DSE</v>
      </c>
      <c r="B3428" s="1" t="str">
        <f ca="1">IFERROR(__xludf.DUMMYFUNCTION("""COMPUTED_VALUE"""),"Hell Nikolett")</f>
        <v>Hell Nikolett</v>
      </c>
      <c r="C3428" s="1"/>
      <c r="D3428" s="1" t="str">
        <f ca="1">IFERROR(__xludf.DUMMYFUNCTION("""COMPUTED_VALUE"""),"Nő")</f>
        <v>Nő</v>
      </c>
      <c r="E3428" s="1"/>
      <c r="F3428" s="1">
        <f ca="1">IFERROR(__xludf.DUMMYFUNCTION("""COMPUTED_VALUE"""),1993)</f>
        <v>1993</v>
      </c>
      <c r="G3428" s="1">
        <f ca="1">IFERROR(__xludf.DUMMYFUNCTION("""COMPUTED_VALUE"""),1729)</f>
        <v>1729</v>
      </c>
      <c r="H3428" s="1" t="str">
        <f ca="1">IFERROR(__xludf.DUMMYFUNCTION("""COMPUTED_VALUE"""),"MTLSZ001729A05")</f>
        <v>MTLSZ001729A05</v>
      </c>
      <c r="I3428" s="2">
        <f ca="1">IFERROR(__xludf.DUMMYFUNCTION("""COMPUTED_VALUE"""),38657)</f>
        <v>38657</v>
      </c>
      <c r="J3428" s="2">
        <f ca="1">IFERROR(__xludf.DUMMYFUNCTION("""COMPUTED_VALUE"""),39021)</f>
        <v>39021</v>
      </c>
    </row>
    <row r="3429" spans="1:10" x14ac:dyDescent="0.25">
      <c r="A3429" s="1" t="str">
        <f ca="1">IFERROR(__xludf.DUMMYFUNCTION("""COMPUTED_VALUE"""),"Ságvári DSE")</f>
        <v>Ságvári DSE</v>
      </c>
      <c r="B3429" s="1" t="str">
        <f ca="1">IFERROR(__xludf.DUMMYFUNCTION("""COMPUTED_VALUE"""),"Kis Petra")</f>
        <v>Kis Petra</v>
      </c>
      <c r="C3429" s="1"/>
      <c r="D3429" s="1" t="str">
        <f ca="1">IFERROR(__xludf.DUMMYFUNCTION("""COMPUTED_VALUE"""),"Nő")</f>
        <v>Nő</v>
      </c>
      <c r="E3429" s="1"/>
      <c r="F3429" s="1">
        <f ca="1">IFERROR(__xludf.DUMMYFUNCTION("""COMPUTED_VALUE"""),1991)</f>
        <v>1991</v>
      </c>
      <c r="G3429" s="1">
        <f ca="1">IFERROR(__xludf.DUMMYFUNCTION("""COMPUTED_VALUE"""),1731)</f>
        <v>1731</v>
      </c>
      <c r="H3429" s="1" t="str">
        <f ca="1">IFERROR(__xludf.DUMMYFUNCTION("""COMPUTED_VALUE"""),"MTLSZ001731A05")</f>
        <v>MTLSZ001731A05</v>
      </c>
      <c r="I3429" s="2">
        <f ca="1">IFERROR(__xludf.DUMMYFUNCTION("""COMPUTED_VALUE"""),38657)</f>
        <v>38657</v>
      </c>
      <c r="J3429" s="2">
        <f ca="1">IFERROR(__xludf.DUMMYFUNCTION("""COMPUTED_VALUE"""),39021)</f>
        <v>39021</v>
      </c>
    </row>
    <row r="3430" spans="1:10" x14ac:dyDescent="0.25">
      <c r="A3430" s="1" t="str">
        <f ca="1">IFERROR(__xludf.DUMMYFUNCTION("""COMPUTED_VALUE"""),"Ságvári DSE")</f>
        <v>Ságvári DSE</v>
      </c>
      <c r="B3430" s="1" t="str">
        <f ca="1">IFERROR(__xludf.DUMMYFUNCTION("""COMPUTED_VALUE"""),"Maslac Michaela")</f>
        <v>Maslac Michaela</v>
      </c>
      <c r="C3430" s="1"/>
      <c r="D3430" s="1" t="str">
        <f ca="1">IFERROR(__xludf.DUMMYFUNCTION("""COMPUTED_VALUE"""),"Nő")</f>
        <v>Nő</v>
      </c>
      <c r="E3430" s="1"/>
      <c r="F3430" s="1">
        <f ca="1">IFERROR(__xludf.DUMMYFUNCTION("""COMPUTED_VALUE"""),1992)</f>
        <v>1992</v>
      </c>
      <c r="G3430" s="1">
        <f ca="1">IFERROR(__xludf.DUMMYFUNCTION("""COMPUTED_VALUE"""),1733)</f>
        <v>1733</v>
      </c>
      <c r="H3430" s="1" t="str">
        <f ca="1">IFERROR(__xludf.DUMMYFUNCTION("""COMPUTED_VALUE"""),"MTLSZ001733A05")</f>
        <v>MTLSZ001733A05</v>
      </c>
      <c r="I3430" s="2">
        <f ca="1">IFERROR(__xludf.DUMMYFUNCTION("""COMPUTED_VALUE"""),38657)</f>
        <v>38657</v>
      </c>
      <c r="J3430" s="2">
        <f ca="1">IFERROR(__xludf.DUMMYFUNCTION("""COMPUTED_VALUE"""),39021)</f>
        <v>39021</v>
      </c>
    </row>
    <row r="3431" spans="1:10" x14ac:dyDescent="0.25">
      <c r="A3431" s="1" t="str">
        <f ca="1">IFERROR(__xludf.DUMMYFUNCTION("""COMPUTED_VALUE"""),"Ságvári DSE")</f>
        <v>Ságvári DSE</v>
      </c>
      <c r="B3431" s="1" t="str">
        <f ca="1">IFERROR(__xludf.DUMMYFUNCTION("""COMPUTED_VALUE"""),"Pászti Netti")</f>
        <v>Pászti Netti</v>
      </c>
      <c r="C3431" s="1"/>
      <c r="D3431" s="1" t="str">
        <f ca="1">IFERROR(__xludf.DUMMYFUNCTION("""COMPUTED_VALUE"""),"Nő")</f>
        <v>Nő</v>
      </c>
      <c r="E3431" s="1"/>
      <c r="F3431" s="1">
        <f ca="1">IFERROR(__xludf.DUMMYFUNCTION("""COMPUTED_VALUE"""),1994)</f>
        <v>1994</v>
      </c>
      <c r="G3431" s="1">
        <f ca="1">IFERROR(__xludf.DUMMYFUNCTION("""COMPUTED_VALUE"""),1491)</f>
        <v>1491</v>
      </c>
      <c r="H3431" s="1" t="str">
        <f ca="1">IFERROR(__xludf.DUMMYFUNCTION("""COMPUTED_VALUE"""),"MTLSZ001491A05")</f>
        <v>MTLSZ001491A05</v>
      </c>
      <c r="I3431" s="2">
        <f ca="1">IFERROR(__xludf.DUMMYFUNCTION("""COMPUTED_VALUE"""),38657)</f>
        <v>38657</v>
      </c>
      <c r="J3431" s="2">
        <f ca="1">IFERROR(__xludf.DUMMYFUNCTION("""COMPUTED_VALUE"""),39021)</f>
        <v>39021</v>
      </c>
    </row>
    <row r="3432" spans="1:10" x14ac:dyDescent="0.25">
      <c r="A3432" s="1" t="str">
        <f ca="1">IFERROR(__xludf.DUMMYFUNCTION("""COMPUTED_VALUE"""),"Segesi DE")</f>
        <v>Segesi DE</v>
      </c>
      <c r="B3432" s="1" t="str">
        <f ca="1">IFERROR(__xludf.DUMMYFUNCTION("""COMPUTED_VALUE"""),"Baracsi Katalin")</f>
        <v>Baracsi Katalin</v>
      </c>
      <c r="C3432" s="1"/>
      <c r="D3432" s="1" t="str">
        <f ca="1">IFERROR(__xludf.DUMMYFUNCTION("""COMPUTED_VALUE"""),"Nő")</f>
        <v>Nő</v>
      </c>
      <c r="E3432" s="1"/>
      <c r="F3432" s="1">
        <f ca="1">IFERROR(__xludf.DUMMYFUNCTION("""COMPUTED_VALUE"""),1985)</f>
        <v>1985</v>
      </c>
      <c r="G3432" s="1">
        <f ca="1">IFERROR(__xludf.DUMMYFUNCTION("""COMPUTED_VALUE"""),56)</f>
        <v>56</v>
      </c>
      <c r="H3432" s="1" t="str">
        <f ca="1">IFERROR(__xludf.DUMMYFUNCTION("""COMPUTED_VALUE"""),"MTLSZ000056A05")</f>
        <v>MTLSZ000056A05</v>
      </c>
      <c r="I3432" s="2">
        <f ca="1">IFERROR(__xludf.DUMMYFUNCTION("""COMPUTED_VALUE"""),38651)</f>
        <v>38651</v>
      </c>
      <c r="J3432" s="2">
        <f ca="1">IFERROR(__xludf.DUMMYFUNCTION("""COMPUTED_VALUE"""),39015)</f>
        <v>39015</v>
      </c>
    </row>
    <row r="3433" spans="1:10" x14ac:dyDescent="0.25">
      <c r="A3433" s="1" t="str">
        <f ca="1">IFERROR(__xludf.DUMMYFUNCTION("""COMPUTED_VALUE"""),"HZSE")</f>
        <v>HZSE</v>
      </c>
      <c r="B3433" s="1" t="str">
        <f ca="1">IFERROR(__xludf.DUMMYFUNCTION("""COMPUTED_VALUE"""),"RolekTamás")</f>
        <v>RolekTamás</v>
      </c>
      <c r="C3433" s="1"/>
      <c r="D3433" s="1" t="str">
        <f ca="1">IFERROR(__xludf.DUMMYFUNCTION("""COMPUTED_VALUE"""),"Férfi")</f>
        <v>Férfi</v>
      </c>
      <c r="E3433" s="1"/>
      <c r="F3433" s="1">
        <f ca="1">IFERROR(__xludf.DUMMYFUNCTION("""COMPUTED_VALUE"""),1989)</f>
        <v>1989</v>
      </c>
      <c r="G3433" s="1">
        <f ca="1">IFERROR(__xludf.DUMMYFUNCTION("""COMPUTED_VALUE"""),1353)</f>
        <v>1353</v>
      </c>
      <c r="H3433" s="1" t="str">
        <f ca="1">IFERROR(__xludf.DUMMYFUNCTION("""COMPUTED_VALUE"""),"MTLSZ001353A05")</f>
        <v>MTLSZ001353A05</v>
      </c>
      <c r="I3433" s="2">
        <f ca="1">IFERROR(__xludf.DUMMYFUNCTION("""COMPUTED_VALUE"""),38645)</f>
        <v>38645</v>
      </c>
      <c r="J3433" s="2">
        <f ca="1">IFERROR(__xludf.DUMMYFUNCTION("""COMPUTED_VALUE"""),39009)</f>
        <v>39009</v>
      </c>
    </row>
    <row r="3434" spans="1:10" x14ac:dyDescent="0.25">
      <c r="A3434" s="1" t="str">
        <f ca="1">IFERROR(__xludf.DUMMYFUNCTION("""COMPUTED_VALUE"""),"Klébi DSE")</f>
        <v>Klébi DSE</v>
      </c>
      <c r="B3434" s="1" t="str">
        <f ca="1">IFERROR(__xludf.DUMMYFUNCTION("""COMPUTED_VALUE"""),"Czakó Péter")</f>
        <v>Czakó Péter</v>
      </c>
      <c r="C3434" s="1"/>
      <c r="D3434" s="1" t="str">
        <f ca="1">IFERROR(__xludf.DUMMYFUNCTION("""COMPUTED_VALUE"""),"Férfi")</f>
        <v>Férfi</v>
      </c>
      <c r="E3434" s="1"/>
      <c r="F3434" s="1">
        <f ca="1">IFERROR(__xludf.DUMMYFUNCTION("""COMPUTED_VALUE"""),1985)</f>
        <v>1985</v>
      </c>
      <c r="G3434" s="1">
        <f ca="1">IFERROR(__xludf.DUMMYFUNCTION("""COMPUTED_VALUE"""),1720)</f>
        <v>1720</v>
      </c>
      <c r="H3434" s="1" t="str">
        <f ca="1">IFERROR(__xludf.DUMMYFUNCTION("""COMPUTED_VALUE"""),"MTLSZ001720A05")</f>
        <v>MTLSZ001720A05</v>
      </c>
      <c r="I3434" s="2">
        <f ca="1">IFERROR(__xludf.DUMMYFUNCTION("""COMPUTED_VALUE"""),38645)</f>
        <v>38645</v>
      </c>
      <c r="J3434" s="2">
        <f ca="1">IFERROR(__xludf.DUMMYFUNCTION("""COMPUTED_VALUE"""),39009)</f>
        <v>39009</v>
      </c>
    </row>
    <row r="3435" spans="1:10" x14ac:dyDescent="0.25">
      <c r="A3435" s="1" t="str">
        <f ca="1">IFERROR(__xludf.DUMMYFUNCTION("""COMPUTED_VALUE"""),"Klébi DSE")</f>
        <v>Klébi DSE</v>
      </c>
      <c r="B3435" s="1" t="str">
        <f ca="1">IFERROR(__xludf.DUMMYFUNCTION("""COMPUTED_VALUE"""),"Skublics László")</f>
        <v>Skublics László</v>
      </c>
      <c r="C3435" s="1"/>
      <c r="D3435" s="1" t="str">
        <f ca="1">IFERROR(__xludf.DUMMYFUNCTION("""COMPUTED_VALUE"""),"Férfi")</f>
        <v>Férfi</v>
      </c>
      <c r="E3435" s="1"/>
      <c r="F3435" s="1">
        <f ca="1">IFERROR(__xludf.DUMMYFUNCTION("""COMPUTED_VALUE"""),1989)</f>
        <v>1989</v>
      </c>
      <c r="G3435" s="1">
        <f ca="1">IFERROR(__xludf.DUMMYFUNCTION("""COMPUTED_VALUE"""),1721)</f>
        <v>1721</v>
      </c>
      <c r="H3435" s="1" t="str">
        <f ca="1">IFERROR(__xludf.DUMMYFUNCTION("""COMPUTED_VALUE"""),"MTLSZ001721A05")</f>
        <v>MTLSZ001721A05</v>
      </c>
      <c r="I3435" s="2">
        <f ca="1">IFERROR(__xludf.DUMMYFUNCTION("""COMPUTED_VALUE"""),38645)</f>
        <v>38645</v>
      </c>
      <c r="J3435" s="2">
        <f ca="1">IFERROR(__xludf.DUMMYFUNCTION("""COMPUTED_VALUE"""),39009)</f>
        <v>39009</v>
      </c>
    </row>
    <row r="3436" spans="1:10" x14ac:dyDescent="0.25">
      <c r="A3436" s="1" t="str">
        <f ca="1">IFERROR(__xludf.DUMMYFUNCTION("""COMPUTED_VALUE"""),"Klébi DSE")</f>
        <v>Klébi DSE</v>
      </c>
      <c r="B3436" s="1" t="str">
        <f ca="1">IFERROR(__xludf.DUMMYFUNCTION("""COMPUTED_VALUE"""),"Strinni Bence")</f>
        <v>Strinni Bence</v>
      </c>
      <c r="C3436" s="1"/>
      <c r="D3436" s="1" t="str">
        <f ca="1">IFERROR(__xludf.DUMMYFUNCTION("""COMPUTED_VALUE"""),"Férfi")</f>
        <v>Férfi</v>
      </c>
      <c r="E3436" s="1"/>
      <c r="F3436" s="1">
        <f ca="1">IFERROR(__xludf.DUMMYFUNCTION("""COMPUTED_VALUE"""),1994)</f>
        <v>1994</v>
      </c>
      <c r="G3436" s="1">
        <f ca="1">IFERROR(__xludf.DUMMYFUNCTION("""COMPUTED_VALUE"""),1723)</f>
        <v>1723</v>
      </c>
      <c r="H3436" s="1" t="str">
        <f ca="1">IFERROR(__xludf.DUMMYFUNCTION("""COMPUTED_VALUE"""),"MTLSZ001723A05")</f>
        <v>MTLSZ001723A05</v>
      </c>
      <c r="I3436" s="2">
        <f ca="1">IFERROR(__xludf.DUMMYFUNCTION("""COMPUTED_VALUE"""),38645)</f>
        <v>38645</v>
      </c>
      <c r="J3436" s="2">
        <f ca="1">IFERROR(__xludf.DUMMYFUNCTION("""COMPUTED_VALUE"""),39009)</f>
        <v>39009</v>
      </c>
    </row>
    <row r="3437" spans="1:10" x14ac:dyDescent="0.25">
      <c r="A3437" s="1" t="str">
        <f ca="1">IFERROR(__xludf.DUMMYFUNCTION("""COMPUTED_VALUE"""),"Klébi DSE")</f>
        <v>Klébi DSE</v>
      </c>
      <c r="B3437" s="1" t="str">
        <f ca="1">IFERROR(__xludf.DUMMYFUNCTION("""COMPUTED_VALUE"""),"Szabó Iván")</f>
        <v>Szabó Iván</v>
      </c>
      <c r="C3437" s="1"/>
      <c r="D3437" s="1" t="str">
        <f ca="1">IFERROR(__xludf.DUMMYFUNCTION("""COMPUTED_VALUE"""),"Férfi")</f>
        <v>Férfi</v>
      </c>
      <c r="E3437" s="1"/>
      <c r="F3437" s="1">
        <f ca="1">IFERROR(__xludf.DUMMYFUNCTION("""COMPUTED_VALUE"""),1982)</f>
        <v>1982</v>
      </c>
      <c r="G3437" s="1">
        <f ca="1">IFERROR(__xludf.DUMMYFUNCTION("""COMPUTED_VALUE"""),894)</f>
        <v>894</v>
      </c>
      <c r="H3437" s="1" t="str">
        <f ca="1">IFERROR(__xludf.DUMMYFUNCTION("""COMPUTED_VALUE"""),"MTLSZ000894A05")</f>
        <v>MTLSZ000894A05</v>
      </c>
      <c r="I3437" s="2">
        <f ca="1">IFERROR(__xludf.DUMMYFUNCTION("""COMPUTED_VALUE"""),38645)</f>
        <v>38645</v>
      </c>
      <c r="J3437" s="2">
        <f ca="1">IFERROR(__xludf.DUMMYFUNCTION("""COMPUTED_VALUE"""),39009)</f>
        <v>39009</v>
      </c>
    </row>
    <row r="3438" spans="1:10" x14ac:dyDescent="0.25">
      <c r="A3438" s="1" t="str">
        <f ca="1">IFERROR(__xludf.DUMMYFUNCTION("""COMPUTED_VALUE"""),"Klébi DSE")</f>
        <v>Klébi DSE</v>
      </c>
      <c r="B3438" s="1" t="str">
        <f ca="1">IFERROR(__xludf.DUMMYFUNCTION("""COMPUTED_VALUE"""),"Szűcs Rebeka")</f>
        <v>Szűcs Rebeka</v>
      </c>
      <c r="C3438" s="1"/>
      <c r="D3438" s="1" t="str">
        <f ca="1">IFERROR(__xludf.DUMMYFUNCTION("""COMPUTED_VALUE"""),"Nő")</f>
        <v>Nő</v>
      </c>
      <c r="E3438" s="1"/>
      <c r="F3438" s="1">
        <f ca="1">IFERROR(__xludf.DUMMYFUNCTION("""COMPUTED_VALUE"""),1992)</f>
        <v>1992</v>
      </c>
      <c r="G3438" s="1">
        <f ca="1">IFERROR(__xludf.DUMMYFUNCTION("""COMPUTED_VALUE"""),1727)</f>
        <v>1727</v>
      </c>
      <c r="H3438" s="1" t="str">
        <f ca="1">IFERROR(__xludf.DUMMYFUNCTION("""COMPUTED_VALUE"""),"MTLSZ001727A05")</f>
        <v>MTLSZ001727A05</v>
      </c>
      <c r="I3438" s="2">
        <f ca="1">IFERROR(__xludf.DUMMYFUNCTION("""COMPUTED_VALUE"""),38645)</f>
        <v>38645</v>
      </c>
      <c r="J3438" s="2">
        <f ca="1">IFERROR(__xludf.DUMMYFUNCTION("""COMPUTED_VALUE"""),39009)</f>
        <v>39009</v>
      </c>
    </row>
    <row r="3439" spans="1:10" x14ac:dyDescent="0.25">
      <c r="A3439" s="1" t="str">
        <f ca="1">IFERROR(__xludf.DUMMYFUNCTION("""COMPUTED_VALUE"""),"Multi Alarm SE")</f>
        <v>Multi Alarm SE</v>
      </c>
      <c r="B3439" s="1" t="str">
        <f ca="1">IFERROR(__xludf.DUMMYFUNCTION("""COMPUTED_VALUE"""),"Hajdú Krisztina")</f>
        <v>Hajdú Krisztina</v>
      </c>
      <c r="C3439" s="1"/>
      <c r="D3439" s="1" t="str">
        <f ca="1">IFERROR(__xludf.DUMMYFUNCTION("""COMPUTED_VALUE"""),"Nő")</f>
        <v>Nő</v>
      </c>
      <c r="E3439" s="1"/>
      <c r="F3439" s="1">
        <f ca="1">IFERROR(__xludf.DUMMYFUNCTION("""COMPUTED_VALUE"""),1992)</f>
        <v>1992</v>
      </c>
      <c r="G3439" s="1">
        <f ca="1">IFERROR(__xludf.DUMMYFUNCTION("""COMPUTED_VALUE"""),1714)</f>
        <v>1714</v>
      </c>
      <c r="H3439" s="1" t="str">
        <f ca="1">IFERROR(__xludf.DUMMYFUNCTION("""COMPUTED_VALUE"""),"MTLSZ001714A05")</f>
        <v>MTLSZ001714A05</v>
      </c>
      <c r="I3439" s="2">
        <f ca="1">IFERROR(__xludf.DUMMYFUNCTION("""COMPUTED_VALUE"""),38645)</f>
        <v>38645</v>
      </c>
      <c r="J3439" s="2">
        <f ca="1">IFERROR(__xludf.DUMMYFUNCTION("""COMPUTED_VALUE"""),39009)</f>
        <v>39009</v>
      </c>
    </row>
    <row r="3440" spans="1:10" x14ac:dyDescent="0.25">
      <c r="A3440" s="1" t="str">
        <f ca="1">IFERROR(__xludf.DUMMYFUNCTION("""COMPUTED_VALUE"""),"Multi Alarm SE")</f>
        <v>Multi Alarm SE</v>
      </c>
      <c r="B3440" s="1" t="str">
        <f ca="1">IFERROR(__xludf.DUMMYFUNCTION("""COMPUTED_VALUE"""),"Walter Eva")</f>
        <v>Walter Eva</v>
      </c>
      <c r="C3440" s="1"/>
      <c r="D3440" s="1" t="str">
        <f ca="1">IFERROR(__xludf.DUMMYFUNCTION("""COMPUTED_VALUE"""),"Nő")</f>
        <v>Nő</v>
      </c>
      <c r="E3440" s="1"/>
      <c r="F3440" s="1">
        <f ca="1">IFERROR(__xludf.DUMMYFUNCTION("""COMPUTED_VALUE"""),1985)</f>
        <v>1985</v>
      </c>
      <c r="G3440" s="1">
        <f ca="1">IFERROR(__xludf.DUMMYFUNCTION("""COMPUTED_VALUE"""),1716)</f>
        <v>1716</v>
      </c>
      <c r="H3440" s="1" t="str">
        <f ca="1">IFERROR(__xludf.DUMMYFUNCTION("""COMPUTED_VALUE"""),"MTLSZ001716A05")</f>
        <v>MTLSZ001716A05</v>
      </c>
      <c r="I3440" s="2">
        <f ca="1">IFERROR(__xludf.DUMMYFUNCTION("""COMPUTED_VALUE"""),38645)</f>
        <v>38645</v>
      </c>
      <c r="J3440" s="2">
        <f ca="1">IFERROR(__xludf.DUMMYFUNCTION("""COMPUTED_VALUE"""),39009)</f>
        <v>39009</v>
      </c>
    </row>
    <row r="3441" spans="1:10" x14ac:dyDescent="0.25">
      <c r="A3441" s="1" t="str">
        <f ca="1">IFERROR(__xludf.DUMMYFUNCTION("""COMPUTED_VALUE"""),"MAFC")</f>
        <v>MAFC</v>
      </c>
      <c r="B3441" s="1" t="str">
        <f ca="1">IFERROR(__xludf.DUMMYFUNCTION("""COMPUTED_VALUE"""),"Jován Annamária")</f>
        <v>Jován Annamária</v>
      </c>
      <c r="C3441" s="1"/>
      <c r="D3441" s="1" t="str">
        <f ca="1">IFERROR(__xludf.DUMMYFUNCTION("""COMPUTED_VALUE"""),"Nő")</f>
        <v>Nő</v>
      </c>
      <c r="E3441" s="1"/>
      <c r="F3441" s="1">
        <f ca="1">IFERROR(__xludf.DUMMYFUNCTION("""COMPUTED_VALUE"""),1988)</f>
        <v>1988</v>
      </c>
      <c r="G3441" s="1">
        <f ca="1">IFERROR(__xludf.DUMMYFUNCTION("""COMPUTED_VALUE"""),414)</f>
        <v>414</v>
      </c>
      <c r="H3441" s="1" t="str">
        <f ca="1">IFERROR(__xludf.DUMMYFUNCTION("""COMPUTED_VALUE"""),"MTLSZ000414A05")</f>
        <v>MTLSZ000414A05</v>
      </c>
      <c r="I3441" s="2">
        <f ca="1">IFERROR(__xludf.DUMMYFUNCTION("""COMPUTED_VALUE"""),38644)</f>
        <v>38644</v>
      </c>
      <c r="J3441" s="2">
        <f ca="1">IFERROR(__xludf.DUMMYFUNCTION("""COMPUTED_VALUE"""),39008)</f>
        <v>39008</v>
      </c>
    </row>
    <row r="3442" spans="1:10" x14ac:dyDescent="0.25">
      <c r="A3442" s="1" t="str">
        <f ca="1">IFERROR(__xludf.DUMMYFUNCTION("""COMPUTED_VALUE"""),"Pedagógus Fáklya SE")</f>
        <v>Pedagógus Fáklya SE</v>
      </c>
      <c r="B3442" s="1" t="str">
        <f ca="1">IFERROR(__xludf.DUMMYFUNCTION("""COMPUTED_VALUE"""),"Deilinger Alexa")</f>
        <v>Deilinger Alexa</v>
      </c>
      <c r="C3442" s="1"/>
      <c r="D3442" s="1" t="str">
        <f ca="1">IFERROR(__xludf.DUMMYFUNCTION("""COMPUTED_VALUE"""),"Nő")</f>
        <v>Nő</v>
      </c>
      <c r="E3442" s="1"/>
      <c r="F3442" s="1">
        <f ca="1">IFERROR(__xludf.DUMMYFUNCTION("""COMPUTED_VALUE"""),1992)</f>
        <v>1992</v>
      </c>
      <c r="G3442" s="1">
        <f ca="1">IFERROR(__xludf.DUMMYFUNCTION("""COMPUTED_VALUE"""),1455)</f>
        <v>1455</v>
      </c>
      <c r="H3442" s="1" t="str">
        <f ca="1">IFERROR(__xludf.DUMMYFUNCTION("""COMPUTED_VALUE"""),"MTLSZ001455A05")</f>
        <v>MTLSZ001455A05</v>
      </c>
      <c r="I3442" s="2">
        <f ca="1">IFERROR(__xludf.DUMMYFUNCTION("""COMPUTED_VALUE"""),38644)</f>
        <v>38644</v>
      </c>
      <c r="J3442" s="2">
        <f ca="1">IFERROR(__xludf.DUMMYFUNCTION("""COMPUTED_VALUE"""),39008)</f>
        <v>39008</v>
      </c>
    </row>
    <row r="3443" spans="1:10" x14ac:dyDescent="0.25">
      <c r="A3443" s="1" t="str">
        <f ca="1">IFERROR(__xludf.DUMMYFUNCTION("""COMPUTED_VALUE"""),"Rosco SE")</f>
        <v>Rosco SE</v>
      </c>
      <c r="B3443" s="1" t="str">
        <f ca="1">IFERROR(__xludf.DUMMYFUNCTION("""COMPUTED_VALUE"""),"Borbás Eszter")</f>
        <v>Borbás Eszter</v>
      </c>
      <c r="C3443" s="1"/>
      <c r="D3443" s="1" t="str">
        <f ca="1">IFERROR(__xludf.DUMMYFUNCTION("""COMPUTED_VALUE"""),"Nő")</f>
        <v>Nő</v>
      </c>
      <c r="E3443" s="1"/>
      <c r="F3443" s="1">
        <f ca="1">IFERROR(__xludf.DUMMYFUNCTION("""COMPUTED_VALUE"""),1976)</f>
        <v>1976</v>
      </c>
      <c r="G3443" s="1">
        <f ca="1">IFERROR(__xludf.DUMMYFUNCTION("""COMPUTED_VALUE"""),99)</f>
        <v>99</v>
      </c>
      <c r="H3443" s="1" t="str">
        <f ca="1">IFERROR(__xludf.DUMMYFUNCTION("""COMPUTED_VALUE"""),"MTLSZ000099A05")</f>
        <v>MTLSZ000099A05</v>
      </c>
      <c r="I3443" s="2">
        <f ca="1">IFERROR(__xludf.DUMMYFUNCTION("""COMPUTED_VALUE"""),38637)</f>
        <v>38637</v>
      </c>
      <c r="J3443" s="2">
        <f ca="1">IFERROR(__xludf.DUMMYFUNCTION("""COMPUTED_VALUE"""),39001)</f>
        <v>39001</v>
      </c>
    </row>
    <row r="3444" spans="1:10" x14ac:dyDescent="0.25">
      <c r="A3444" s="1" t="str">
        <f ca="1">IFERROR(__xludf.DUMMYFUNCTION("""COMPUTED_VALUE"""),"Rosco SE")</f>
        <v>Rosco SE</v>
      </c>
      <c r="B3444" s="1" t="str">
        <f ca="1">IFERROR(__xludf.DUMMYFUNCTION("""COMPUTED_VALUE"""),"Szabó Balázs")</f>
        <v>Szabó Balázs</v>
      </c>
      <c r="C3444" s="1"/>
      <c r="D3444" s="1" t="str">
        <f ca="1">IFERROR(__xludf.DUMMYFUNCTION("""COMPUTED_VALUE"""),"Férfi")</f>
        <v>Férfi</v>
      </c>
      <c r="E3444" s="1"/>
      <c r="F3444" s="1">
        <f ca="1">IFERROR(__xludf.DUMMYFUNCTION("""COMPUTED_VALUE"""),1976)</f>
        <v>1976</v>
      </c>
      <c r="G3444" s="1">
        <f ca="1">IFERROR(__xludf.DUMMYFUNCTION("""COMPUTED_VALUE"""),882)</f>
        <v>882</v>
      </c>
      <c r="H3444" s="1" t="str">
        <f ca="1">IFERROR(__xludf.DUMMYFUNCTION("""COMPUTED_VALUE"""),"MTLSZ000882A05")</f>
        <v>MTLSZ000882A05</v>
      </c>
      <c r="I3444" s="2">
        <f ca="1">IFERROR(__xludf.DUMMYFUNCTION("""COMPUTED_VALUE"""),38637)</f>
        <v>38637</v>
      </c>
      <c r="J3444" s="2">
        <f ca="1">IFERROR(__xludf.DUMMYFUNCTION("""COMPUTED_VALUE"""),39001)</f>
        <v>39001</v>
      </c>
    </row>
    <row r="3445" spans="1:10" x14ac:dyDescent="0.25">
      <c r="A3445" s="1" t="str">
        <f ca="1">IFERROR(__xludf.DUMMYFUNCTION("""COMPUTED_VALUE"""),"Segesi DE")</f>
        <v>Segesi DE</v>
      </c>
      <c r="B3445" s="1" t="str">
        <f ca="1">IFERROR(__xludf.DUMMYFUNCTION("""COMPUTED_VALUE"""),"Leskó Zsuzsanna")</f>
        <v>Leskó Zsuzsanna</v>
      </c>
      <c r="C3445" s="1"/>
      <c r="D3445" s="1" t="str">
        <f ca="1">IFERROR(__xludf.DUMMYFUNCTION("""COMPUTED_VALUE"""),"Nő")</f>
        <v>Nő</v>
      </c>
      <c r="E3445" s="1"/>
      <c r="F3445" s="1">
        <f ca="1">IFERROR(__xludf.DUMMYFUNCTION("""COMPUTED_VALUE"""),1991)</f>
        <v>1991</v>
      </c>
      <c r="G3445" s="1">
        <f ca="1">IFERROR(__xludf.DUMMYFUNCTION("""COMPUTED_VALUE"""),1394)</f>
        <v>1394</v>
      </c>
      <c r="H3445" s="1" t="str">
        <f ca="1">IFERROR(__xludf.DUMMYFUNCTION("""COMPUTED_VALUE"""),"MTLSZ001394A05")</f>
        <v>MTLSZ001394A05</v>
      </c>
      <c r="I3445" s="2">
        <f ca="1">IFERROR(__xludf.DUMMYFUNCTION("""COMPUTED_VALUE"""),38637)</f>
        <v>38637</v>
      </c>
      <c r="J3445" s="2">
        <f ca="1">IFERROR(__xludf.DUMMYFUNCTION("""COMPUTED_VALUE"""),39001)</f>
        <v>39001</v>
      </c>
    </row>
    <row r="3446" spans="1:10" x14ac:dyDescent="0.25">
      <c r="A3446" s="1" t="str">
        <f ca="1">IFERROR(__xludf.DUMMYFUNCTION("""COMPUTED_VALUE"""),"Kilián Iskola DSE")</f>
        <v>Kilián Iskola DSE</v>
      </c>
      <c r="B3446" s="1" t="str">
        <f ca="1">IFERROR(__xludf.DUMMYFUNCTION("""COMPUTED_VALUE"""),"Vágenhoffer Bettina")</f>
        <v>Vágenhoffer Bettina</v>
      </c>
      <c r="C3446" s="1"/>
      <c r="D3446" s="1" t="str">
        <f ca="1">IFERROR(__xludf.DUMMYFUNCTION("""COMPUTED_VALUE"""),"Nő")</f>
        <v>Nő</v>
      </c>
      <c r="E3446" s="1"/>
      <c r="F3446" s="1">
        <f ca="1">IFERROR(__xludf.DUMMYFUNCTION("""COMPUTED_VALUE"""),1991)</f>
        <v>1991</v>
      </c>
      <c r="G3446" s="1">
        <f ca="1">IFERROR(__xludf.DUMMYFUNCTION("""COMPUTED_VALUE"""),1079)</f>
        <v>1079</v>
      </c>
      <c r="H3446" s="1" t="str">
        <f ca="1">IFERROR(__xludf.DUMMYFUNCTION("""COMPUTED_VALUE"""),"MTLSZ001079A05")</f>
        <v>MTLSZ001079A05</v>
      </c>
      <c r="I3446" s="2">
        <f ca="1">IFERROR(__xludf.DUMMYFUNCTION("""COMPUTED_VALUE"""),38636)</f>
        <v>38636</v>
      </c>
      <c r="J3446" s="2">
        <f ca="1">IFERROR(__xludf.DUMMYFUNCTION("""COMPUTED_VALUE"""),39000)</f>
        <v>39000</v>
      </c>
    </row>
    <row r="3447" spans="1:10" x14ac:dyDescent="0.25">
      <c r="A3447" s="1" t="str">
        <f ca="1">IFERROR(__xludf.DUMMYFUNCTION("""COMPUTED_VALUE"""),"Alba-Toll SE")</f>
        <v>Alba-Toll SE</v>
      </c>
      <c r="B3447" s="1" t="str">
        <f ca="1">IFERROR(__xludf.DUMMYFUNCTION("""COMPUTED_VALUE"""),"Lomoschitz Andrea")</f>
        <v>Lomoschitz Andrea</v>
      </c>
      <c r="C3447" s="1"/>
      <c r="D3447" s="1" t="str">
        <f ca="1">IFERROR(__xludf.DUMMYFUNCTION("""COMPUTED_VALUE"""),"Nő")</f>
        <v>Nő</v>
      </c>
      <c r="E3447" s="1"/>
      <c r="F3447" s="1">
        <f ca="1">IFERROR(__xludf.DUMMYFUNCTION("""COMPUTED_VALUE"""),1994)</f>
        <v>1994</v>
      </c>
      <c r="G3447" s="1">
        <f ca="1">IFERROR(__xludf.DUMMYFUNCTION("""COMPUTED_VALUE"""),1711)</f>
        <v>1711</v>
      </c>
      <c r="H3447" s="1" t="str">
        <f ca="1">IFERROR(__xludf.DUMMYFUNCTION("""COMPUTED_VALUE"""),"MTLSZ001711A05")</f>
        <v>MTLSZ001711A05</v>
      </c>
      <c r="I3447" s="2">
        <f ca="1">IFERROR(__xludf.DUMMYFUNCTION("""COMPUTED_VALUE"""),38631)</f>
        <v>38631</v>
      </c>
      <c r="J3447" s="2">
        <f ca="1">IFERROR(__xludf.DUMMYFUNCTION("""COMPUTED_VALUE"""),38995)</f>
        <v>38995</v>
      </c>
    </row>
    <row r="3448" spans="1:10" x14ac:dyDescent="0.25">
      <c r="A3448" s="1" t="str">
        <f ca="1">IFERROR(__xludf.DUMMYFUNCTION("""COMPUTED_VALUE"""),"Ságvári DSE")</f>
        <v>Ságvári DSE</v>
      </c>
      <c r="B3448" s="1" t="str">
        <f ca="1">IFERROR(__xludf.DUMMYFUNCTION("""COMPUTED_VALUE"""),"Ábrahám Zsolt")</f>
        <v>Ábrahám Zsolt</v>
      </c>
      <c r="C3448" s="1"/>
      <c r="D3448" s="1" t="str">
        <f ca="1">IFERROR(__xludf.DUMMYFUNCTION("""COMPUTED_VALUE"""),"Férfi")</f>
        <v>Férfi</v>
      </c>
      <c r="E3448" s="1"/>
      <c r="F3448" s="1">
        <f ca="1">IFERROR(__xludf.DUMMYFUNCTION("""COMPUTED_VALUE"""),1994)</f>
        <v>1994</v>
      </c>
      <c r="G3448" s="1">
        <f ca="1">IFERROR(__xludf.DUMMYFUNCTION("""COMPUTED_VALUE"""),1488)</f>
        <v>1488</v>
      </c>
      <c r="H3448" s="1" t="str">
        <f ca="1">IFERROR(__xludf.DUMMYFUNCTION("""COMPUTED_VALUE"""),"MTLSZ001488A05")</f>
        <v>MTLSZ001488A05</v>
      </c>
      <c r="I3448" s="2">
        <f ca="1">IFERROR(__xludf.DUMMYFUNCTION("""COMPUTED_VALUE"""),38631)</f>
        <v>38631</v>
      </c>
      <c r="J3448" s="2">
        <f ca="1">IFERROR(__xludf.DUMMYFUNCTION("""COMPUTED_VALUE"""),38995)</f>
        <v>38995</v>
      </c>
    </row>
    <row r="3449" spans="1:10" x14ac:dyDescent="0.25">
      <c r="A3449" s="1" t="str">
        <f ca="1">IFERROR(__xludf.DUMMYFUNCTION("""COMPUTED_VALUE"""),"Ságvári DSE")</f>
        <v>Ságvári DSE</v>
      </c>
      <c r="B3449" s="1" t="str">
        <f ca="1">IFERROR(__xludf.DUMMYFUNCTION("""COMPUTED_VALUE"""),"Bartha Anna Lenke")</f>
        <v>Bartha Anna Lenke</v>
      </c>
      <c r="C3449" s="1"/>
      <c r="D3449" s="1" t="str">
        <f ca="1">IFERROR(__xludf.DUMMYFUNCTION("""COMPUTED_VALUE"""),"Nő")</f>
        <v>Nő</v>
      </c>
      <c r="E3449" s="1"/>
      <c r="F3449" s="1">
        <f ca="1">IFERROR(__xludf.DUMMYFUNCTION("""COMPUTED_VALUE"""),1994)</f>
        <v>1994</v>
      </c>
      <c r="G3449" s="1">
        <f ca="1">IFERROR(__xludf.DUMMYFUNCTION("""COMPUTED_VALUE"""),1538)</f>
        <v>1538</v>
      </c>
      <c r="H3449" s="1" t="str">
        <f ca="1">IFERROR(__xludf.DUMMYFUNCTION("""COMPUTED_VALUE"""),"MTLSZ001538A05")</f>
        <v>MTLSZ001538A05</v>
      </c>
      <c r="I3449" s="2">
        <f ca="1">IFERROR(__xludf.DUMMYFUNCTION("""COMPUTED_VALUE"""),38631)</f>
        <v>38631</v>
      </c>
      <c r="J3449" s="2">
        <f ca="1">IFERROR(__xludf.DUMMYFUNCTION("""COMPUTED_VALUE"""),38995)</f>
        <v>38995</v>
      </c>
    </row>
    <row r="3450" spans="1:10" x14ac:dyDescent="0.25">
      <c r="A3450" s="1" t="str">
        <f ca="1">IFERROR(__xludf.DUMMYFUNCTION("""COMPUTED_VALUE"""),"Ságvári DSE")</f>
        <v>Ságvári DSE</v>
      </c>
      <c r="B3450" s="1" t="str">
        <f ca="1">IFERROR(__xludf.DUMMYFUNCTION("""COMPUTED_VALUE"""),"Hegedűs Béla")</f>
        <v>Hegedűs Béla</v>
      </c>
      <c r="C3450" s="1"/>
      <c r="D3450" s="1" t="str">
        <f ca="1">IFERROR(__xludf.DUMMYFUNCTION("""COMPUTED_VALUE"""),"Férfi")</f>
        <v>Férfi</v>
      </c>
      <c r="E3450" s="1"/>
      <c r="F3450" s="1">
        <f ca="1">IFERROR(__xludf.DUMMYFUNCTION("""COMPUTED_VALUE"""),1995)</f>
        <v>1995</v>
      </c>
      <c r="G3450" s="1">
        <f ca="1">IFERROR(__xludf.DUMMYFUNCTION("""COMPUTED_VALUE"""),1653)</f>
        <v>1653</v>
      </c>
      <c r="H3450" s="1" t="str">
        <f ca="1">IFERROR(__xludf.DUMMYFUNCTION("""COMPUTED_VALUE"""),"MTLSZ001653A05")</f>
        <v>MTLSZ001653A05</v>
      </c>
      <c r="I3450" s="2">
        <f ca="1">IFERROR(__xludf.DUMMYFUNCTION("""COMPUTED_VALUE"""),38631)</f>
        <v>38631</v>
      </c>
      <c r="J3450" s="2">
        <f ca="1">IFERROR(__xludf.DUMMYFUNCTION("""COMPUTED_VALUE"""),38995)</f>
        <v>38995</v>
      </c>
    </row>
    <row r="3451" spans="1:10" x14ac:dyDescent="0.25">
      <c r="A3451" s="1" t="str">
        <f ca="1">IFERROR(__xludf.DUMMYFUNCTION("""COMPUTED_VALUE"""),"Ságvári DSE")</f>
        <v>Ságvári DSE</v>
      </c>
      <c r="B3451" s="1" t="str">
        <f ca="1">IFERROR(__xludf.DUMMYFUNCTION("""COMPUTED_VALUE"""),"Tóth Péter")</f>
        <v>Tóth Péter</v>
      </c>
      <c r="C3451" s="1"/>
      <c r="D3451" s="1" t="str">
        <f ca="1">IFERROR(__xludf.DUMMYFUNCTION("""COMPUTED_VALUE"""),"Férfi")</f>
        <v>Férfi</v>
      </c>
      <c r="E3451" s="1"/>
      <c r="F3451" s="1">
        <f ca="1">IFERROR(__xludf.DUMMYFUNCTION("""COMPUTED_VALUE"""),1989)</f>
        <v>1989</v>
      </c>
      <c r="G3451" s="1">
        <f ca="1">IFERROR(__xludf.DUMMYFUNCTION("""COMPUTED_VALUE"""),1042)</f>
        <v>1042</v>
      </c>
      <c r="H3451" s="1" t="str">
        <f ca="1">IFERROR(__xludf.DUMMYFUNCTION("""COMPUTED_VALUE"""),"MTLSZ001042A05")</f>
        <v>MTLSZ001042A05</v>
      </c>
      <c r="I3451" s="2">
        <f ca="1">IFERROR(__xludf.DUMMYFUNCTION("""COMPUTED_VALUE"""),38631)</f>
        <v>38631</v>
      </c>
      <c r="J3451" s="2">
        <f ca="1">IFERROR(__xludf.DUMMYFUNCTION("""COMPUTED_VALUE"""),38995)</f>
        <v>38995</v>
      </c>
    </row>
    <row r="3452" spans="1:10" x14ac:dyDescent="0.25">
      <c r="A3452" s="1" t="str">
        <f ca="1">IFERROR(__xludf.DUMMYFUNCTION("""COMPUTED_VALUE"""),"Ságvári DSE")</f>
        <v>Ságvári DSE</v>
      </c>
      <c r="B3452" s="1" t="str">
        <f ca="1">IFERROR(__xludf.DUMMYFUNCTION("""COMPUTED_VALUE"""),"Tóth Sára")</f>
        <v>Tóth Sára</v>
      </c>
      <c r="C3452" s="1"/>
      <c r="D3452" s="1" t="str">
        <f ca="1">IFERROR(__xludf.DUMMYFUNCTION("""COMPUTED_VALUE"""),"Nő")</f>
        <v>Nő</v>
      </c>
      <c r="E3452" s="1"/>
      <c r="F3452" s="1">
        <f ca="1">IFERROR(__xludf.DUMMYFUNCTION("""COMPUTED_VALUE"""),1991)</f>
        <v>1991</v>
      </c>
      <c r="G3452" s="1">
        <f ca="1">IFERROR(__xludf.DUMMYFUNCTION("""COMPUTED_VALUE"""),1044)</f>
        <v>1044</v>
      </c>
      <c r="H3452" s="1" t="str">
        <f ca="1">IFERROR(__xludf.DUMMYFUNCTION("""COMPUTED_VALUE"""),"MTLSZ001044A05")</f>
        <v>MTLSZ001044A05</v>
      </c>
      <c r="I3452" s="2">
        <f ca="1">IFERROR(__xludf.DUMMYFUNCTION("""COMPUTED_VALUE"""),38631)</f>
        <v>38631</v>
      </c>
      <c r="J3452" s="2">
        <f ca="1">IFERROR(__xludf.DUMMYFUNCTION("""COMPUTED_VALUE"""),38995)</f>
        <v>38995</v>
      </c>
    </row>
    <row r="3453" spans="1:10" x14ac:dyDescent="0.25">
      <c r="A3453" s="1" t="str">
        <f ca="1">IFERROR(__xludf.DUMMYFUNCTION("""COMPUTED_VALUE"""),"Érdi VSE")</f>
        <v>Érdi VSE</v>
      </c>
      <c r="B3453" s="1" t="str">
        <f ca="1">IFERROR(__xludf.DUMMYFUNCTION("""COMPUTED_VALUE"""),"Szilágyi Bianka")</f>
        <v>Szilágyi Bianka</v>
      </c>
      <c r="C3453" s="1"/>
      <c r="D3453" s="1" t="str">
        <f ca="1">IFERROR(__xludf.DUMMYFUNCTION("""COMPUTED_VALUE"""),"Nő")</f>
        <v>Nő</v>
      </c>
      <c r="E3453" s="1"/>
      <c r="F3453" s="1">
        <f ca="1">IFERROR(__xludf.DUMMYFUNCTION("""COMPUTED_VALUE"""),1992)</f>
        <v>1992</v>
      </c>
      <c r="G3453" s="1">
        <f ca="1">IFERROR(__xludf.DUMMYFUNCTION("""COMPUTED_VALUE"""),1326)</f>
        <v>1326</v>
      </c>
      <c r="H3453" s="1" t="str">
        <f ca="1">IFERROR(__xludf.DUMMYFUNCTION("""COMPUTED_VALUE"""),"MTLSZ001326A05")</f>
        <v>MTLSZ001326A05</v>
      </c>
      <c r="I3453" s="2">
        <f ca="1">IFERROR(__xludf.DUMMYFUNCTION("""COMPUTED_VALUE"""),38629)</f>
        <v>38629</v>
      </c>
      <c r="J3453" s="2">
        <f ca="1">IFERROR(__xludf.DUMMYFUNCTION("""COMPUTED_VALUE"""),38993)</f>
        <v>38993</v>
      </c>
    </row>
    <row r="3454" spans="1:10" x14ac:dyDescent="0.25">
      <c r="A3454" s="1" t="str">
        <f ca="1">IFERROR(__xludf.DUMMYFUNCTION("""COMPUTED_VALUE"""),"HZSE")</f>
        <v>HZSE</v>
      </c>
      <c r="B3454" s="1" t="str">
        <f ca="1">IFERROR(__xludf.DUMMYFUNCTION("""COMPUTED_VALUE"""),"Retkes Györgyi")</f>
        <v>Retkes Györgyi</v>
      </c>
      <c r="C3454" s="1"/>
      <c r="D3454" s="1" t="str">
        <f ca="1">IFERROR(__xludf.DUMMYFUNCTION("""COMPUTED_VALUE"""),"Nő")</f>
        <v>Nő</v>
      </c>
      <c r="E3454" s="1"/>
      <c r="F3454" s="1">
        <f ca="1">IFERROR(__xludf.DUMMYFUNCTION("""COMPUTED_VALUE"""),1979)</f>
        <v>1979</v>
      </c>
      <c r="G3454" s="1">
        <f ca="1">IFERROR(__xludf.DUMMYFUNCTION("""COMPUTED_VALUE"""),807)</f>
        <v>807</v>
      </c>
      <c r="H3454" s="1" t="str">
        <f ca="1">IFERROR(__xludf.DUMMYFUNCTION("""COMPUTED_VALUE"""),"MTLSZ000807A05")</f>
        <v>MTLSZ000807A05</v>
      </c>
      <c r="I3454" s="2">
        <f ca="1">IFERROR(__xludf.DUMMYFUNCTION("""COMPUTED_VALUE"""),38625)</f>
        <v>38625</v>
      </c>
      <c r="J3454" s="2">
        <f ca="1">IFERROR(__xludf.DUMMYFUNCTION("""COMPUTED_VALUE"""),38989)</f>
        <v>38989</v>
      </c>
    </row>
    <row r="3455" spans="1:10" x14ac:dyDescent="0.25">
      <c r="A3455" s="1" t="str">
        <f ca="1">IFERROR(__xludf.DUMMYFUNCTION("""COMPUTED_VALUE"""),"MAFC")</f>
        <v>MAFC</v>
      </c>
      <c r="B3455" s="1" t="str">
        <f ca="1">IFERROR(__xludf.DUMMYFUNCTION("""COMPUTED_VALUE"""),"Bóta Zoltán")</f>
        <v>Bóta Zoltán</v>
      </c>
      <c r="C3455" s="1"/>
      <c r="D3455" s="1" t="str">
        <f ca="1">IFERROR(__xludf.DUMMYFUNCTION("""COMPUTED_VALUE"""),"Férfi")</f>
        <v>Férfi</v>
      </c>
      <c r="E3455" s="1"/>
      <c r="F3455" s="1">
        <f ca="1">IFERROR(__xludf.DUMMYFUNCTION("""COMPUTED_VALUE"""),1991)</f>
        <v>1991</v>
      </c>
      <c r="G3455" s="1">
        <f ca="1">IFERROR(__xludf.DUMMYFUNCTION("""COMPUTED_VALUE"""),1709)</f>
        <v>1709</v>
      </c>
      <c r="H3455" s="1" t="str">
        <f ca="1">IFERROR(__xludf.DUMMYFUNCTION("""COMPUTED_VALUE"""),"MTLSZ001709A05")</f>
        <v>MTLSZ001709A05</v>
      </c>
      <c r="I3455" s="2">
        <f ca="1">IFERROR(__xludf.DUMMYFUNCTION("""COMPUTED_VALUE"""),38623)</f>
        <v>38623</v>
      </c>
      <c r="J3455" s="2">
        <f ca="1">IFERROR(__xludf.DUMMYFUNCTION("""COMPUTED_VALUE"""),38987)</f>
        <v>38987</v>
      </c>
    </row>
    <row r="3456" spans="1:10" x14ac:dyDescent="0.25">
      <c r="A3456" s="1" t="str">
        <f ca="1">IFERROR(__xludf.DUMMYFUNCTION("""COMPUTED_VALUE"""),"Alba-Toll SE")</f>
        <v>Alba-Toll SE</v>
      </c>
      <c r="B3456" s="1" t="str">
        <f ca="1">IFERROR(__xludf.DUMMYFUNCTION("""COMPUTED_VALUE"""),"Csiszár Orsolya")</f>
        <v>Csiszár Orsolya</v>
      </c>
      <c r="C3456" s="1"/>
      <c r="D3456" s="1" t="str">
        <f ca="1">IFERROR(__xludf.DUMMYFUNCTION("""COMPUTED_VALUE"""),"Nő")</f>
        <v>Nő</v>
      </c>
      <c r="E3456" s="1"/>
      <c r="F3456" s="1">
        <f ca="1">IFERROR(__xludf.DUMMYFUNCTION("""COMPUTED_VALUE"""),1989)</f>
        <v>1989</v>
      </c>
      <c r="G3456" s="1">
        <f ca="1">IFERROR(__xludf.DUMMYFUNCTION("""COMPUTED_VALUE"""),1292)</f>
        <v>1292</v>
      </c>
      <c r="H3456" s="1" t="str">
        <f ca="1">IFERROR(__xludf.DUMMYFUNCTION("""COMPUTED_VALUE"""),"MTLSZ001292A05")</f>
        <v>MTLSZ001292A05</v>
      </c>
      <c r="I3456" s="2">
        <f ca="1">IFERROR(__xludf.DUMMYFUNCTION("""COMPUTED_VALUE"""),38622)</f>
        <v>38622</v>
      </c>
      <c r="J3456" s="2">
        <f ca="1">IFERROR(__xludf.DUMMYFUNCTION("""COMPUTED_VALUE"""),38986)</f>
        <v>38986</v>
      </c>
    </row>
    <row r="3457" spans="1:10" x14ac:dyDescent="0.25">
      <c r="A3457" s="1" t="str">
        <f ca="1">IFERROR(__xludf.DUMMYFUNCTION("""COMPUTED_VALUE"""),"Alba-Toll SE")</f>
        <v>Alba-Toll SE</v>
      </c>
      <c r="B3457" s="1" t="str">
        <f ca="1">IFERROR(__xludf.DUMMYFUNCTION("""COMPUTED_VALUE"""),"Dolmány Fanni")</f>
        <v>Dolmány Fanni</v>
      </c>
      <c r="C3457" s="1"/>
      <c r="D3457" s="1" t="str">
        <f ca="1">IFERROR(__xludf.DUMMYFUNCTION("""COMPUTED_VALUE"""),"Nő")</f>
        <v>Nő</v>
      </c>
      <c r="E3457" s="1"/>
      <c r="F3457" s="1">
        <f ca="1">IFERROR(__xludf.DUMMYFUNCTION("""COMPUTED_VALUE"""),1996)</f>
        <v>1996</v>
      </c>
      <c r="G3457" s="1">
        <f ca="1">IFERROR(__xludf.DUMMYFUNCTION("""COMPUTED_VALUE"""),1524)</f>
        <v>1524</v>
      </c>
      <c r="H3457" s="1" t="str">
        <f ca="1">IFERROR(__xludf.DUMMYFUNCTION("""COMPUTED_VALUE"""),"MTLSZ001524A05")</f>
        <v>MTLSZ001524A05</v>
      </c>
      <c r="I3457" s="2">
        <f ca="1">IFERROR(__xludf.DUMMYFUNCTION("""COMPUTED_VALUE"""),38622)</f>
        <v>38622</v>
      </c>
      <c r="J3457" s="2">
        <f ca="1">IFERROR(__xludf.DUMMYFUNCTION("""COMPUTED_VALUE"""),38986)</f>
        <v>38986</v>
      </c>
    </row>
    <row r="3458" spans="1:10" x14ac:dyDescent="0.25">
      <c r="A3458" s="1" t="str">
        <f ca="1">IFERROR(__xludf.DUMMYFUNCTION("""COMPUTED_VALUE"""),"Alba-Toll SE")</f>
        <v>Alba-Toll SE</v>
      </c>
      <c r="B3458" s="1" t="str">
        <f ca="1">IFERROR(__xludf.DUMMYFUNCTION("""COMPUTED_VALUE"""),"Iga Gergely")</f>
        <v>Iga Gergely</v>
      </c>
      <c r="C3458" s="1"/>
      <c r="D3458" s="1" t="str">
        <f ca="1">IFERROR(__xludf.DUMMYFUNCTION("""COMPUTED_VALUE"""),"Férfi")</f>
        <v>Férfi</v>
      </c>
      <c r="E3458" s="1"/>
      <c r="F3458" s="1">
        <f ca="1">IFERROR(__xludf.DUMMYFUNCTION("""COMPUTED_VALUE"""),1990)</f>
        <v>1990</v>
      </c>
      <c r="G3458" s="1">
        <f ca="1">IFERROR(__xludf.DUMMYFUNCTION("""COMPUTED_VALUE"""),393)</f>
        <v>393</v>
      </c>
      <c r="H3458" s="1" t="str">
        <f ca="1">IFERROR(__xludf.DUMMYFUNCTION("""COMPUTED_VALUE"""),"MTLSZ000393A05")</f>
        <v>MTLSZ000393A05</v>
      </c>
      <c r="I3458" s="2">
        <f ca="1">IFERROR(__xludf.DUMMYFUNCTION("""COMPUTED_VALUE"""),38622)</f>
        <v>38622</v>
      </c>
      <c r="J3458" s="2">
        <f ca="1">IFERROR(__xludf.DUMMYFUNCTION("""COMPUTED_VALUE"""),38986)</f>
        <v>38986</v>
      </c>
    </row>
    <row r="3459" spans="1:10" x14ac:dyDescent="0.25">
      <c r="A3459" s="1" t="str">
        <f ca="1">IFERROR(__xludf.DUMMYFUNCTION("""COMPUTED_VALUE"""),"Alba-Toll SE")</f>
        <v>Alba-Toll SE</v>
      </c>
      <c r="B3459" s="1" t="str">
        <f ca="1">IFERROR(__xludf.DUMMYFUNCTION("""COMPUTED_VALUE"""),"Tárnok Orsolya")</f>
        <v>Tárnok Orsolya</v>
      </c>
      <c r="C3459" s="1"/>
      <c r="D3459" s="1" t="str">
        <f ca="1">IFERROR(__xludf.DUMMYFUNCTION("""COMPUTED_VALUE"""),"Nő")</f>
        <v>Nő</v>
      </c>
      <c r="E3459" s="1"/>
      <c r="F3459" s="1">
        <f ca="1">IFERROR(__xludf.DUMMYFUNCTION("""COMPUTED_VALUE"""),1991)</f>
        <v>1991</v>
      </c>
      <c r="G3459" s="1">
        <f ca="1">IFERROR(__xludf.DUMMYFUNCTION("""COMPUTED_VALUE"""),1406)</f>
        <v>1406</v>
      </c>
      <c r="H3459" s="1" t="str">
        <f ca="1">IFERROR(__xludf.DUMMYFUNCTION("""COMPUTED_VALUE"""),"MTLSZ001406A05")</f>
        <v>MTLSZ001406A05</v>
      </c>
      <c r="I3459" s="2">
        <f ca="1">IFERROR(__xludf.DUMMYFUNCTION("""COMPUTED_VALUE"""),38622)</f>
        <v>38622</v>
      </c>
      <c r="J3459" s="2">
        <f ca="1">IFERROR(__xludf.DUMMYFUNCTION("""COMPUTED_VALUE"""),38986)</f>
        <v>38986</v>
      </c>
    </row>
    <row r="3460" spans="1:10" x14ac:dyDescent="0.25">
      <c r="A3460" s="1" t="str">
        <f ca="1">IFERROR(__xludf.DUMMYFUNCTION("""COMPUTED_VALUE"""),"MAFC")</f>
        <v>MAFC</v>
      </c>
      <c r="B3460" s="1" t="str">
        <f ca="1">IFERROR(__xludf.DUMMYFUNCTION("""COMPUTED_VALUE"""),"Kifor Tamás")</f>
        <v>Kifor Tamás</v>
      </c>
      <c r="C3460" s="1"/>
      <c r="D3460" s="1" t="str">
        <f ca="1">IFERROR(__xludf.DUMMYFUNCTION("""COMPUTED_VALUE"""),"Férfi")</f>
        <v>Férfi</v>
      </c>
      <c r="E3460" s="1"/>
      <c r="F3460" s="1">
        <f ca="1">IFERROR(__xludf.DUMMYFUNCTION("""COMPUTED_VALUE"""),1978)</f>
        <v>1978</v>
      </c>
      <c r="G3460" s="1">
        <f ca="1">IFERROR(__xludf.DUMMYFUNCTION("""COMPUTED_VALUE"""),1547)</f>
        <v>1547</v>
      </c>
      <c r="H3460" s="1" t="str">
        <f ca="1">IFERROR(__xludf.DUMMYFUNCTION("""COMPUTED_VALUE"""),"MTLSZ001547A05")</f>
        <v>MTLSZ001547A05</v>
      </c>
      <c r="I3460" s="2">
        <f ca="1">IFERROR(__xludf.DUMMYFUNCTION("""COMPUTED_VALUE"""),38621)</f>
        <v>38621</v>
      </c>
      <c r="J3460" s="2">
        <f ca="1">IFERROR(__xludf.DUMMYFUNCTION("""COMPUTED_VALUE"""),38985)</f>
        <v>38985</v>
      </c>
    </row>
    <row r="3461" spans="1:10" x14ac:dyDescent="0.25">
      <c r="A3461" s="1" t="str">
        <f ca="1">IFERROR(__xludf.DUMMYFUNCTION("""COMPUTED_VALUE"""),"Hevesi DSE")</f>
        <v>Hevesi DSE</v>
      </c>
      <c r="B3461" s="1" t="str">
        <f ca="1">IFERROR(__xludf.DUMMYFUNCTION("""COMPUTED_VALUE"""),"Bagdi Attila")</f>
        <v>Bagdi Attila</v>
      </c>
      <c r="C3461" s="1"/>
      <c r="D3461" s="1" t="str">
        <f ca="1">IFERROR(__xludf.DUMMYFUNCTION("""COMPUTED_VALUE"""),"Férfi")</f>
        <v>Férfi</v>
      </c>
      <c r="E3461" s="1"/>
      <c r="F3461" s="1">
        <f ca="1">IFERROR(__xludf.DUMMYFUNCTION("""COMPUTED_VALUE"""),1985)</f>
        <v>1985</v>
      </c>
      <c r="G3461" s="1">
        <f ca="1">IFERROR(__xludf.DUMMYFUNCTION("""COMPUTED_VALUE"""),23)</f>
        <v>23</v>
      </c>
      <c r="H3461" s="1" t="str">
        <f ca="1">IFERROR(__xludf.DUMMYFUNCTION("""COMPUTED_VALUE"""),"MTLSZ000023A05")</f>
        <v>MTLSZ000023A05</v>
      </c>
      <c r="I3461" s="2">
        <f ca="1">IFERROR(__xludf.DUMMYFUNCTION("""COMPUTED_VALUE"""),38611)</f>
        <v>38611</v>
      </c>
      <c r="J3461" s="2">
        <f ca="1">IFERROR(__xludf.DUMMYFUNCTION("""COMPUTED_VALUE"""),38975)</f>
        <v>38975</v>
      </c>
    </row>
    <row r="3462" spans="1:10" x14ac:dyDescent="0.25">
      <c r="A3462" s="1" t="str">
        <f ca="1">IFERROR(__xludf.DUMMYFUNCTION("""COMPUTED_VALUE"""),"Hevesi DSE")</f>
        <v>Hevesi DSE</v>
      </c>
      <c r="B3462" s="1" t="str">
        <f ca="1">IFERROR(__xludf.DUMMYFUNCTION("""COMPUTED_VALUE"""),"Bagdi Szabolcs")</f>
        <v>Bagdi Szabolcs</v>
      </c>
      <c r="C3462" s="1"/>
      <c r="D3462" s="1" t="str">
        <f ca="1">IFERROR(__xludf.DUMMYFUNCTION("""COMPUTED_VALUE"""),"Férfi")</f>
        <v>Férfi</v>
      </c>
      <c r="E3462" s="1"/>
      <c r="F3462" s="1">
        <f ca="1">IFERROR(__xludf.DUMMYFUNCTION("""COMPUTED_VALUE"""),1991)</f>
        <v>1991</v>
      </c>
      <c r="G3462" s="1">
        <f ca="1">IFERROR(__xludf.DUMMYFUNCTION("""COMPUTED_VALUE"""),24)</f>
        <v>24</v>
      </c>
      <c r="H3462" s="1" t="str">
        <f ca="1">IFERROR(__xludf.DUMMYFUNCTION("""COMPUTED_VALUE"""),"MTLSZ000024A05")</f>
        <v>MTLSZ000024A05</v>
      </c>
      <c r="I3462" s="2">
        <f ca="1">IFERROR(__xludf.DUMMYFUNCTION("""COMPUTED_VALUE"""),38611)</f>
        <v>38611</v>
      </c>
      <c r="J3462" s="2">
        <f ca="1">IFERROR(__xludf.DUMMYFUNCTION("""COMPUTED_VALUE"""),38975)</f>
        <v>38975</v>
      </c>
    </row>
    <row r="3463" spans="1:10" x14ac:dyDescent="0.25">
      <c r="A3463" s="1" t="str">
        <f ca="1">IFERROR(__xludf.DUMMYFUNCTION("""COMPUTED_VALUE"""),"Hevesi DSE")</f>
        <v>Hevesi DSE</v>
      </c>
      <c r="B3463" s="1" t="str">
        <f ca="1">IFERROR(__xludf.DUMMYFUNCTION("""COMPUTED_VALUE"""),"Lajer Emese")</f>
        <v>Lajer Emese</v>
      </c>
      <c r="C3463" s="1"/>
      <c r="D3463" s="1" t="str">
        <f ca="1">IFERROR(__xludf.DUMMYFUNCTION("""COMPUTED_VALUE"""),"Nő")</f>
        <v>Nő</v>
      </c>
      <c r="E3463" s="1"/>
      <c r="F3463" s="1">
        <f ca="1">IFERROR(__xludf.DUMMYFUNCTION("""COMPUTED_VALUE"""),1991)</f>
        <v>1991</v>
      </c>
      <c r="G3463" s="1">
        <f ca="1">IFERROR(__xludf.DUMMYFUNCTION("""COMPUTED_VALUE"""),564)</f>
        <v>564</v>
      </c>
      <c r="H3463" s="1" t="str">
        <f ca="1">IFERROR(__xludf.DUMMYFUNCTION("""COMPUTED_VALUE"""),"MTLSZ000564A05")</f>
        <v>MTLSZ000564A05</v>
      </c>
      <c r="I3463" s="2">
        <f ca="1">IFERROR(__xludf.DUMMYFUNCTION("""COMPUTED_VALUE"""),38611)</f>
        <v>38611</v>
      </c>
      <c r="J3463" s="2">
        <f ca="1">IFERROR(__xludf.DUMMYFUNCTION("""COMPUTED_VALUE"""),38975)</f>
        <v>38975</v>
      </c>
    </row>
    <row r="3464" spans="1:10" x14ac:dyDescent="0.25">
      <c r="A3464" s="1" t="str">
        <f ca="1">IFERROR(__xludf.DUMMYFUNCTION("""COMPUTED_VALUE"""),"Hevesi DSE")</f>
        <v>Hevesi DSE</v>
      </c>
      <c r="B3464" s="1" t="str">
        <f ca="1">IFERROR(__xludf.DUMMYFUNCTION("""COMPUTED_VALUE"""),"Marsi Roland")</f>
        <v>Marsi Roland</v>
      </c>
      <c r="C3464" s="1"/>
      <c r="D3464" s="1" t="str">
        <f ca="1">IFERROR(__xludf.DUMMYFUNCTION("""COMPUTED_VALUE"""),"Férfi")</f>
        <v>Férfi</v>
      </c>
      <c r="E3464" s="1"/>
      <c r="F3464" s="1">
        <f ca="1">IFERROR(__xludf.DUMMYFUNCTION("""COMPUTED_VALUE"""),1990)</f>
        <v>1990</v>
      </c>
      <c r="G3464" s="1">
        <f ca="1">IFERROR(__xludf.DUMMYFUNCTION("""COMPUTED_VALUE"""),622)</f>
        <v>622</v>
      </c>
      <c r="H3464" s="1" t="str">
        <f ca="1">IFERROR(__xludf.DUMMYFUNCTION("""COMPUTED_VALUE"""),"MTLSZ000622A05")</f>
        <v>MTLSZ000622A05</v>
      </c>
      <c r="I3464" s="2">
        <f ca="1">IFERROR(__xludf.DUMMYFUNCTION("""COMPUTED_VALUE"""),38611)</f>
        <v>38611</v>
      </c>
      <c r="J3464" s="2">
        <f ca="1">IFERROR(__xludf.DUMMYFUNCTION("""COMPUTED_VALUE"""),38975)</f>
        <v>38975</v>
      </c>
    </row>
    <row r="3465" spans="1:10" x14ac:dyDescent="0.25">
      <c r="A3465" s="1" t="str">
        <f ca="1">IFERROR(__xludf.DUMMYFUNCTION("""COMPUTED_VALUE"""),"Hevesi DSE")</f>
        <v>Hevesi DSE</v>
      </c>
      <c r="B3465" s="1" t="str">
        <f ca="1">IFERROR(__xludf.DUMMYFUNCTION("""COMPUTED_VALUE"""),"Patkó Gábor")</f>
        <v>Patkó Gábor</v>
      </c>
      <c r="C3465" s="1"/>
      <c r="D3465" s="1" t="str">
        <f ca="1">IFERROR(__xludf.DUMMYFUNCTION("""COMPUTED_VALUE"""),"Férfi")</f>
        <v>Férfi</v>
      </c>
      <c r="E3465" s="1"/>
      <c r="F3465" s="1">
        <f ca="1">IFERROR(__xludf.DUMMYFUNCTION("""COMPUTED_VALUE"""),1987)</f>
        <v>1987</v>
      </c>
      <c r="G3465" s="1">
        <f ca="1">IFERROR(__xludf.DUMMYFUNCTION("""COMPUTED_VALUE"""),761)</f>
        <v>761</v>
      </c>
      <c r="H3465" s="1" t="str">
        <f ca="1">IFERROR(__xludf.DUMMYFUNCTION("""COMPUTED_VALUE"""),"MTLSZ000761A05")</f>
        <v>MTLSZ000761A05</v>
      </c>
      <c r="I3465" s="2">
        <f ca="1">IFERROR(__xludf.DUMMYFUNCTION("""COMPUTED_VALUE"""),38611)</f>
        <v>38611</v>
      </c>
      <c r="J3465" s="2">
        <f ca="1">IFERROR(__xludf.DUMMYFUNCTION("""COMPUTED_VALUE"""),38975)</f>
        <v>38975</v>
      </c>
    </row>
    <row r="3466" spans="1:10" x14ac:dyDescent="0.25">
      <c r="A3466" s="1" t="str">
        <f ca="1">IFERROR(__xludf.DUMMYFUNCTION("""COMPUTED_VALUE"""),"Hevesi DSE")</f>
        <v>Hevesi DSE</v>
      </c>
      <c r="B3466" s="1" t="str">
        <f ca="1">IFERROR(__xludf.DUMMYFUNCTION("""COMPUTED_VALUE"""),"Vona Dóra")</f>
        <v>Vona Dóra</v>
      </c>
      <c r="C3466" s="1"/>
      <c r="D3466" s="1" t="str">
        <f ca="1">IFERROR(__xludf.DUMMYFUNCTION("""COMPUTED_VALUE"""),"Nő")</f>
        <v>Nő</v>
      </c>
      <c r="E3466" s="1"/>
      <c r="F3466" s="1">
        <f ca="1">IFERROR(__xludf.DUMMYFUNCTION("""COMPUTED_VALUE"""),1990)</f>
        <v>1990</v>
      </c>
      <c r="G3466" s="1">
        <f ca="1">IFERROR(__xludf.DUMMYFUNCTION("""COMPUTED_VALUE"""),1130)</f>
        <v>1130</v>
      </c>
      <c r="H3466" s="1" t="str">
        <f ca="1">IFERROR(__xludf.DUMMYFUNCTION("""COMPUTED_VALUE"""),"MTLSZ001130A05")</f>
        <v>MTLSZ001130A05</v>
      </c>
      <c r="I3466" s="2">
        <f ca="1">IFERROR(__xludf.DUMMYFUNCTION("""COMPUTED_VALUE"""),38611)</f>
        <v>38611</v>
      </c>
      <c r="J3466" s="2">
        <f ca="1">IFERROR(__xludf.DUMMYFUNCTION("""COMPUTED_VALUE"""),38975)</f>
        <v>38975</v>
      </c>
    </row>
    <row r="3467" spans="1:10" x14ac:dyDescent="0.25">
      <c r="A3467" s="1" t="str">
        <f ca="1">IFERROR(__xludf.DUMMYFUNCTION("""COMPUTED_VALUE"""),"Hevesi DSE")</f>
        <v>Hevesi DSE</v>
      </c>
      <c r="B3467" s="1" t="str">
        <f ca="1">IFERROR(__xludf.DUMMYFUNCTION("""COMPUTED_VALUE"""),"Vona Zsófia")</f>
        <v>Vona Zsófia</v>
      </c>
      <c r="C3467" s="1"/>
      <c r="D3467" s="1" t="str">
        <f ca="1">IFERROR(__xludf.DUMMYFUNCTION("""COMPUTED_VALUE"""),"Nő")</f>
        <v>Nő</v>
      </c>
      <c r="E3467" s="1"/>
      <c r="F3467" s="1">
        <f ca="1">IFERROR(__xludf.DUMMYFUNCTION("""COMPUTED_VALUE"""),1993)</f>
        <v>1993</v>
      </c>
      <c r="G3467" s="1">
        <f ca="1">IFERROR(__xludf.DUMMYFUNCTION("""COMPUTED_VALUE"""),1380)</f>
        <v>1380</v>
      </c>
      <c r="H3467" s="1" t="str">
        <f ca="1">IFERROR(__xludf.DUMMYFUNCTION("""COMPUTED_VALUE"""),"MTLSZ001380A05")</f>
        <v>MTLSZ001380A05</v>
      </c>
      <c r="I3467" s="2">
        <f ca="1">IFERROR(__xludf.DUMMYFUNCTION("""COMPUTED_VALUE"""),38611)</f>
        <v>38611</v>
      </c>
      <c r="J3467" s="2">
        <f ca="1">IFERROR(__xludf.DUMMYFUNCTION("""COMPUTED_VALUE"""),38975)</f>
        <v>38975</v>
      </c>
    </row>
    <row r="3468" spans="1:10" x14ac:dyDescent="0.25">
      <c r="A3468" s="1" t="str">
        <f ca="1">IFERROR(__xludf.DUMMYFUNCTION("""COMPUTED_VALUE"""),"Klébi DSE")</f>
        <v>Klébi DSE</v>
      </c>
      <c r="B3468" s="1" t="str">
        <f ca="1">IFERROR(__xludf.DUMMYFUNCTION("""COMPUTED_VALUE"""),"Róth Gergely")</f>
        <v>Róth Gergely</v>
      </c>
      <c r="C3468" s="1"/>
      <c r="D3468" s="1" t="str">
        <f ca="1">IFERROR(__xludf.DUMMYFUNCTION("""COMPUTED_VALUE"""),"Férfi")</f>
        <v>Férfi</v>
      </c>
      <c r="E3468" s="1"/>
      <c r="F3468" s="1">
        <f ca="1">IFERROR(__xludf.DUMMYFUNCTION("""COMPUTED_VALUE"""),1987)</f>
        <v>1987</v>
      </c>
      <c r="G3468" s="1">
        <f ca="1">IFERROR(__xludf.DUMMYFUNCTION("""COMPUTED_VALUE"""),817)</f>
        <v>817</v>
      </c>
      <c r="H3468" s="1" t="str">
        <f ca="1">IFERROR(__xludf.DUMMYFUNCTION("""COMPUTED_VALUE"""),"MTLSZ000817A05")</f>
        <v>MTLSZ000817A05</v>
      </c>
      <c r="I3468" s="2">
        <f ca="1">IFERROR(__xludf.DUMMYFUNCTION("""COMPUTED_VALUE"""),38602)</f>
        <v>38602</v>
      </c>
      <c r="J3468" s="2">
        <f ca="1">IFERROR(__xludf.DUMMYFUNCTION("""COMPUTED_VALUE"""),38966)</f>
        <v>38966</v>
      </c>
    </row>
    <row r="3469" spans="1:10" x14ac:dyDescent="0.25">
      <c r="A3469" s="1" t="str">
        <f ca="1">IFERROR(__xludf.DUMMYFUNCTION("""COMPUTED_VALUE"""),"Bodajki TSE")</f>
        <v>Bodajki TSE</v>
      </c>
      <c r="B3469" s="1" t="str">
        <f ca="1">IFERROR(__xludf.DUMMYFUNCTION("""COMPUTED_VALUE"""),"Györök Dorina")</f>
        <v>Györök Dorina</v>
      </c>
      <c r="C3469" s="1"/>
      <c r="D3469" s="1" t="str">
        <f ca="1">IFERROR(__xludf.DUMMYFUNCTION("""COMPUTED_VALUE"""),"Nő")</f>
        <v>Nő</v>
      </c>
      <c r="E3469" s="1"/>
      <c r="F3469" s="1">
        <f ca="1">IFERROR(__xludf.DUMMYFUNCTION("""COMPUTED_VALUE"""),1992)</f>
        <v>1992</v>
      </c>
      <c r="G3469" s="1">
        <f ca="1">IFERROR(__xludf.DUMMYFUNCTION("""COMPUTED_VALUE"""),1194)</f>
        <v>1194</v>
      </c>
      <c r="H3469" s="1" t="str">
        <f ca="1">IFERROR(__xludf.DUMMYFUNCTION("""COMPUTED_VALUE"""),"MTLSZ001194A05")</f>
        <v>MTLSZ001194A05</v>
      </c>
      <c r="I3469" s="2">
        <f ca="1">IFERROR(__xludf.DUMMYFUNCTION("""COMPUTED_VALUE"""),38597)</f>
        <v>38597</v>
      </c>
      <c r="J3469" s="2">
        <f ca="1">IFERROR(__xludf.DUMMYFUNCTION("""COMPUTED_VALUE"""),38961)</f>
        <v>38961</v>
      </c>
    </row>
    <row r="3470" spans="1:10" x14ac:dyDescent="0.25">
      <c r="A3470" s="1" t="str">
        <f ca="1">IFERROR(__xludf.DUMMYFUNCTION("""COMPUTED_VALUE"""),"Bodajki TSE")</f>
        <v>Bodajki TSE</v>
      </c>
      <c r="B3470" s="1" t="str">
        <f ca="1">IFERROR(__xludf.DUMMYFUNCTION("""COMPUTED_VALUE"""),"Kiss Tamás")</f>
        <v>Kiss Tamás</v>
      </c>
      <c r="C3470" s="1"/>
      <c r="D3470" s="1" t="str">
        <f ca="1">IFERROR(__xludf.DUMMYFUNCTION("""COMPUTED_VALUE"""),"Férfi")</f>
        <v>Férfi</v>
      </c>
      <c r="E3470" s="1"/>
      <c r="F3470" s="1">
        <f ca="1">IFERROR(__xludf.DUMMYFUNCTION("""COMPUTED_VALUE"""),1990)</f>
        <v>1990</v>
      </c>
      <c r="G3470" s="1">
        <f ca="1">IFERROR(__xludf.DUMMYFUNCTION("""COMPUTED_VALUE"""),492)</f>
        <v>492</v>
      </c>
      <c r="H3470" s="1" t="str">
        <f ca="1">IFERROR(__xludf.DUMMYFUNCTION("""COMPUTED_VALUE"""),"MTLSZ000492A05")</f>
        <v>MTLSZ000492A05</v>
      </c>
      <c r="I3470" s="2">
        <f ca="1">IFERROR(__xludf.DUMMYFUNCTION("""COMPUTED_VALUE"""),38597)</f>
        <v>38597</v>
      </c>
      <c r="J3470" s="2">
        <f ca="1">IFERROR(__xludf.DUMMYFUNCTION("""COMPUTED_VALUE"""),38961)</f>
        <v>38961</v>
      </c>
    </row>
    <row r="3471" spans="1:10" x14ac:dyDescent="0.25">
      <c r="A3471" s="1" t="str">
        <f ca="1">IFERROR(__xludf.DUMMYFUNCTION("""COMPUTED_VALUE"""),"Bodajki TSE")</f>
        <v>Bodajki TSE</v>
      </c>
      <c r="B3471" s="1" t="str">
        <f ca="1">IFERROR(__xludf.DUMMYFUNCTION("""COMPUTED_VALUE"""),"Piller József")</f>
        <v>Piller József</v>
      </c>
      <c r="C3471" s="1"/>
      <c r="D3471" s="1" t="str">
        <f ca="1">IFERROR(__xludf.DUMMYFUNCTION("""COMPUTED_VALUE"""),"Férfi")</f>
        <v>Férfi</v>
      </c>
      <c r="E3471" s="1"/>
      <c r="F3471" s="1">
        <f ca="1">IFERROR(__xludf.DUMMYFUNCTION("""COMPUTED_VALUE"""),1988)</f>
        <v>1988</v>
      </c>
      <c r="G3471" s="1">
        <f ca="1">IFERROR(__xludf.DUMMYFUNCTION("""COMPUTED_VALUE"""),773)</f>
        <v>773</v>
      </c>
      <c r="H3471" s="1" t="str">
        <f ca="1">IFERROR(__xludf.DUMMYFUNCTION("""COMPUTED_VALUE"""),"MTLSZ000773A05")</f>
        <v>MTLSZ000773A05</v>
      </c>
      <c r="I3471" s="2">
        <f ca="1">IFERROR(__xludf.DUMMYFUNCTION("""COMPUTED_VALUE"""),38597)</f>
        <v>38597</v>
      </c>
      <c r="J3471" s="2">
        <f ca="1">IFERROR(__xludf.DUMMYFUNCTION("""COMPUTED_VALUE"""),38961)</f>
        <v>38961</v>
      </c>
    </row>
    <row r="3472" spans="1:10" x14ac:dyDescent="0.25">
      <c r="A3472" s="1" t="str">
        <f ca="1">IFERROR(__xludf.DUMMYFUNCTION("""COMPUTED_VALUE"""),"Bodajki TSE")</f>
        <v>Bodajki TSE</v>
      </c>
      <c r="B3472" s="1" t="str">
        <f ca="1">IFERROR(__xludf.DUMMYFUNCTION("""COMPUTED_VALUE"""),"Rajos Viktória")</f>
        <v>Rajos Viktória</v>
      </c>
      <c r="C3472" s="1"/>
      <c r="D3472" s="1" t="str">
        <f ca="1">IFERROR(__xludf.DUMMYFUNCTION("""COMPUTED_VALUE"""),"Nő")</f>
        <v>Nő</v>
      </c>
      <c r="E3472" s="1"/>
      <c r="F3472" s="1">
        <f ca="1">IFERROR(__xludf.DUMMYFUNCTION("""COMPUTED_VALUE"""),1989)</f>
        <v>1989</v>
      </c>
      <c r="G3472" s="1">
        <f ca="1">IFERROR(__xludf.DUMMYFUNCTION("""COMPUTED_VALUE"""),798)</f>
        <v>798</v>
      </c>
      <c r="H3472" s="1" t="str">
        <f ca="1">IFERROR(__xludf.DUMMYFUNCTION("""COMPUTED_VALUE"""),"MTLSZ000798A05")</f>
        <v>MTLSZ000798A05</v>
      </c>
      <c r="I3472" s="2">
        <f ca="1">IFERROR(__xludf.DUMMYFUNCTION("""COMPUTED_VALUE"""),38597)</f>
        <v>38597</v>
      </c>
      <c r="J3472" s="2">
        <f ca="1">IFERROR(__xludf.DUMMYFUNCTION("""COMPUTED_VALUE"""),38961)</f>
        <v>38961</v>
      </c>
    </row>
    <row r="3473" spans="1:10" x14ac:dyDescent="0.25">
      <c r="A3473" s="1" t="str">
        <f ca="1">IFERROR(__xludf.DUMMYFUNCTION("""COMPUTED_VALUE"""),"Gyöngyösoroszi SK")</f>
        <v>Gyöngyösoroszi SK</v>
      </c>
      <c r="B3473" s="1" t="str">
        <f ca="1">IFERROR(__xludf.DUMMYFUNCTION("""COMPUTED_VALUE"""),"Kovács Letícia")</f>
        <v>Kovács Letícia</v>
      </c>
      <c r="C3473" s="1"/>
      <c r="D3473" s="1" t="str">
        <f ca="1">IFERROR(__xludf.DUMMYFUNCTION("""COMPUTED_VALUE"""),"Nő")</f>
        <v>Nő</v>
      </c>
      <c r="E3473" s="1"/>
      <c r="F3473" s="1">
        <f ca="1">IFERROR(__xludf.DUMMYFUNCTION("""COMPUTED_VALUE"""),1995)</f>
        <v>1995</v>
      </c>
      <c r="G3473" s="1">
        <f ca="1">IFERROR(__xludf.DUMMYFUNCTION("""COMPUTED_VALUE"""),1535)</f>
        <v>1535</v>
      </c>
      <c r="H3473" s="1" t="str">
        <f ca="1">IFERROR(__xludf.DUMMYFUNCTION("""COMPUTED_VALUE"""),"MTLSZ001535A05")</f>
        <v>MTLSZ001535A05</v>
      </c>
      <c r="I3473" s="2">
        <f ca="1">IFERROR(__xludf.DUMMYFUNCTION("""COMPUTED_VALUE"""),38587)</f>
        <v>38587</v>
      </c>
      <c r="J3473" s="2">
        <f ca="1">IFERROR(__xludf.DUMMYFUNCTION("""COMPUTED_VALUE"""),38951)</f>
        <v>38951</v>
      </c>
    </row>
    <row r="3474" spans="1:10" x14ac:dyDescent="0.25">
      <c r="A3474" s="1" t="str">
        <f ca="1">IFERROR(__xludf.DUMMYFUNCTION("""COMPUTED_VALUE"""),"Gyöngyösoroszi SK")</f>
        <v>Gyöngyösoroszi SK</v>
      </c>
      <c r="B3474" s="1" t="str">
        <f ca="1">IFERROR(__xludf.DUMMYFUNCTION("""COMPUTED_VALUE"""),"Tóth Rajmond")</f>
        <v>Tóth Rajmond</v>
      </c>
      <c r="C3474" s="1"/>
      <c r="D3474" s="1" t="str">
        <f ca="1">IFERROR(__xludf.DUMMYFUNCTION("""COMPUTED_VALUE"""),"Férfi")</f>
        <v>Férfi</v>
      </c>
      <c r="E3474" s="1"/>
      <c r="F3474" s="1">
        <f ca="1">IFERROR(__xludf.DUMMYFUNCTION("""COMPUTED_VALUE"""),1992)</f>
        <v>1992</v>
      </c>
      <c r="G3474" s="1">
        <f ca="1">IFERROR(__xludf.DUMMYFUNCTION("""COMPUTED_VALUE"""),1043)</f>
        <v>1043</v>
      </c>
      <c r="H3474" s="1" t="str">
        <f ca="1">IFERROR(__xludf.DUMMYFUNCTION("""COMPUTED_VALUE"""),"MTLSZ001043A05")</f>
        <v>MTLSZ001043A05</v>
      </c>
      <c r="I3474" s="2">
        <f ca="1">IFERROR(__xludf.DUMMYFUNCTION("""COMPUTED_VALUE"""),38587)</f>
        <v>38587</v>
      </c>
      <c r="J3474" s="2">
        <f ca="1">IFERROR(__xludf.DUMMYFUNCTION("""COMPUTED_VALUE"""),38951)</f>
        <v>38951</v>
      </c>
    </row>
    <row r="3475" spans="1:10" x14ac:dyDescent="0.25">
      <c r="A3475" s="1" t="str">
        <f ca="1">IFERROR(__xludf.DUMMYFUNCTION("""COMPUTED_VALUE"""),"Universitas SC")</f>
        <v>Universitas SC</v>
      </c>
      <c r="B3475" s="1" t="str">
        <f ca="1">IFERROR(__xludf.DUMMYFUNCTION("""COMPUTED_VALUE"""),"Lele János")</f>
        <v>Lele János</v>
      </c>
      <c r="C3475" s="1"/>
      <c r="D3475" s="1" t="str">
        <f ca="1">IFERROR(__xludf.DUMMYFUNCTION("""COMPUTED_VALUE"""),"Férfi")</f>
        <v>Férfi</v>
      </c>
      <c r="E3475" s="1"/>
      <c r="F3475" s="1">
        <f ca="1">IFERROR(__xludf.DUMMYFUNCTION("""COMPUTED_VALUE"""),1980)</f>
        <v>1980</v>
      </c>
      <c r="G3475" s="1">
        <f ca="1">IFERROR(__xludf.DUMMYFUNCTION("""COMPUTED_VALUE"""),1241)</f>
        <v>1241</v>
      </c>
      <c r="H3475" s="1" t="str">
        <f ca="1">IFERROR(__xludf.DUMMYFUNCTION("""COMPUTED_VALUE"""),"MTLSZ001241A05")</f>
        <v>MTLSZ001241A05</v>
      </c>
      <c r="I3475" s="2">
        <f ca="1">IFERROR(__xludf.DUMMYFUNCTION("""COMPUTED_VALUE"""),38575)</f>
        <v>38575</v>
      </c>
      <c r="J3475" s="2">
        <f ca="1">IFERROR(__xludf.DUMMYFUNCTION("""COMPUTED_VALUE"""),38939)</f>
        <v>38939</v>
      </c>
    </row>
    <row r="3476" spans="1:10" x14ac:dyDescent="0.25">
      <c r="A3476" s="1" t="str">
        <f ca="1">IFERROR(__xludf.DUMMYFUNCTION("""COMPUTED_VALUE"""),"Zsombói SE")</f>
        <v>Zsombói SE</v>
      </c>
      <c r="B3476" s="1" t="str">
        <f ca="1">IFERROR(__xludf.DUMMYFUNCTION("""COMPUTED_VALUE"""),"Csanák Blanka")</f>
        <v>Csanák Blanka</v>
      </c>
      <c r="C3476" s="1"/>
      <c r="D3476" s="1" t="str">
        <f ca="1">IFERROR(__xludf.DUMMYFUNCTION("""COMPUTED_VALUE"""),"Nő")</f>
        <v>Nő</v>
      </c>
      <c r="E3476" s="1"/>
      <c r="F3476" s="1">
        <f ca="1">IFERROR(__xludf.DUMMYFUNCTION("""COMPUTED_VALUE"""),1994)</f>
        <v>1994</v>
      </c>
      <c r="G3476" s="1">
        <f ca="1">IFERROR(__xludf.DUMMYFUNCTION("""COMPUTED_VALUE"""),1689)</f>
        <v>1689</v>
      </c>
      <c r="H3476" s="1" t="str">
        <f ca="1">IFERROR(__xludf.DUMMYFUNCTION("""COMPUTED_VALUE"""),"MTLSZ001689A05")</f>
        <v>MTLSZ001689A05</v>
      </c>
      <c r="I3476" s="2">
        <f ca="1">IFERROR(__xludf.DUMMYFUNCTION("""COMPUTED_VALUE"""),38495)</f>
        <v>38495</v>
      </c>
      <c r="J3476" s="2">
        <f ca="1">IFERROR(__xludf.DUMMYFUNCTION("""COMPUTED_VALUE"""),38859)</f>
        <v>38859</v>
      </c>
    </row>
    <row r="3477" spans="1:10" x14ac:dyDescent="0.25">
      <c r="A3477" s="1" t="str">
        <f ca="1">IFERROR(__xludf.DUMMYFUNCTION("""COMPUTED_VALUE"""),"Zsombói SE")</f>
        <v>Zsombói SE</v>
      </c>
      <c r="B3477" s="1" t="str">
        <f ca="1">IFERROR(__xludf.DUMMYFUNCTION("""COMPUTED_VALUE"""),"Juhász Renáta")</f>
        <v>Juhász Renáta</v>
      </c>
      <c r="C3477" s="1"/>
      <c r="D3477" s="1" t="str">
        <f ca="1">IFERROR(__xludf.DUMMYFUNCTION("""COMPUTED_VALUE"""),"Nő")</f>
        <v>Nő</v>
      </c>
      <c r="E3477" s="1"/>
      <c r="F3477" s="1">
        <f ca="1">IFERROR(__xludf.DUMMYFUNCTION("""COMPUTED_VALUE"""),1987)</f>
        <v>1987</v>
      </c>
      <c r="G3477" s="1">
        <f ca="1">IFERROR(__xludf.DUMMYFUNCTION("""COMPUTED_VALUE"""),1688)</f>
        <v>1688</v>
      </c>
      <c r="H3477" s="1" t="str">
        <f ca="1">IFERROR(__xludf.DUMMYFUNCTION("""COMPUTED_VALUE"""),"MTLSZ001688A05")</f>
        <v>MTLSZ001688A05</v>
      </c>
      <c r="I3477" s="2">
        <f ca="1">IFERROR(__xludf.DUMMYFUNCTION("""COMPUTED_VALUE"""),38495)</f>
        <v>38495</v>
      </c>
      <c r="J3477" s="2">
        <f ca="1">IFERROR(__xludf.DUMMYFUNCTION("""COMPUTED_VALUE"""),38859)</f>
        <v>38859</v>
      </c>
    </row>
    <row r="3478" spans="1:10" x14ac:dyDescent="0.25">
      <c r="A3478" s="1" t="str">
        <f ca="1">IFERROR(__xludf.DUMMYFUNCTION("""COMPUTED_VALUE"""),"Zsombói SE")</f>
        <v>Zsombói SE</v>
      </c>
      <c r="B3478" s="1" t="str">
        <f ca="1">IFERROR(__xludf.DUMMYFUNCTION("""COMPUTED_VALUE"""),"Maróti Mónika")</f>
        <v>Maróti Mónika</v>
      </c>
      <c r="C3478" s="1"/>
      <c r="D3478" s="1" t="str">
        <f ca="1">IFERROR(__xludf.DUMMYFUNCTION("""COMPUTED_VALUE"""),"Nő")</f>
        <v>Nő</v>
      </c>
      <c r="E3478" s="1"/>
      <c r="F3478" s="1">
        <f ca="1">IFERROR(__xludf.DUMMYFUNCTION("""COMPUTED_VALUE"""),1992)</f>
        <v>1992</v>
      </c>
      <c r="G3478" s="1">
        <f ca="1">IFERROR(__xludf.DUMMYFUNCTION("""COMPUTED_VALUE"""),1691)</f>
        <v>1691</v>
      </c>
      <c r="H3478" s="1" t="str">
        <f ca="1">IFERROR(__xludf.DUMMYFUNCTION("""COMPUTED_VALUE"""),"MTLSZ001691A05")</f>
        <v>MTLSZ001691A05</v>
      </c>
      <c r="I3478" s="2">
        <f ca="1">IFERROR(__xludf.DUMMYFUNCTION("""COMPUTED_VALUE"""),38495)</f>
        <v>38495</v>
      </c>
      <c r="J3478" s="2">
        <f ca="1">IFERROR(__xludf.DUMMYFUNCTION("""COMPUTED_VALUE"""),38859)</f>
        <v>38859</v>
      </c>
    </row>
    <row r="3479" spans="1:10" x14ac:dyDescent="0.25">
      <c r="A3479" s="1" t="str">
        <f ca="1">IFERROR(__xludf.DUMMYFUNCTION("""COMPUTED_VALUE"""),"Zsombói SE")</f>
        <v>Zsombói SE</v>
      </c>
      <c r="B3479" s="1" t="str">
        <f ca="1">IFERROR(__xludf.DUMMYFUNCTION("""COMPUTED_VALUE"""),"Vörös Klaudia")</f>
        <v>Vörös Klaudia</v>
      </c>
      <c r="C3479" s="1"/>
      <c r="D3479" s="1" t="str">
        <f ca="1">IFERROR(__xludf.DUMMYFUNCTION("""COMPUTED_VALUE"""),"Nő")</f>
        <v>Nő</v>
      </c>
      <c r="E3479" s="1"/>
      <c r="F3479" s="1">
        <f ca="1">IFERROR(__xludf.DUMMYFUNCTION("""COMPUTED_VALUE"""),1994)</f>
        <v>1994</v>
      </c>
      <c r="G3479" s="1">
        <f ca="1">IFERROR(__xludf.DUMMYFUNCTION("""COMPUTED_VALUE"""),1692)</f>
        <v>1692</v>
      </c>
      <c r="H3479" s="1" t="str">
        <f ca="1">IFERROR(__xludf.DUMMYFUNCTION("""COMPUTED_VALUE"""),"MTLSZ001692A05")</f>
        <v>MTLSZ001692A05</v>
      </c>
      <c r="I3479" s="2">
        <f ca="1">IFERROR(__xludf.DUMMYFUNCTION("""COMPUTED_VALUE"""),38495)</f>
        <v>38495</v>
      </c>
      <c r="J3479" s="2">
        <f ca="1">IFERROR(__xludf.DUMMYFUNCTION("""COMPUTED_VALUE"""),38859)</f>
        <v>38859</v>
      </c>
    </row>
    <row r="3480" spans="1:10" x14ac:dyDescent="0.25">
      <c r="A3480" s="1" t="str">
        <f ca="1">IFERROR(__xludf.DUMMYFUNCTION("""COMPUTED_VALUE"""),"DSC-SI")</f>
        <v>DSC-SI</v>
      </c>
      <c r="B3480" s="1" t="str">
        <f ca="1">IFERROR(__xludf.DUMMYFUNCTION("""COMPUTED_VALUE"""),"Árnyas Petra")</f>
        <v>Árnyas Petra</v>
      </c>
      <c r="C3480" s="1"/>
      <c r="D3480" s="1" t="str">
        <f ca="1">IFERROR(__xludf.DUMMYFUNCTION("""COMPUTED_VALUE"""),"Nő")</f>
        <v>Nő</v>
      </c>
      <c r="E3480" s="1"/>
      <c r="F3480" s="1">
        <f ca="1">IFERROR(__xludf.DUMMYFUNCTION("""COMPUTED_VALUE"""),1994)</f>
        <v>1994</v>
      </c>
      <c r="G3480" s="1">
        <f ca="1">IFERROR(__xludf.DUMMYFUNCTION("""COMPUTED_VALUE"""),1681)</f>
        <v>1681</v>
      </c>
      <c r="H3480" s="1" t="str">
        <f ca="1">IFERROR(__xludf.DUMMYFUNCTION("""COMPUTED_VALUE"""),"MTLSZ001681A05")</f>
        <v>MTLSZ001681A05</v>
      </c>
      <c r="I3480" s="2">
        <f ca="1">IFERROR(__xludf.DUMMYFUNCTION("""COMPUTED_VALUE"""),38475)</f>
        <v>38475</v>
      </c>
      <c r="J3480" s="2">
        <f ca="1">IFERROR(__xludf.DUMMYFUNCTION("""COMPUTED_VALUE"""),38839)</f>
        <v>38839</v>
      </c>
    </row>
    <row r="3481" spans="1:10" x14ac:dyDescent="0.25">
      <c r="A3481" s="1" t="str">
        <f ca="1">IFERROR(__xludf.DUMMYFUNCTION("""COMPUTED_VALUE"""),"Danubius KSE")</f>
        <v>Danubius KSE</v>
      </c>
      <c r="B3481" s="1" t="str">
        <f ca="1">IFERROR(__xludf.DUMMYFUNCTION("""COMPUTED_VALUE"""),"Erdélyi Szabolcs")</f>
        <v>Erdélyi Szabolcs</v>
      </c>
      <c r="C3481" s="1"/>
      <c r="D3481" s="1" t="str">
        <f ca="1">IFERROR(__xludf.DUMMYFUNCTION("""COMPUTED_VALUE"""),"Férfi")</f>
        <v>Férfi</v>
      </c>
      <c r="E3481" s="1"/>
      <c r="F3481" s="1">
        <f ca="1">IFERROR(__xludf.DUMMYFUNCTION("""COMPUTED_VALUE"""),1995)</f>
        <v>1995</v>
      </c>
      <c r="G3481" s="1">
        <f ca="1">IFERROR(__xludf.DUMMYFUNCTION("""COMPUTED_VALUE"""),1674)</f>
        <v>1674</v>
      </c>
      <c r="H3481" s="1" t="str">
        <f ca="1">IFERROR(__xludf.DUMMYFUNCTION("""COMPUTED_VALUE"""),"MTLSZ001674A05")</f>
        <v>MTLSZ001674A05</v>
      </c>
      <c r="I3481" s="2">
        <f ca="1">IFERROR(__xludf.DUMMYFUNCTION("""COMPUTED_VALUE"""),38463)</f>
        <v>38463</v>
      </c>
      <c r="J3481" s="2">
        <f ca="1">IFERROR(__xludf.DUMMYFUNCTION("""COMPUTED_VALUE"""),38827)</f>
        <v>38827</v>
      </c>
    </row>
    <row r="3482" spans="1:10" x14ac:dyDescent="0.25">
      <c r="A3482" s="1" t="str">
        <f ca="1">IFERROR(__xludf.DUMMYFUNCTION("""COMPUTED_VALUE"""),"Danubius KSE")</f>
        <v>Danubius KSE</v>
      </c>
      <c r="B3482" s="1" t="str">
        <f ca="1">IFERROR(__xludf.DUMMYFUNCTION("""COMPUTED_VALUE"""),"Szatmári Krisztián")</f>
        <v>Szatmári Krisztián</v>
      </c>
      <c r="C3482" s="1"/>
      <c r="D3482" s="1" t="str">
        <f ca="1">IFERROR(__xludf.DUMMYFUNCTION("""COMPUTED_VALUE"""),"Férfi")</f>
        <v>Férfi</v>
      </c>
      <c r="E3482" s="1"/>
      <c r="F3482" s="1">
        <f ca="1">IFERROR(__xludf.DUMMYFUNCTION("""COMPUTED_VALUE"""),1994)</f>
        <v>1994</v>
      </c>
      <c r="G3482" s="1">
        <f ca="1">IFERROR(__xludf.DUMMYFUNCTION("""COMPUTED_VALUE"""),1675)</f>
        <v>1675</v>
      </c>
      <c r="H3482" s="1" t="str">
        <f ca="1">IFERROR(__xludf.DUMMYFUNCTION("""COMPUTED_VALUE"""),"MTLSZ001675A05")</f>
        <v>MTLSZ001675A05</v>
      </c>
      <c r="I3482" s="2">
        <f ca="1">IFERROR(__xludf.DUMMYFUNCTION("""COMPUTED_VALUE"""),38463)</f>
        <v>38463</v>
      </c>
      <c r="J3482" s="2">
        <f ca="1">IFERROR(__xludf.DUMMYFUNCTION("""COMPUTED_VALUE"""),38827)</f>
        <v>38827</v>
      </c>
    </row>
    <row r="3483" spans="1:10" x14ac:dyDescent="0.25">
      <c r="A3483" s="1" t="str">
        <f ca="1">IFERROR(__xludf.DUMMYFUNCTION("""COMPUTED_VALUE"""),"MAFC")</f>
        <v>MAFC</v>
      </c>
      <c r="B3483" s="1" t="str">
        <f ca="1">IFERROR(__xludf.DUMMYFUNCTION("""COMPUTED_VALUE"""),"Fehér Róbert")</f>
        <v>Fehér Róbert</v>
      </c>
      <c r="C3483" s="1"/>
      <c r="D3483" s="1" t="str">
        <f ca="1">IFERROR(__xludf.DUMMYFUNCTION("""COMPUTED_VALUE"""),"Férfi")</f>
        <v>Férfi</v>
      </c>
      <c r="E3483" s="1"/>
      <c r="F3483" s="1">
        <f ca="1">IFERROR(__xludf.DUMMYFUNCTION("""COMPUTED_VALUE"""),1986)</f>
        <v>1986</v>
      </c>
      <c r="G3483" s="1">
        <f ca="1">IFERROR(__xludf.DUMMYFUNCTION("""COMPUTED_VALUE"""),1344)</f>
        <v>1344</v>
      </c>
      <c r="H3483" s="1" t="str">
        <f ca="1">IFERROR(__xludf.DUMMYFUNCTION("""COMPUTED_VALUE"""),"MTLSZ001344A05")</f>
        <v>MTLSZ001344A05</v>
      </c>
      <c r="I3483" s="2">
        <f ca="1">IFERROR(__xludf.DUMMYFUNCTION("""COMPUTED_VALUE"""),38461)</f>
        <v>38461</v>
      </c>
      <c r="J3483" s="2">
        <f ca="1">IFERROR(__xludf.DUMMYFUNCTION("""COMPUTED_VALUE"""),38825)</f>
        <v>38825</v>
      </c>
    </row>
    <row r="3484" spans="1:10" x14ac:dyDescent="0.25">
      <c r="A3484" s="1" t="str">
        <f ca="1">IFERROR(__xludf.DUMMYFUNCTION("""COMPUTED_VALUE"""),"Danubius KSE")</f>
        <v>Danubius KSE</v>
      </c>
      <c r="B3484" s="1" t="str">
        <f ca="1">IFERROR(__xludf.DUMMYFUNCTION("""COMPUTED_VALUE"""),"Birgány Attila Márk")</f>
        <v>Birgány Attila Márk</v>
      </c>
      <c r="C3484" s="1"/>
      <c r="D3484" s="1" t="str">
        <f ca="1">IFERROR(__xludf.DUMMYFUNCTION("""COMPUTED_VALUE"""),"Férfi")</f>
        <v>Férfi</v>
      </c>
      <c r="E3484" s="1"/>
      <c r="F3484" s="1">
        <f ca="1">IFERROR(__xludf.DUMMYFUNCTION("""COMPUTED_VALUE"""),1994)</f>
        <v>1994</v>
      </c>
      <c r="G3484" s="1">
        <f ca="1">IFERROR(__xludf.DUMMYFUNCTION("""COMPUTED_VALUE"""),1669)</f>
        <v>1669</v>
      </c>
      <c r="H3484" s="1" t="str">
        <f ca="1">IFERROR(__xludf.DUMMYFUNCTION("""COMPUTED_VALUE"""),"MTLSZ001669A05")</f>
        <v>MTLSZ001669A05</v>
      </c>
      <c r="I3484" s="2">
        <f ca="1">IFERROR(__xludf.DUMMYFUNCTION("""COMPUTED_VALUE"""),38454)</f>
        <v>38454</v>
      </c>
      <c r="J3484" s="2">
        <f ca="1">IFERROR(__xludf.DUMMYFUNCTION("""COMPUTED_VALUE"""),38818)</f>
        <v>38818</v>
      </c>
    </row>
    <row r="3485" spans="1:10" x14ac:dyDescent="0.25">
      <c r="A3485" s="1" t="str">
        <f ca="1">IFERROR(__xludf.DUMMYFUNCTION("""COMPUTED_VALUE"""),"Danubius KSE")</f>
        <v>Danubius KSE</v>
      </c>
      <c r="B3485" s="1" t="str">
        <f ca="1">IFERROR(__xludf.DUMMYFUNCTION("""COMPUTED_VALUE"""),"Koszi S. Sebestyén")</f>
        <v>Koszi S. Sebestyén</v>
      </c>
      <c r="C3485" s="1"/>
      <c r="D3485" s="1" t="str">
        <f ca="1">IFERROR(__xludf.DUMMYFUNCTION("""COMPUTED_VALUE"""),"Férfi")</f>
        <v>Férfi</v>
      </c>
      <c r="E3485" s="1"/>
      <c r="F3485" s="1">
        <f ca="1">IFERROR(__xludf.DUMMYFUNCTION("""COMPUTED_VALUE"""),1992)</f>
        <v>1992</v>
      </c>
      <c r="G3485" s="1">
        <f ca="1">IFERROR(__xludf.DUMMYFUNCTION("""COMPUTED_VALUE"""),1671)</f>
        <v>1671</v>
      </c>
      <c r="H3485" s="1" t="str">
        <f ca="1">IFERROR(__xludf.DUMMYFUNCTION("""COMPUTED_VALUE"""),"MTLSZ001671A05")</f>
        <v>MTLSZ001671A05</v>
      </c>
      <c r="I3485" s="2">
        <f ca="1">IFERROR(__xludf.DUMMYFUNCTION("""COMPUTED_VALUE"""),38454)</f>
        <v>38454</v>
      </c>
      <c r="J3485" s="2">
        <f ca="1">IFERROR(__xludf.DUMMYFUNCTION("""COMPUTED_VALUE"""),38818)</f>
        <v>38818</v>
      </c>
    </row>
    <row r="3486" spans="1:10" x14ac:dyDescent="0.25">
      <c r="A3486" s="1" t="str">
        <f ca="1">IFERROR(__xludf.DUMMYFUNCTION("""COMPUTED_VALUE"""),"#N/A")</f>
        <v>#N/A</v>
      </c>
      <c r="B3486" s="1" t="str">
        <f ca="1">IFERROR(__xludf.DUMMYFUNCTION("""COMPUTED_VALUE"""),"Balkovics Anita")</f>
        <v>Balkovics Anita</v>
      </c>
      <c r="C3486" s="1"/>
      <c r="D3486" s="1" t="str">
        <f ca="1">IFERROR(__xludf.DUMMYFUNCTION("""COMPUTED_VALUE"""),"Nő")</f>
        <v>Nő</v>
      </c>
      <c r="E3486" s="1"/>
      <c r="F3486" s="1">
        <f ca="1">IFERROR(__xludf.DUMMYFUNCTION("""COMPUTED_VALUE"""),1991)</f>
        <v>1991</v>
      </c>
      <c r="G3486" s="1">
        <f ca="1">IFERROR(__xludf.DUMMYFUNCTION("""COMPUTED_VALUE"""),1495)</f>
        <v>1495</v>
      </c>
      <c r="H3486" s="1" t="str">
        <f ca="1">IFERROR(__xludf.DUMMYFUNCTION("""COMPUTED_VALUE"""),"MTLSZ001495A05")</f>
        <v>MTLSZ001495A05</v>
      </c>
      <c r="I3486" s="2">
        <f ca="1">IFERROR(__xludf.DUMMYFUNCTION("""COMPUTED_VALUE"""),38450)</f>
        <v>38450</v>
      </c>
      <c r="J3486" s="2">
        <f ca="1">IFERROR(__xludf.DUMMYFUNCTION("""COMPUTED_VALUE"""),38814)</f>
        <v>38814</v>
      </c>
    </row>
    <row r="3487" spans="1:10" x14ac:dyDescent="0.25">
      <c r="A3487" s="1" t="str">
        <f ca="1">IFERROR(__xludf.DUMMYFUNCTION("""COMPUTED_VALUE"""),"#N/A")</f>
        <v>#N/A</v>
      </c>
      <c r="B3487" s="1" t="str">
        <f ca="1">IFERROR(__xludf.DUMMYFUNCTION("""COMPUTED_VALUE"""),"Bocsi Éva")</f>
        <v>Bocsi Éva</v>
      </c>
      <c r="C3487" s="1"/>
      <c r="D3487" s="1" t="str">
        <f ca="1">IFERROR(__xludf.DUMMYFUNCTION("""COMPUTED_VALUE"""),"Nő")</f>
        <v>Nő</v>
      </c>
      <c r="E3487" s="1"/>
      <c r="F3487" s="1">
        <f ca="1">IFERROR(__xludf.DUMMYFUNCTION("""COMPUTED_VALUE"""),1990)</f>
        <v>1990</v>
      </c>
      <c r="G3487" s="1">
        <f ca="1">IFERROR(__xludf.DUMMYFUNCTION("""COMPUTED_VALUE"""),1496)</f>
        <v>1496</v>
      </c>
      <c r="H3487" s="1" t="str">
        <f ca="1">IFERROR(__xludf.DUMMYFUNCTION("""COMPUTED_VALUE"""),"MTLSZ001496A05")</f>
        <v>MTLSZ001496A05</v>
      </c>
      <c r="I3487" s="2">
        <f ca="1">IFERROR(__xludf.DUMMYFUNCTION("""COMPUTED_VALUE"""),38450)</f>
        <v>38450</v>
      </c>
      <c r="J3487" s="2">
        <f ca="1">IFERROR(__xludf.DUMMYFUNCTION("""COMPUTED_VALUE"""),38814)</f>
        <v>38814</v>
      </c>
    </row>
    <row r="3488" spans="1:10" x14ac:dyDescent="0.25">
      <c r="A3488" s="1" t="str">
        <f ca="1">IFERROR(__xludf.DUMMYFUNCTION("""COMPUTED_VALUE"""),"#N/A")</f>
        <v>#N/A</v>
      </c>
      <c r="B3488" s="1" t="str">
        <f ca="1">IFERROR(__xludf.DUMMYFUNCTION("""COMPUTED_VALUE"""),"Gemzsi Alexandra")</f>
        <v>Gemzsi Alexandra</v>
      </c>
      <c r="C3488" s="1"/>
      <c r="D3488" s="1" t="str">
        <f ca="1">IFERROR(__xludf.DUMMYFUNCTION("""COMPUTED_VALUE"""),"Nő")</f>
        <v>Nő</v>
      </c>
      <c r="E3488" s="1"/>
      <c r="F3488" s="1">
        <f ca="1">IFERROR(__xludf.DUMMYFUNCTION("""COMPUTED_VALUE"""),1992)</f>
        <v>1992</v>
      </c>
      <c r="G3488" s="1">
        <f ca="1">IFERROR(__xludf.DUMMYFUNCTION("""COMPUTED_VALUE"""),1497)</f>
        <v>1497</v>
      </c>
      <c r="H3488" s="1" t="str">
        <f ca="1">IFERROR(__xludf.DUMMYFUNCTION("""COMPUTED_VALUE"""),"MTLSZ001497A05")</f>
        <v>MTLSZ001497A05</v>
      </c>
      <c r="I3488" s="2">
        <f ca="1">IFERROR(__xludf.DUMMYFUNCTION("""COMPUTED_VALUE"""),38450)</f>
        <v>38450</v>
      </c>
      <c r="J3488" s="2">
        <f ca="1">IFERROR(__xludf.DUMMYFUNCTION("""COMPUTED_VALUE"""),38814)</f>
        <v>38814</v>
      </c>
    </row>
    <row r="3489" spans="1:10" x14ac:dyDescent="0.25">
      <c r="A3489" s="1" t="str">
        <f ca="1">IFERROR(__xludf.DUMMYFUNCTION("""COMPUTED_VALUE"""),"#N/A")</f>
        <v>#N/A</v>
      </c>
      <c r="B3489" s="1" t="str">
        <f ca="1">IFERROR(__xludf.DUMMYFUNCTION("""COMPUTED_VALUE"""),"Győrfi Mónika")</f>
        <v>Győrfi Mónika</v>
      </c>
      <c r="C3489" s="1"/>
      <c r="D3489" s="1" t="str">
        <f ca="1">IFERROR(__xludf.DUMMYFUNCTION("""COMPUTED_VALUE"""),"Nő")</f>
        <v>Nő</v>
      </c>
      <c r="E3489" s="1"/>
      <c r="F3489" s="1">
        <f ca="1">IFERROR(__xludf.DUMMYFUNCTION("""COMPUTED_VALUE"""),1990)</f>
        <v>1990</v>
      </c>
      <c r="G3489" s="1">
        <f ca="1">IFERROR(__xludf.DUMMYFUNCTION("""COMPUTED_VALUE"""),1498)</f>
        <v>1498</v>
      </c>
      <c r="H3489" s="1" t="str">
        <f ca="1">IFERROR(__xludf.DUMMYFUNCTION("""COMPUTED_VALUE"""),"MTLSZ001498A05")</f>
        <v>MTLSZ001498A05</v>
      </c>
      <c r="I3489" s="2">
        <f ca="1">IFERROR(__xludf.DUMMYFUNCTION("""COMPUTED_VALUE"""),38450)</f>
        <v>38450</v>
      </c>
      <c r="J3489" s="2">
        <f ca="1">IFERROR(__xludf.DUMMYFUNCTION("""COMPUTED_VALUE"""),38814)</f>
        <v>38814</v>
      </c>
    </row>
    <row r="3490" spans="1:10" x14ac:dyDescent="0.25">
      <c r="A3490" s="1" t="str">
        <f ca="1">IFERROR(__xludf.DUMMYFUNCTION("""COMPUTED_VALUE"""),"#N/A")</f>
        <v>#N/A</v>
      </c>
      <c r="B3490" s="1" t="str">
        <f ca="1">IFERROR(__xludf.DUMMYFUNCTION("""COMPUTED_VALUE"""),"Jakab Anita")</f>
        <v>Jakab Anita</v>
      </c>
      <c r="C3490" s="1"/>
      <c r="D3490" s="1" t="str">
        <f ca="1">IFERROR(__xludf.DUMMYFUNCTION("""COMPUTED_VALUE"""),"Nő")</f>
        <v>Nő</v>
      </c>
      <c r="E3490" s="1"/>
      <c r="F3490" s="1">
        <f ca="1">IFERROR(__xludf.DUMMYFUNCTION("""COMPUTED_VALUE"""),1990)</f>
        <v>1990</v>
      </c>
      <c r="G3490" s="1">
        <f ca="1">IFERROR(__xludf.DUMMYFUNCTION("""COMPUTED_VALUE"""),1499)</f>
        <v>1499</v>
      </c>
      <c r="H3490" s="1" t="str">
        <f ca="1">IFERROR(__xludf.DUMMYFUNCTION("""COMPUTED_VALUE"""),"MTLSZ001499A05")</f>
        <v>MTLSZ001499A05</v>
      </c>
      <c r="I3490" s="2">
        <f ca="1">IFERROR(__xludf.DUMMYFUNCTION("""COMPUTED_VALUE"""),38450)</f>
        <v>38450</v>
      </c>
      <c r="J3490" s="2">
        <f ca="1">IFERROR(__xludf.DUMMYFUNCTION("""COMPUTED_VALUE"""),38814)</f>
        <v>38814</v>
      </c>
    </row>
    <row r="3491" spans="1:10" x14ac:dyDescent="0.25">
      <c r="A3491" s="1" t="str">
        <f ca="1">IFERROR(__xludf.DUMMYFUNCTION("""COMPUTED_VALUE"""),"#N/A")</f>
        <v>#N/A</v>
      </c>
      <c r="B3491" s="1" t="str">
        <f ca="1">IFERROR(__xludf.DUMMYFUNCTION("""COMPUTED_VALUE"""),"Kállai Anita")</f>
        <v>Kállai Anita</v>
      </c>
      <c r="C3491" s="1"/>
      <c r="D3491" s="1" t="str">
        <f ca="1">IFERROR(__xludf.DUMMYFUNCTION("""COMPUTED_VALUE"""),"Nő")</f>
        <v>Nő</v>
      </c>
      <c r="E3491" s="1"/>
      <c r="F3491" s="1">
        <f ca="1">IFERROR(__xludf.DUMMYFUNCTION("""COMPUTED_VALUE"""),1990)</f>
        <v>1990</v>
      </c>
      <c r="G3491" s="1">
        <f ca="1">IFERROR(__xludf.DUMMYFUNCTION("""COMPUTED_VALUE"""),1500)</f>
        <v>1500</v>
      </c>
      <c r="H3491" s="1" t="str">
        <f ca="1">IFERROR(__xludf.DUMMYFUNCTION("""COMPUTED_VALUE"""),"MTLSZ001500A05")</f>
        <v>MTLSZ001500A05</v>
      </c>
      <c r="I3491" s="2">
        <f ca="1">IFERROR(__xludf.DUMMYFUNCTION("""COMPUTED_VALUE"""),38450)</f>
        <v>38450</v>
      </c>
      <c r="J3491" s="2">
        <f ca="1">IFERROR(__xludf.DUMMYFUNCTION("""COMPUTED_VALUE"""),38814)</f>
        <v>38814</v>
      </c>
    </row>
    <row r="3492" spans="1:10" x14ac:dyDescent="0.25">
      <c r="A3492" s="1" t="str">
        <f ca="1">IFERROR(__xludf.DUMMYFUNCTION("""COMPUTED_VALUE"""),"#N/A")</f>
        <v>#N/A</v>
      </c>
      <c r="B3492" s="1" t="str">
        <f ca="1">IFERROR(__xludf.DUMMYFUNCTION("""COMPUTED_VALUE"""),"Kiss István")</f>
        <v>Kiss István</v>
      </c>
      <c r="C3492" s="1"/>
      <c r="D3492" s="1" t="str">
        <f ca="1">IFERROR(__xludf.DUMMYFUNCTION("""COMPUTED_VALUE"""),"Férfi")</f>
        <v>Férfi</v>
      </c>
      <c r="E3492" s="1"/>
      <c r="F3492" s="1">
        <f ca="1">IFERROR(__xludf.DUMMYFUNCTION("""COMPUTED_VALUE"""),1994)</f>
        <v>1994</v>
      </c>
      <c r="G3492" s="1">
        <f ca="1">IFERROR(__xludf.DUMMYFUNCTION("""COMPUTED_VALUE"""),1501)</f>
        <v>1501</v>
      </c>
      <c r="H3492" s="1" t="str">
        <f ca="1">IFERROR(__xludf.DUMMYFUNCTION("""COMPUTED_VALUE"""),"MTLSZ001501A05")</f>
        <v>MTLSZ001501A05</v>
      </c>
      <c r="I3492" s="2">
        <f ca="1">IFERROR(__xludf.DUMMYFUNCTION("""COMPUTED_VALUE"""),38450)</f>
        <v>38450</v>
      </c>
      <c r="J3492" s="2">
        <f ca="1">IFERROR(__xludf.DUMMYFUNCTION("""COMPUTED_VALUE"""),38814)</f>
        <v>38814</v>
      </c>
    </row>
    <row r="3493" spans="1:10" x14ac:dyDescent="0.25">
      <c r="A3493" s="1" t="str">
        <f ca="1">IFERROR(__xludf.DUMMYFUNCTION("""COMPUTED_VALUE"""),"#N/A")</f>
        <v>#N/A</v>
      </c>
      <c r="B3493" s="1" t="str">
        <f ca="1">IFERROR(__xludf.DUMMYFUNCTION("""COMPUTED_VALUE"""),"Kósa Diána")</f>
        <v>Kósa Diána</v>
      </c>
      <c r="C3493" s="1"/>
      <c r="D3493" s="1" t="str">
        <f ca="1">IFERROR(__xludf.DUMMYFUNCTION("""COMPUTED_VALUE"""),"Nő")</f>
        <v>Nő</v>
      </c>
      <c r="E3493" s="1"/>
      <c r="F3493" s="1">
        <f ca="1">IFERROR(__xludf.DUMMYFUNCTION("""COMPUTED_VALUE"""),1991)</f>
        <v>1991</v>
      </c>
      <c r="G3493" s="1">
        <f ca="1">IFERROR(__xludf.DUMMYFUNCTION("""COMPUTED_VALUE"""),1608)</f>
        <v>1608</v>
      </c>
      <c r="H3493" s="1" t="str">
        <f ca="1">IFERROR(__xludf.DUMMYFUNCTION("""COMPUTED_VALUE"""),"MTLSZ001608A05")</f>
        <v>MTLSZ001608A05</v>
      </c>
      <c r="I3493" s="2">
        <f ca="1">IFERROR(__xludf.DUMMYFUNCTION("""COMPUTED_VALUE"""),38450)</f>
        <v>38450</v>
      </c>
      <c r="J3493" s="2">
        <f ca="1">IFERROR(__xludf.DUMMYFUNCTION("""COMPUTED_VALUE"""),38814)</f>
        <v>38814</v>
      </c>
    </row>
    <row r="3494" spans="1:10" x14ac:dyDescent="0.25">
      <c r="A3494" s="1" t="str">
        <f ca="1">IFERROR(__xludf.DUMMYFUNCTION("""COMPUTED_VALUE"""),"#N/A")</f>
        <v>#N/A</v>
      </c>
      <c r="B3494" s="1" t="str">
        <f ca="1">IFERROR(__xludf.DUMMYFUNCTION("""COMPUTED_VALUE"""),"Lengyel Eszter")</f>
        <v>Lengyel Eszter</v>
      </c>
      <c r="C3494" s="1"/>
      <c r="D3494" s="1" t="str">
        <f ca="1">IFERROR(__xludf.DUMMYFUNCTION("""COMPUTED_VALUE"""),"Nő")</f>
        <v>Nő</v>
      </c>
      <c r="E3494" s="1"/>
      <c r="F3494" s="1">
        <f ca="1">IFERROR(__xludf.DUMMYFUNCTION("""COMPUTED_VALUE"""),1993)</f>
        <v>1993</v>
      </c>
      <c r="G3494" s="1">
        <f ca="1">IFERROR(__xludf.DUMMYFUNCTION("""COMPUTED_VALUE"""),1503)</f>
        <v>1503</v>
      </c>
      <c r="H3494" s="1" t="str">
        <f ca="1">IFERROR(__xludf.DUMMYFUNCTION("""COMPUTED_VALUE"""),"MTLSZ001503A05")</f>
        <v>MTLSZ001503A05</v>
      </c>
      <c r="I3494" s="2">
        <f ca="1">IFERROR(__xludf.DUMMYFUNCTION("""COMPUTED_VALUE"""),38450)</f>
        <v>38450</v>
      </c>
      <c r="J3494" s="2">
        <f ca="1">IFERROR(__xludf.DUMMYFUNCTION("""COMPUTED_VALUE"""),38814)</f>
        <v>38814</v>
      </c>
    </row>
    <row r="3495" spans="1:10" x14ac:dyDescent="0.25">
      <c r="A3495" s="1" t="str">
        <f ca="1">IFERROR(__xludf.DUMMYFUNCTION("""COMPUTED_VALUE"""),"#N/A")</f>
        <v>#N/A</v>
      </c>
      <c r="B3495" s="1" t="str">
        <f ca="1">IFERROR(__xludf.DUMMYFUNCTION("""COMPUTED_VALUE"""),"Papp Petra")</f>
        <v>Papp Petra</v>
      </c>
      <c r="C3495" s="1"/>
      <c r="D3495" s="1" t="str">
        <f ca="1">IFERROR(__xludf.DUMMYFUNCTION("""COMPUTED_VALUE"""),"Nő")</f>
        <v>Nő</v>
      </c>
      <c r="E3495" s="1"/>
      <c r="F3495" s="1">
        <f ca="1">IFERROR(__xludf.DUMMYFUNCTION("""COMPUTED_VALUE"""),1995)</f>
        <v>1995</v>
      </c>
      <c r="G3495" s="1">
        <f ca="1">IFERROR(__xludf.DUMMYFUNCTION("""COMPUTED_VALUE"""),1504)</f>
        <v>1504</v>
      </c>
      <c r="H3495" s="1" t="str">
        <f ca="1">IFERROR(__xludf.DUMMYFUNCTION("""COMPUTED_VALUE"""),"MTLSZ001504A05")</f>
        <v>MTLSZ001504A05</v>
      </c>
      <c r="I3495" s="2">
        <f ca="1">IFERROR(__xludf.DUMMYFUNCTION("""COMPUTED_VALUE"""),38450)</f>
        <v>38450</v>
      </c>
      <c r="J3495" s="2">
        <f ca="1">IFERROR(__xludf.DUMMYFUNCTION("""COMPUTED_VALUE"""),38814)</f>
        <v>38814</v>
      </c>
    </row>
    <row r="3496" spans="1:10" x14ac:dyDescent="0.25">
      <c r="A3496" s="1" t="str">
        <f ca="1">IFERROR(__xludf.DUMMYFUNCTION("""COMPUTED_VALUE"""),"#N/A")</f>
        <v>#N/A</v>
      </c>
      <c r="B3496" s="1" t="str">
        <f ca="1">IFERROR(__xludf.DUMMYFUNCTION("""COMPUTED_VALUE"""),"Popovics Márkó")</f>
        <v>Popovics Márkó</v>
      </c>
      <c r="C3496" s="1"/>
      <c r="D3496" s="1" t="str">
        <f ca="1">IFERROR(__xludf.DUMMYFUNCTION("""COMPUTED_VALUE"""),"Férfi")</f>
        <v>Férfi</v>
      </c>
      <c r="E3496" s="1"/>
      <c r="F3496" s="1">
        <f ca="1">IFERROR(__xludf.DUMMYFUNCTION("""COMPUTED_VALUE"""),1994)</f>
        <v>1994</v>
      </c>
      <c r="G3496" s="1">
        <f ca="1">IFERROR(__xludf.DUMMYFUNCTION("""COMPUTED_VALUE"""),1505)</f>
        <v>1505</v>
      </c>
      <c r="H3496" s="1" t="str">
        <f ca="1">IFERROR(__xludf.DUMMYFUNCTION("""COMPUTED_VALUE"""),"MTLSZ001505A05")</f>
        <v>MTLSZ001505A05</v>
      </c>
      <c r="I3496" s="2">
        <f ca="1">IFERROR(__xludf.DUMMYFUNCTION("""COMPUTED_VALUE"""),38450)</f>
        <v>38450</v>
      </c>
      <c r="J3496" s="2">
        <f ca="1">IFERROR(__xludf.DUMMYFUNCTION("""COMPUTED_VALUE"""),38814)</f>
        <v>38814</v>
      </c>
    </row>
    <row r="3497" spans="1:10" x14ac:dyDescent="0.25">
      <c r="A3497" s="1" t="str">
        <f ca="1">IFERROR(__xludf.DUMMYFUNCTION("""COMPUTED_VALUE"""),"Diaboló SE")</f>
        <v>Diaboló SE</v>
      </c>
      <c r="B3497" s="1" t="str">
        <f ca="1">IFERROR(__xludf.DUMMYFUNCTION("""COMPUTED_VALUE"""),"Pálka Dóra")</f>
        <v>Pálka Dóra</v>
      </c>
      <c r="C3497" s="1"/>
      <c r="D3497" s="1" t="str">
        <f ca="1">IFERROR(__xludf.DUMMYFUNCTION("""COMPUTED_VALUE"""),"Nő")</f>
        <v>Nő</v>
      </c>
      <c r="E3497" s="1"/>
      <c r="F3497" s="1">
        <f ca="1">IFERROR(__xludf.DUMMYFUNCTION("""COMPUTED_VALUE"""),1990)</f>
        <v>1990</v>
      </c>
      <c r="G3497" s="1">
        <f ca="1">IFERROR(__xludf.DUMMYFUNCTION("""COMPUTED_VALUE"""),1337)</f>
        <v>1337</v>
      </c>
      <c r="H3497" s="1" t="str">
        <f ca="1">IFERROR(__xludf.DUMMYFUNCTION("""COMPUTED_VALUE"""),"MTLSZ001337A05")</f>
        <v>MTLSZ001337A05</v>
      </c>
      <c r="I3497" s="2">
        <f ca="1">IFERROR(__xludf.DUMMYFUNCTION("""COMPUTED_VALUE"""),38440)</f>
        <v>38440</v>
      </c>
      <c r="J3497" s="2">
        <f ca="1">IFERROR(__xludf.DUMMYFUNCTION("""COMPUTED_VALUE"""),38804)</f>
        <v>38804</v>
      </c>
    </row>
    <row r="3498" spans="1:10" x14ac:dyDescent="0.25">
      <c r="A3498" s="1" t="str">
        <f ca="1">IFERROR(__xludf.DUMMYFUNCTION("""COMPUTED_VALUE"""),"Pedagógus Fáklya SE")</f>
        <v>Pedagógus Fáklya SE</v>
      </c>
      <c r="B3498" s="1" t="str">
        <f ca="1">IFERROR(__xludf.DUMMYFUNCTION("""COMPUTED_VALUE"""),"Jakab Éva")</f>
        <v>Jakab Éva</v>
      </c>
      <c r="C3498" s="1"/>
      <c r="D3498" s="1" t="str">
        <f ca="1">IFERROR(__xludf.DUMMYFUNCTION("""COMPUTED_VALUE"""),"Nő")</f>
        <v>Nő</v>
      </c>
      <c r="E3498" s="1"/>
      <c r="F3498" s="1">
        <f ca="1">IFERROR(__xludf.DUMMYFUNCTION("""COMPUTED_VALUE"""),1962)</f>
        <v>1962</v>
      </c>
      <c r="G3498" s="1">
        <f ca="1">IFERROR(__xludf.DUMMYFUNCTION("""COMPUTED_VALUE"""),1663)</f>
        <v>1663</v>
      </c>
      <c r="H3498" s="1" t="str">
        <f ca="1">IFERROR(__xludf.DUMMYFUNCTION("""COMPUTED_VALUE"""),"MTLSZ001663A05")</f>
        <v>MTLSZ001663A05</v>
      </c>
      <c r="I3498" s="2">
        <f ca="1">IFERROR(__xludf.DUMMYFUNCTION("""COMPUTED_VALUE"""),38434)</f>
        <v>38434</v>
      </c>
      <c r="J3498" s="2">
        <f ca="1">IFERROR(__xludf.DUMMYFUNCTION("""COMPUTED_VALUE"""),38798)</f>
        <v>38798</v>
      </c>
    </row>
    <row r="3499" spans="1:10" x14ac:dyDescent="0.25">
      <c r="A3499" s="1" t="str">
        <f ca="1">IFERROR(__xludf.DUMMYFUNCTION("""COMPUTED_VALUE"""),"Gyöngyösoroszi SK")</f>
        <v>Gyöngyösoroszi SK</v>
      </c>
      <c r="B3499" s="1" t="str">
        <f ca="1">IFERROR(__xludf.DUMMYFUNCTION("""COMPUTED_VALUE"""),"Rácz Attila")</f>
        <v>Rácz Attila</v>
      </c>
      <c r="C3499" s="1"/>
      <c r="D3499" s="1" t="str">
        <f ca="1">IFERROR(__xludf.DUMMYFUNCTION("""COMPUTED_VALUE"""),"Férfi")</f>
        <v>Férfi</v>
      </c>
      <c r="E3499" s="1"/>
      <c r="F3499" s="1">
        <f ca="1">IFERROR(__xludf.DUMMYFUNCTION("""COMPUTED_VALUE"""),1995)</f>
        <v>1995</v>
      </c>
      <c r="G3499" s="1">
        <f ca="1">IFERROR(__xludf.DUMMYFUNCTION("""COMPUTED_VALUE"""),1661)</f>
        <v>1661</v>
      </c>
      <c r="H3499" s="1" t="str">
        <f ca="1">IFERROR(__xludf.DUMMYFUNCTION("""COMPUTED_VALUE"""),"MTLSZ001661A05")</f>
        <v>MTLSZ001661A05</v>
      </c>
      <c r="I3499" s="2">
        <f ca="1">IFERROR(__xludf.DUMMYFUNCTION("""COMPUTED_VALUE"""),38432)</f>
        <v>38432</v>
      </c>
      <c r="J3499" s="2">
        <f ca="1">IFERROR(__xludf.DUMMYFUNCTION("""COMPUTED_VALUE"""),38796)</f>
        <v>38796</v>
      </c>
    </row>
    <row r="3500" spans="1:10" x14ac:dyDescent="0.25">
      <c r="A3500" s="1" t="str">
        <f ca="1">IFERROR(__xludf.DUMMYFUNCTION("""COMPUTED_VALUE"""),"OSC")</f>
        <v>OSC</v>
      </c>
      <c r="B3500" s="1" t="str">
        <f ca="1">IFERROR(__xludf.DUMMYFUNCTION("""COMPUTED_VALUE"""),"Galotti-Tóth Balázs")</f>
        <v>Galotti-Tóth Balázs</v>
      </c>
      <c r="C3500" s="1"/>
      <c r="D3500" s="1" t="str">
        <f ca="1">IFERROR(__xludf.DUMMYFUNCTION("""COMPUTED_VALUE"""),"Férfi")</f>
        <v>Férfi</v>
      </c>
      <c r="E3500" s="1"/>
      <c r="F3500" s="1">
        <f ca="1">IFERROR(__xludf.DUMMYFUNCTION("""COMPUTED_VALUE"""),1973)</f>
        <v>1973</v>
      </c>
      <c r="G3500" s="1">
        <f ca="1">IFERROR(__xludf.DUMMYFUNCTION("""COMPUTED_VALUE"""),279)</f>
        <v>279</v>
      </c>
      <c r="H3500" s="1" t="str">
        <f ca="1">IFERROR(__xludf.DUMMYFUNCTION("""COMPUTED_VALUE"""),"MTLSZ000279A05")</f>
        <v>MTLSZ000279A05</v>
      </c>
      <c r="I3500" s="2">
        <f ca="1">IFERROR(__xludf.DUMMYFUNCTION("""COMPUTED_VALUE"""),38428)</f>
        <v>38428</v>
      </c>
      <c r="J3500" s="2">
        <f ca="1">IFERROR(__xludf.DUMMYFUNCTION("""COMPUTED_VALUE"""),38792)</f>
        <v>38792</v>
      </c>
    </row>
    <row r="3501" spans="1:10" x14ac:dyDescent="0.25">
      <c r="A3501" s="1" t="str">
        <f ca="1">IFERROR(__xludf.DUMMYFUNCTION("""COMPUTED_VALUE"""),"OSC")</f>
        <v>OSC</v>
      </c>
      <c r="B3501" s="1" t="str">
        <f ca="1">IFERROR(__xludf.DUMMYFUNCTION("""COMPUTED_VALUE"""),"Galotti-Tóth Róbert")</f>
        <v>Galotti-Tóth Róbert</v>
      </c>
      <c r="C3501" s="1"/>
      <c r="D3501" s="1" t="str">
        <f ca="1">IFERROR(__xludf.DUMMYFUNCTION("""COMPUTED_VALUE"""),"Férfi")</f>
        <v>Férfi</v>
      </c>
      <c r="E3501" s="1"/>
      <c r="F3501" s="1">
        <f ca="1">IFERROR(__xludf.DUMMYFUNCTION("""COMPUTED_VALUE"""),1977)</f>
        <v>1977</v>
      </c>
      <c r="G3501" s="1">
        <f ca="1">IFERROR(__xludf.DUMMYFUNCTION("""COMPUTED_VALUE"""),280)</f>
        <v>280</v>
      </c>
      <c r="H3501" s="1" t="str">
        <f ca="1">IFERROR(__xludf.DUMMYFUNCTION("""COMPUTED_VALUE"""),"MTLSZ000280A05")</f>
        <v>MTLSZ000280A05</v>
      </c>
      <c r="I3501" s="2">
        <f ca="1">IFERROR(__xludf.DUMMYFUNCTION("""COMPUTED_VALUE"""),38428)</f>
        <v>38428</v>
      </c>
      <c r="J3501" s="2">
        <f ca="1">IFERROR(__xludf.DUMMYFUNCTION("""COMPUTED_VALUE"""),38792)</f>
        <v>38792</v>
      </c>
    </row>
    <row r="3502" spans="1:10" x14ac:dyDescent="0.25">
      <c r="A3502" s="1" t="str">
        <f ca="1">IFERROR(__xludf.DUMMYFUNCTION("""COMPUTED_VALUE"""),"Rosco SE")</f>
        <v>Rosco SE</v>
      </c>
      <c r="B3502" s="1" t="str">
        <f ca="1">IFERROR(__xludf.DUMMYFUNCTION("""COMPUTED_VALUE"""),"Shishov Alexei")</f>
        <v>Shishov Alexei</v>
      </c>
      <c r="C3502" s="1"/>
      <c r="D3502" s="1" t="str">
        <f ca="1">IFERROR(__xludf.DUMMYFUNCTION("""COMPUTED_VALUE"""),"Férfi")</f>
        <v>Férfi</v>
      </c>
      <c r="E3502" s="1"/>
      <c r="F3502" s="1">
        <f ca="1">IFERROR(__xludf.DUMMYFUNCTION("""COMPUTED_VALUE"""),1980)</f>
        <v>1980</v>
      </c>
      <c r="G3502" s="1">
        <f ca="1">IFERROR(__xludf.DUMMYFUNCTION("""COMPUTED_VALUE"""),1658)</f>
        <v>1658</v>
      </c>
      <c r="H3502" s="1" t="str">
        <f ca="1">IFERROR(__xludf.DUMMYFUNCTION("""COMPUTED_VALUE"""),"MTLSZ001658A05")</f>
        <v>MTLSZ001658A05</v>
      </c>
      <c r="I3502" s="2">
        <f ca="1">IFERROR(__xludf.DUMMYFUNCTION("""COMPUTED_VALUE"""),38421)</f>
        <v>38421</v>
      </c>
      <c r="J3502" s="2">
        <f ca="1">IFERROR(__xludf.DUMMYFUNCTION("""COMPUTED_VALUE"""),38785)</f>
        <v>38785</v>
      </c>
    </row>
    <row r="3503" spans="1:10" x14ac:dyDescent="0.25">
      <c r="A3503" s="1" t="str">
        <f ca="1">IFERROR(__xludf.DUMMYFUNCTION("""COMPUTED_VALUE"""),"Ságvári DSE")</f>
        <v>Ságvári DSE</v>
      </c>
      <c r="B3503" s="1" t="str">
        <f ca="1">IFERROR(__xludf.DUMMYFUNCTION("""COMPUTED_VALUE"""),"Major Dávid")</f>
        <v>Major Dávid</v>
      </c>
      <c r="C3503" s="1"/>
      <c r="D3503" s="1" t="str">
        <f ca="1">IFERROR(__xludf.DUMMYFUNCTION("""COMPUTED_VALUE"""),"Férfi")</f>
        <v>Férfi</v>
      </c>
      <c r="E3503" s="1"/>
      <c r="F3503" s="1">
        <f ca="1">IFERROR(__xludf.DUMMYFUNCTION("""COMPUTED_VALUE"""),1994)</f>
        <v>1994</v>
      </c>
      <c r="G3503" s="1">
        <f ca="1">IFERROR(__xludf.DUMMYFUNCTION("""COMPUTED_VALUE"""),1657)</f>
        <v>1657</v>
      </c>
      <c r="H3503" s="1" t="str">
        <f ca="1">IFERROR(__xludf.DUMMYFUNCTION("""COMPUTED_VALUE"""),"MTLSZ001657A05")</f>
        <v>MTLSZ001657A05</v>
      </c>
      <c r="I3503" s="2">
        <f ca="1">IFERROR(__xludf.DUMMYFUNCTION("""COMPUTED_VALUE"""),38421)</f>
        <v>38421</v>
      </c>
      <c r="J3503" s="2">
        <f ca="1">IFERROR(__xludf.DUMMYFUNCTION("""COMPUTED_VALUE"""),38785)</f>
        <v>38785</v>
      </c>
    </row>
    <row r="3504" spans="1:10" x14ac:dyDescent="0.25">
      <c r="A3504" s="1" t="str">
        <f ca="1">IFERROR(__xludf.DUMMYFUNCTION("""COMPUTED_VALUE"""),"MAFC")</f>
        <v>MAFC</v>
      </c>
      <c r="B3504" s="1" t="str">
        <f ca="1">IFERROR(__xludf.DUMMYFUNCTION("""COMPUTED_VALUE"""),"Apostol Noémi")</f>
        <v>Apostol Noémi</v>
      </c>
      <c r="C3504" s="1"/>
      <c r="D3504" s="1" t="str">
        <f ca="1">IFERROR(__xludf.DUMMYFUNCTION("""COMPUTED_VALUE"""),"Nő")</f>
        <v>Nő</v>
      </c>
      <c r="E3504" s="1"/>
      <c r="F3504" s="1">
        <f ca="1">IFERROR(__xludf.DUMMYFUNCTION("""COMPUTED_VALUE"""),1988)</f>
        <v>1988</v>
      </c>
      <c r="G3504" s="1">
        <f ca="1">IFERROR(__xludf.DUMMYFUNCTION("""COMPUTED_VALUE"""),1655)</f>
        <v>1655</v>
      </c>
      <c r="H3504" s="1" t="str">
        <f ca="1">IFERROR(__xludf.DUMMYFUNCTION("""COMPUTED_VALUE"""),"MTLSZ001655A05")</f>
        <v>MTLSZ001655A05</v>
      </c>
      <c r="I3504" s="2">
        <f ca="1">IFERROR(__xludf.DUMMYFUNCTION("""COMPUTED_VALUE"""),38415)</f>
        <v>38415</v>
      </c>
      <c r="J3504" s="2">
        <f ca="1">IFERROR(__xludf.DUMMYFUNCTION("""COMPUTED_VALUE"""),38779)</f>
        <v>38779</v>
      </c>
    </row>
    <row r="3505" spans="1:10" x14ac:dyDescent="0.25">
      <c r="A3505" s="1" t="str">
        <f ca="1">IFERROR(__xludf.DUMMYFUNCTION("""COMPUTED_VALUE"""),"ZKSE")</f>
        <v>ZKSE</v>
      </c>
      <c r="B3505" s="1" t="str">
        <f ca="1">IFERROR(__xludf.DUMMYFUNCTION("""COMPUTED_VALUE"""),"Szabó Gyula")</f>
        <v>Szabó Gyula</v>
      </c>
      <c r="C3505" s="1"/>
      <c r="D3505" s="1" t="str">
        <f ca="1">IFERROR(__xludf.DUMMYFUNCTION("""COMPUTED_VALUE"""),"Férfi")</f>
        <v>Férfi</v>
      </c>
      <c r="E3505" s="1"/>
      <c r="F3505" s="1">
        <f ca="1">IFERROR(__xludf.DUMMYFUNCTION("""COMPUTED_VALUE"""),1986)</f>
        <v>1986</v>
      </c>
      <c r="G3505" s="1">
        <f ca="1">IFERROR(__xludf.DUMMYFUNCTION("""COMPUTED_VALUE"""),892)</f>
        <v>892</v>
      </c>
      <c r="H3505" s="1" t="str">
        <f ca="1">IFERROR(__xludf.DUMMYFUNCTION("""COMPUTED_VALUE"""),"MTLSZ000892A05")</f>
        <v>MTLSZ000892A05</v>
      </c>
      <c r="I3505" s="2">
        <f ca="1">IFERROR(__xludf.DUMMYFUNCTION("""COMPUTED_VALUE"""),38414)</f>
        <v>38414</v>
      </c>
      <c r="J3505" s="2">
        <f ca="1">IFERROR(__xludf.DUMMYFUNCTION("""COMPUTED_VALUE"""),38778)</f>
        <v>38778</v>
      </c>
    </row>
    <row r="3506" spans="1:10" x14ac:dyDescent="0.25">
      <c r="A3506" s="1" t="str">
        <f ca="1">IFERROR(__xludf.DUMMYFUNCTION("""COMPUTED_VALUE"""),"Diaboló SE")</f>
        <v>Diaboló SE</v>
      </c>
      <c r="B3506" s="1" t="str">
        <f ca="1">IFERROR(__xludf.DUMMYFUNCTION("""COMPUTED_VALUE"""),"Göntér Bence")</f>
        <v>Göntér Bence</v>
      </c>
      <c r="C3506" s="1"/>
      <c r="D3506" s="1" t="str">
        <f ca="1">IFERROR(__xludf.DUMMYFUNCTION("""COMPUTED_VALUE"""),"Férfi")</f>
        <v>Férfi</v>
      </c>
      <c r="E3506" s="1"/>
      <c r="F3506" s="1">
        <f ca="1">IFERROR(__xludf.DUMMYFUNCTION("""COMPUTED_VALUE"""),1989)</f>
        <v>1989</v>
      </c>
      <c r="G3506" s="1">
        <f ca="1">IFERROR(__xludf.DUMMYFUNCTION("""COMPUTED_VALUE"""),1647)</f>
        <v>1647</v>
      </c>
      <c r="H3506" s="1" t="str">
        <f ca="1">IFERROR(__xludf.DUMMYFUNCTION("""COMPUTED_VALUE"""),"MTLSZ001647A05")</f>
        <v>MTLSZ001647A05</v>
      </c>
      <c r="I3506" s="2">
        <f ca="1">IFERROR(__xludf.DUMMYFUNCTION("""COMPUTED_VALUE"""),38411)</f>
        <v>38411</v>
      </c>
      <c r="J3506" s="2">
        <f ca="1">IFERROR(__xludf.DUMMYFUNCTION("""COMPUTED_VALUE"""),38775)</f>
        <v>38775</v>
      </c>
    </row>
    <row r="3507" spans="1:10" x14ac:dyDescent="0.25">
      <c r="A3507" s="1" t="str">
        <f ca="1">IFERROR(__xludf.DUMMYFUNCTION("""COMPUTED_VALUE"""),"Diaboló SE")</f>
        <v>Diaboló SE</v>
      </c>
      <c r="B3507" s="1" t="str">
        <f ca="1">IFERROR(__xludf.DUMMYFUNCTION("""COMPUTED_VALUE"""),"Holczer Eszter")</f>
        <v>Holczer Eszter</v>
      </c>
      <c r="C3507" s="1"/>
      <c r="D3507" s="1" t="str">
        <f ca="1">IFERROR(__xludf.DUMMYFUNCTION("""COMPUTED_VALUE"""),"Nő")</f>
        <v>Nő</v>
      </c>
      <c r="E3507" s="1"/>
      <c r="F3507" s="1">
        <f ca="1">IFERROR(__xludf.DUMMYFUNCTION("""COMPUTED_VALUE"""),1989)</f>
        <v>1989</v>
      </c>
      <c r="G3507" s="1">
        <f ca="1">IFERROR(__xludf.DUMMYFUNCTION("""COMPUTED_VALUE"""),1646)</f>
        <v>1646</v>
      </c>
      <c r="H3507" s="1" t="str">
        <f ca="1">IFERROR(__xludf.DUMMYFUNCTION("""COMPUTED_VALUE"""),"MTLSZ001646A05")</f>
        <v>MTLSZ001646A05</v>
      </c>
      <c r="I3507" s="2">
        <f ca="1">IFERROR(__xludf.DUMMYFUNCTION("""COMPUTED_VALUE"""),38411)</f>
        <v>38411</v>
      </c>
      <c r="J3507" s="2">
        <f ca="1">IFERROR(__xludf.DUMMYFUNCTION("""COMPUTED_VALUE"""),38775)</f>
        <v>38775</v>
      </c>
    </row>
    <row r="3508" spans="1:10" x14ac:dyDescent="0.25">
      <c r="A3508" s="1" t="str">
        <f ca="1">IFERROR(__xludf.DUMMYFUNCTION("""COMPUTED_VALUE"""),"Diaboló SE")</f>
        <v>Diaboló SE</v>
      </c>
      <c r="B3508" s="1" t="str">
        <f ca="1">IFERROR(__xludf.DUMMYFUNCTION("""COMPUTED_VALUE"""),"Jeszenszki Zoltán")</f>
        <v>Jeszenszki Zoltán</v>
      </c>
      <c r="C3508" s="1"/>
      <c r="D3508" s="1" t="str">
        <f ca="1">IFERROR(__xludf.DUMMYFUNCTION("""COMPUTED_VALUE"""),"Férfi")</f>
        <v>Férfi</v>
      </c>
      <c r="E3508" s="1"/>
      <c r="F3508" s="1">
        <f ca="1">IFERROR(__xludf.DUMMYFUNCTION("""COMPUTED_VALUE"""),1990)</f>
        <v>1990</v>
      </c>
      <c r="G3508" s="1">
        <f ca="1">IFERROR(__xludf.DUMMYFUNCTION("""COMPUTED_VALUE"""),1648)</f>
        <v>1648</v>
      </c>
      <c r="H3508" s="1" t="str">
        <f ca="1">IFERROR(__xludf.DUMMYFUNCTION("""COMPUTED_VALUE"""),"MTLSZ001648A05")</f>
        <v>MTLSZ001648A05</v>
      </c>
      <c r="I3508" s="2">
        <f ca="1">IFERROR(__xludf.DUMMYFUNCTION("""COMPUTED_VALUE"""),38411)</f>
        <v>38411</v>
      </c>
      <c r="J3508" s="2">
        <f ca="1">IFERROR(__xludf.DUMMYFUNCTION("""COMPUTED_VALUE"""),38775)</f>
        <v>38775</v>
      </c>
    </row>
    <row r="3509" spans="1:10" x14ac:dyDescent="0.25">
      <c r="A3509" s="1" t="str">
        <f ca="1">IFERROR(__xludf.DUMMYFUNCTION("""COMPUTED_VALUE"""),"Diaboló SE")</f>
        <v>Diaboló SE</v>
      </c>
      <c r="B3509" s="1" t="str">
        <f ca="1">IFERROR(__xludf.DUMMYFUNCTION("""COMPUTED_VALUE"""),"Markert Dóra")</f>
        <v>Markert Dóra</v>
      </c>
      <c r="C3509" s="1"/>
      <c r="D3509" s="1" t="str">
        <f ca="1">IFERROR(__xludf.DUMMYFUNCTION("""COMPUTED_VALUE"""),"Nő")</f>
        <v>Nő</v>
      </c>
      <c r="E3509" s="1"/>
      <c r="F3509" s="1">
        <f ca="1">IFERROR(__xludf.DUMMYFUNCTION("""COMPUTED_VALUE"""),1989)</f>
        <v>1989</v>
      </c>
      <c r="G3509" s="1">
        <f ca="1">IFERROR(__xludf.DUMMYFUNCTION("""COMPUTED_VALUE"""),1649)</f>
        <v>1649</v>
      </c>
      <c r="H3509" s="1" t="str">
        <f ca="1">IFERROR(__xludf.DUMMYFUNCTION("""COMPUTED_VALUE"""),"MTLSZ001649A05")</f>
        <v>MTLSZ001649A05</v>
      </c>
      <c r="I3509" s="2">
        <f ca="1">IFERROR(__xludf.DUMMYFUNCTION("""COMPUTED_VALUE"""),38411)</f>
        <v>38411</v>
      </c>
      <c r="J3509" s="2">
        <f ca="1">IFERROR(__xludf.DUMMYFUNCTION("""COMPUTED_VALUE"""),38775)</f>
        <v>38775</v>
      </c>
    </row>
    <row r="3510" spans="1:10" x14ac:dyDescent="0.25">
      <c r="A3510" s="1" t="str">
        <f ca="1">IFERROR(__xludf.DUMMYFUNCTION("""COMPUTED_VALUE"""),"Diaboló SE")</f>
        <v>Diaboló SE</v>
      </c>
      <c r="B3510" s="1" t="str">
        <f ca="1">IFERROR(__xludf.DUMMYFUNCTION("""COMPUTED_VALUE"""),"Varga Zsolt")</f>
        <v>Varga Zsolt</v>
      </c>
      <c r="C3510" s="1"/>
      <c r="D3510" s="1" t="str">
        <f ca="1">IFERROR(__xludf.DUMMYFUNCTION("""COMPUTED_VALUE"""),"Férfi")</f>
        <v>Férfi</v>
      </c>
      <c r="E3510" s="1"/>
      <c r="F3510" s="1">
        <f ca="1">IFERROR(__xludf.DUMMYFUNCTION("""COMPUTED_VALUE"""),1989)</f>
        <v>1989</v>
      </c>
      <c r="G3510" s="1">
        <f ca="1">IFERROR(__xludf.DUMMYFUNCTION("""COMPUTED_VALUE"""),1651)</f>
        <v>1651</v>
      </c>
      <c r="H3510" s="1" t="str">
        <f ca="1">IFERROR(__xludf.DUMMYFUNCTION("""COMPUTED_VALUE"""),"MTLSZ001651A05")</f>
        <v>MTLSZ001651A05</v>
      </c>
      <c r="I3510" s="2">
        <f ca="1">IFERROR(__xludf.DUMMYFUNCTION("""COMPUTED_VALUE"""),38411)</f>
        <v>38411</v>
      </c>
      <c r="J3510" s="2">
        <f ca="1">IFERROR(__xludf.DUMMYFUNCTION("""COMPUTED_VALUE"""),38775)</f>
        <v>38775</v>
      </c>
    </row>
    <row r="3511" spans="1:10" x14ac:dyDescent="0.25">
      <c r="A3511" s="1" t="str">
        <f ca="1">IFERROR(__xludf.DUMMYFUNCTION("""COMPUTED_VALUE"""),"Danubius KSE")</f>
        <v>Danubius KSE</v>
      </c>
      <c r="B3511" s="1" t="str">
        <f ca="1">IFERROR(__xludf.DUMMYFUNCTION("""COMPUTED_VALUE"""),"Csókás Angéla")</f>
        <v>Csókás Angéla</v>
      </c>
      <c r="C3511" s="1"/>
      <c r="D3511" s="1" t="str">
        <f ca="1">IFERROR(__xludf.DUMMYFUNCTION("""COMPUTED_VALUE"""),"Nő")</f>
        <v>Nő</v>
      </c>
      <c r="E3511" s="1"/>
      <c r="F3511" s="1">
        <f ca="1">IFERROR(__xludf.DUMMYFUNCTION("""COMPUTED_VALUE"""),1991)</f>
        <v>1991</v>
      </c>
      <c r="G3511" s="1">
        <f ca="1">IFERROR(__xludf.DUMMYFUNCTION("""COMPUTED_VALUE"""),1639)</f>
        <v>1639</v>
      </c>
      <c r="H3511" s="1" t="str">
        <f ca="1">IFERROR(__xludf.DUMMYFUNCTION("""COMPUTED_VALUE"""),"MTLSZ001639A05")</f>
        <v>MTLSZ001639A05</v>
      </c>
      <c r="I3511" s="2">
        <f ca="1">IFERROR(__xludf.DUMMYFUNCTION("""COMPUTED_VALUE"""),38406)</f>
        <v>38406</v>
      </c>
      <c r="J3511" s="2">
        <f ca="1">IFERROR(__xludf.DUMMYFUNCTION("""COMPUTED_VALUE"""),38770)</f>
        <v>38770</v>
      </c>
    </row>
    <row r="3512" spans="1:10" x14ac:dyDescent="0.25">
      <c r="A3512" s="1" t="str">
        <f ca="1">IFERROR(__xludf.DUMMYFUNCTION("""COMPUTED_VALUE"""),"Danubius KSE")</f>
        <v>Danubius KSE</v>
      </c>
      <c r="B3512" s="1" t="str">
        <f ca="1">IFERROR(__xludf.DUMMYFUNCTION("""COMPUTED_VALUE"""),"Dénes Gergely")</f>
        <v>Dénes Gergely</v>
      </c>
      <c r="C3512" s="1"/>
      <c r="D3512" s="1" t="str">
        <f ca="1">IFERROR(__xludf.DUMMYFUNCTION("""COMPUTED_VALUE"""),"Férfi")</f>
        <v>Férfi</v>
      </c>
      <c r="E3512" s="1"/>
      <c r="F3512" s="1">
        <f ca="1">IFERROR(__xludf.DUMMYFUNCTION("""COMPUTED_VALUE"""),1992)</f>
        <v>1992</v>
      </c>
      <c r="G3512" s="1">
        <f ca="1">IFERROR(__xludf.DUMMYFUNCTION("""COMPUTED_VALUE"""),1640)</f>
        <v>1640</v>
      </c>
      <c r="H3512" s="1" t="str">
        <f ca="1">IFERROR(__xludf.DUMMYFUNCTION("""COMPUTED_VALUE"""),"MTLSZ001640A05")</f>
        <v>MTLSZ001640A05</v>
      </c>
      <c r="I3512" s="2">
        <f ca="1">IFERROR(__xludf.DUMMYFUNCTION("""COMPUTED_VALUE"""),38406)</f>
        <v>38406</v>
      </c>
      <c r="J3512" s="2">
        <f ca="1">IFERROR(__xludf.DUMMYFUNCTION("""COMPUTED_VALUE"""),38770)</f>
        <v>38770</v>
      </c>
    </row>
    <row r="3513" spans="1:10" x14ac:dyDescent="0.25">
      <c r="A3513" s="1" t="str">
        <f ca="1">IFERROR(__xludf.DUMMYFUNCTION("""COMPUTED_VALUE"""),"Danubius KSE")</f>
        <v>Danubius KSE</v>
      </c>
      <c r="B3513" s="1" t="str">
        <f ca="1">IFERROR(__xludf.DUMMYFUNCTION("""COMPUTED_VALUE"""),"Gaál Norbert")</f>
        <v>Gaál Norbert</v>
      </c>
      <c r="C3513" s="1"/>
      <c r="D3513" s="1" t="str">
        <f ca="1">IFERROR(__xludf.DUMMYFUNCTION("""COMPUTED_VALUE"""),"Férfi")</f>
        <v>Férfi</v>
      </c>
      <c r="E3513" s="1"/>
      <c r="F3513" s="1">
        <f ca="1">IFERROR(__xludf.DUMMYFUNCTION("""COMPUTED_VALUE"""),1993)</f>
        <v>1993</v>
      </c>
      <c r="G3513" s="1">
        <f ca="1">IFERROR(__xludf.DUMMYFUNCTION("""COMPUTED_VALUE"""),1641)</f>
        <v>1641</v>
      </c>
      <c r="H3513" s="1" t="str">
        <f ca="1">IFERROR(__xludf.DUMMYFUNCTION("""COMPUTED_VALUE"""),"MTLSZ001641A05")</f>
        <v>MTLSZ001641A05</v>
      </c>
      <c r="I3513" s="2">
        <f ca="1">IFERROR(__xludf.DUMMYFUNCTION("""COMPUTED_VALUE"""),38406)</f>
        <v>38406</v>
      </c>
      <c r="J3513" s="2">
        <f ca="1">IFERROR(__xludf.DUMMYFUNCTION("""COMPUTED_VALUE"""),38770)</f>
        <v>38770</v>
      </c>
    </row>
    <row r="3514" spans="1:10" x14ac:dyDescent="0.25">
      <c r="A3514" s="1" t="str">
        <f ca="1">IFERROR(__xludf.DUMMYFUNCTION("""COMPUTED_VALUE"""),"Danubius KSE")</f>
        <v>Danubius KSE</v>
      </c>
      <c r="B3514" s="1" t="str">
        <f ca="1">IFERROR(__xludf.DUMMYFUNCTION("""COMPUTED_VALUE"""),"Klenejzer Fatime")</f>
        <v>Klenejzer Fatime</v>
      </c>
      <c r="C3514" s="1"/>
      <c r="D3514" s="1" t="str">
        <f ca="1">IFERROR(__xludf.DUMMYFUNCTION("""COMPUTED_VALUE"""),"Nő")</f>
        <v>Nő</v>
      </c>
      <c r="E3514" s="1"/>
      <c r="F3514" s="1">
        <f ca="1">IFERROR(__xludf.DUMMYFUNCTION("""COMPUTED_VALUE"""),1994)</f>
        <v>1994</v>
      </c>
      <c r="G3514" s="1">
        <f ca="1">IFERROR(__xludf.DUMMYFUNCTION("""COMPUTED_VALUE"""),1642)</f>
        <v>1642</v>
      </c>
      <c r="H3514" s="1" t="str">
        <f ca="1">IFERROR(__xludf.DUMMYFUNCTION("""COMPUTED_VALUE"""),"MTLSZ001642A05")</f>
        <v>MTLSZ001642A05</v>
      </c>
      <c r="I3514" s="2">
        <f ca="1">IFERROR(__xludf.DUMMYFUNCTION("""COMPUTED_VALUE"""),38406)</f>
        <v>38406</v>
      </c>
      <c r="J3514" s="2">
        <f ca="1">IFERROR(__xludf.DUMMYFUNCTION("""COMPUTED_VALUE"""),38770)</f>
        <v>38770</v>
      </c>
    </row>
    <row r="3515" spans="1:10" x14ac:dyDescent="0.25">
      <c r="A3515" s="1" t="str">
        <f ca="1">IFERROR(__xludf.DUMMYFUNCTION("""COMPUTED_VALUE"""),"Danubius KSE")</f>
        <v>Danubius KSE</v>
      </c>
      <c r="B3515" s="1" t="str">
        <f ca="1">IFERROR(__xludf.DUMMYFUNCTION("""COMPUTED_VALUE"""),"Simon Olivér")</f>
        <v>Simon Olivér</v>
      </c>
      <c r="C3515" s="1"/>
      <c r="D3515" s="1" t="str">
        <f ca="1">IFERROR(__xludf.DUMMYFUNCTION("""COMPUTED_VALUE"""),"Férfi")</f>
        <v>Férfi</v>
      </c>
      <c r="E3515" s="1"/>
      <c r="F3515" s="1">
        <f ca="1">IFERROR(__xludf.DUMMYFUNCTION("""COMPUTED_VALUE"""),1992)</f>
        <v>1992</v>
      </c>
      <c r="G3515" s="1">
        <f ca="1">IFERROR(__xludf.DUMMYFUNCTION("""COMPUTED_VALUE"""),1644)</f>
        <v>1644</v>
      </c>
      <c r="H3515" s="1" t="str">
        <f ca="1">IFERROR(__xludf.DUMMYFUNCTION("""COMPUTED_VALUE"""),"MTLSZ001644A05")</f>
        <v>MTLSZ001644A05</v>
      </c>
      <c r="I3515" s="2">
        <f ca="1">IFERROR(__xludf.DUMMYFUNCTION("""COMPUTED_VALUE"""),38406)</f>
        <v>38406</v>
      </c>
      <c r="J3515" s="2">
        <f ca="1">IFERROR(__xludf.DUMMYFUNCTION("""COMPUTED_VALUE"""),38770)</f>
        <v>38770</v>
      </c>
    </row>
    <row r="3516" spans="1:10" x14ac:dyDescent="0.25">
      <c r="A3516" s="1" t="str">
        <f ca="1">IFERROR(__xludf.DUMMYFUNCTION("""COMPUTED_VALUE"""),"Diaboló SE")</f>
        <v>Diaboló SE</v>
      </c>
      <c r="B3516" s="1" t="str">
        <f ca="1">IFERROR(__xludf.DUMMYFUNCTION("""COMPUTED_VALUE"""),"Kelemen Kata")</f>
        <v>Kelemen Kata</v>
      </c>
      <c r="C3516" s="1"/>
      <c r="D3516" s="1" t="str">
        <f ca="1">IFERROR(__xludf.DUMMYFUNCTION("""COMPUTED_VALUE"""),"Nő")</f>
        <v>Nő</v>
      </c>
      <c r="E3516" s="1"/>
      <c r="F3516" s="1">
        <f ca="1">IFERROR(__xludf.DUMMYFUNCTION("""COMPUTED_VALUE"""),1990)</f>
        <v>1990</v>
      </c>
      <c r="G3516" s="1">
        <f ca="1">IFERROR(__xludf.DUMMYFUNCTION("""COMPUTED_VALUE"""),1635)</f>
        <v>1635</v>
      </c>
      <c r="H3516" s="1" t="str">
        <f ca="1">IFERROR(__xludf.DUMMYFUNCTION("""COMPUTED_VALUE"""),"MTLSZ001635A05")</f>
        <v>MTLSZ001635A05</v>
      </c>
      <c r="I3516" s="2">
        <f ca="1">IFERROR(__xludf.DUMMYFUNCTION("""COMPUTED_VALUE"""),38404)</f>
        <v>38404</v>
      </c>
      <c r="J3516" s="2">
        <f ca="1">IFERROR(__xludf.DUMMYFUNCTION("""COMPUTED_VALUE"""),38768)</f>
        <v>38768</v>
      </c>
    </row>
    <row r="3517" spans="1:10" x14ac:dyDescent="0.25">
      <c r="A3517" s="1" t="str">
        <f ca="1">IFERROR(__xludf.DUMMYFUNCTION("""COMPUTED_VALUE"""),"MAFC")</f>
        <v>MAFC</v>
      </c>
      <c r="B3517" s="1" t="str">
        <f ca="1">IFERROR(__xludf.DUMMYFUNCTION("""COMPUTED_VALUE"""),"Janek Bence")</f>
        <v>Janek Bence</v>
      </c>
      <c r="C3517" s="1"/>
      <c r="D3517" s="1" t="str">
        <f ca="1">IFERROR(__xludf.DUMMYFUNCTION("""COMPUTED_VALUE"""),"Férfi")</f>
        <v>Férfi</v>
      </c>
      <c r="E3517" s="1"/>
      <c r="F3517" s="1">
        <f ca="1">IFERROR(__xludf.DUMMYFUNCTION("""COMPUTED_VALUE"""),1992)</f>
        <v>1992</v>
      </c>
      <c r="G3517" s="1">
        <f ca="1">IFERROR(__xludf.DUMMYFUNCTION("""COMPUTED_VALUE"""),1636)</f>
        <v>1636</v>
      </c>
      <c r="H3517" s="1" t="str">
        <f ca="1">IFERROR(__xludf.DUMMYFUNCTION("""COMPUTED_VALUE"""),"MTLSZ001636A05")</f>
        <v>MTLSZ001636A05</v>
      </c>
      <c r="I3517" s="2">
        <f ca="1">IFERROR(__xludf.DUMMYFUNCTION("""COMPUTED_VALUE"""),38404)</f>
        <v>38404</v>
      </c>
      <c r="J3517" s="2">
        <f ca="1">IFERROR(__xludf.DUMMYFUNCTION("""COMPUTED_VALUE"""),38768)</f>
        <v>38768</v>
      </c>
    </row>
    <row r="3518" spans="1:10" x14ac:dyDescent="0.25">
      <c r="A3518" s="1" t="str">
        <f ca="1">IFERROR(__xludf.DUMMYFUNCTION("""COMPUTED_VALUE"""),"Universitas SC")</f>
        <v>Universitas SC</v>
      </c>
      <c r="B3518" s="1" t="str">
        <f ca="1">IFERROR(__xludf.DUMMYFUNCTION("""COMPUTED_VALUE"""),"Szombati Edina")</f>
        <v>Szombati Edina</v>
      </c>
      <c r="C3518" s="1"/>
      <c r="D3518" s="1" t="str">
        <f ca="1">IFERROR(__xludf.DUMMYFUNCTION("""COMPUTED_VALUE"""),"Nő")</f>
        <v>Nő</v>
      </c>
      <c r="E3518" s="1"/>
      <c r="F3518" s="1">
        <f ca="1">IFERROR(__xludf.DUMMYFUNCTION("""COMPUTED_VALUE"""),1972)</f>
        <v>1972</v>
      </c>
      <c r="G3518" s="1">
        <f ca="1">IFERROR(__xludf.DUMMYFUNCTION("""COMPUTED_VALUE"""),969)</f>
        <v>969</v>
      </c>
      <c r="H3518" s="1" t="str">
        <f ca="1">IFERROR(__xludf.DUMMYFUNCTION("""COMPUTED_VALUE"""),"MTLSZ000969A05")</f>
        <v>MTLSZ000969A05</v>
      </c>
      <c r="I3518" s="2">
        <f ca="1">IFERROR(__xludf.DUMMYFUNCTION("""COMPUTED_VALUE"""),38398)</f>
        <v>38398</v>
      </c>
      <c r="J3518" s="2">
        <f ca="1">IFERROR(__xludf.DUMMYFUNCTION("""COMPUTED_VALUE"""),38762)</f>
        <v>38762</v>
      </c>
    </row>
    <row r="3519" spans="1:10" x14ac:dyDescent="0.25">
      <c r="A3519" s="1" t="str">
        <f ca="1">IFERROR(__xludf.DUMMYFUNCTION("""COMPUTED_VALUE"""),"Diaboló SE")</f>
        <v>Diaboló SE</v>
      </c>
      <c r="B3519" s="1" t="str">
        <f ca="1">IFERROR(__xludf.DUMMYFUNCTION("""COMPUTED_VALUE"""),"Kiss Balázs")</f>
        <v>Kiss Balázs</v>
      </c>
      <c r="C3519" s="1"/>
      <c r="D3519" s="1" t="str">
        <f ca="1">IFERROR(__xludf.DUMMYFUNCTION("""COMPUTED_VALUE"""),"Férfi")</f>
        <v>Férfi</v>
      </c>
      <c r="E3519" s="1"/>
      <c r="F3519" s="1">
        <f ca="1">IFERROR(__xludf.DUMMYFUNCTION("""COMPUTED_VALUE"""),1987)</f>
        <v>1987</v>
      </c>
      <c r="G3519" s="1">
        <f ca="1">IFERROR(__xludf.DUMMYFUNCTION("""COMPUTED_VALUE"""),484)</f>
        <v>484</v>
      </c>
      <c r="H3519" s="1" t="str">
        <f ca="1">IFERROR(__xludf.DUMMYFUNCTION("""COMPUTED_VALUE"""),"MTLSZ000484A05")</f>
        <v>MTLSZ000484A05</v>
      </c>
      <c r="I3519" s="2">
        <f ca="1">IFERROR(__xludf.DUMMYFUNCTION("""COMPUTED_VALUE"""),38391)</f>
        <v>38391</v>
      </c>
      <c r="J3519" s="2">
        <f ca="1">IFERROR(__xludf.DUMMYFUNCTION("""COMPUTED_VALUE"""),38755)</f>
        <v>38755</v>
      </c>
    </row>
    <row r="3520" spans="1:10" x14ac:dyDescent="0.25">
      <c r="A3520" s="1" t="str">
        <f ca="1">IFERROR(__xludf.DUMMYFUNCTION("""COMPUTED_VALUE"""),"Érdi VSE")</f>
        <v>Érdi VSE</v>
      </c>
      <c r="B3520" s="1" t="str">
        <f ca="1">IFERROR(__xludf.DUMMYFUNCTION("""COMPUTED_VALUE"""),"Babits Gábor")</f>
        <v>Babits Gábor</v>
      </c>
      <c r="C3520" s="1"/>
      <c r="D3520" s="1" t="str">
        <f ca="1">IFERROR(__xludf.DUMMYFUNCTION("""COMPUTED_VALUE"""),"Férfi")</f>
        <v>Férfi</v>
      </c>
      <c r="E3520" s="1"/>
      <c r="F3520" s="1">
        <f ca="1">IFERROR(__xludf.DUMMYFUNCTION("""COMPUTED_VALUE"""),1992)</f>
        <v>1992</v>
      </c>
      <c r="G3520" s="1">
        <f ca="1">IFERROR(__xludf.DUMMYFUNCTION("""COMPUTED_VALUE"""),1630)</f>
        <v>1630</v>
      </c>
      <c r="H3520" s="1" t="str">
        <f ca="1">IFERROR(__xludf.DUMMYFUNCTION("""COMPUTED_VALUE"""),"MTLSZ001630A05")</f>
        <v>MTLSZ001630A05</v>
      </c>
      <c r="I3520" s="2">
        <f ca="1">IFERROR(__xludf.DUMMYFUNCTION("""COMPUTED_VALUE"""),38385)</f>
        <v>38385</v>
      </c>
      <c r="J3520" s="2">
        <f ca="1">IFERROR(__xludf.DUMMYFUNCTION("""COMPUTED_VALUE"""),38749)</f>
        <v>38749</v>
      </c>
    </row>
    <row r="3521" spans="1:10" x14ac:dyDescent="0.25">
      <c r="A3521" s="1" t="str">
        <f ca="1">IFERROR(__xludf.DUMMYFUNCTION("""COMPUTED_VALUE"""),"Érdi VSE")</f>
        <v>Érdi VSE</v>
      </c>
      <c r="B3521" s="1" t="str">
        <f ca="1">IFERROR(__xludf.DUMMYFUNCTION("""COMPUTED_VALUE"""),"Simon Csaba")</f>
        <v>Simon Csaba</v>
      </c>
      <c r="C3521" s="1"/>
      <c r="D3521" s="1" t="str">
        <f ca="1">IFERROR(__xludf.DUMMYFUNCTION("""COMPUTED_VALUE"""),"Férfi")</f>
        <v>Férfi</v>
      </c>
      <c r="E3521" s="1"/>
      <c r="F3521" s="1">
        <f ca="1">IFERROR(__xludf.DUMMYFUNCTION("""COMPUTED_VALUE"""),1996)</f>
        <v>1996</v>
      </c>
      <c r="G3521" s="1">
        <f ca="1">IFERROR(__xludf.DUMMYFUNCTION("""COMPUTED_VALUE"""),1629)</f>
        <v>1629</v>
      </c>
      <c r="H3521" s="1" t="str">
        <f ca="1">IFERROR(__xludf.DUMMYFUNCTION("""COMPUTED_VALUE"""),"MTLSZ001629A05")</f>
        <v>MTLSZ001629A05</v>
      </c>
      <c r="I3521" s="2">
        <f ca="1">IFERROR(__xludf.DUMMYFUNCTION("""COMPUTED_VALUE"""),38366)</f>
        <v>38366</v>
      </c>
      <c r="J3521" s="2">
        <f ca="1">IFERROR(__xludf.DUMMYFUNCTION("""COMPUTED_VALUE"""),38730)</f>
        <v>38730</v>
      </c>
    </row>
    <row r="3522" spans="1:10" x14ac:dyDescent="0.25">
      <c r="A3522" s="1" t="str">
        <f ca="1">IFERROR(__xludf.DUMMYFUNCTION("""COMPUTED_VALUE"""),"Érdi VSE")</f>
        <v>Érdi VSE</v>
      </c>
      <c r="B3522" s="1" t="str">
        <f ca="1">IFERROR(__xludf.DUMMYFUNCTION("""COMPUTED_VALUE"""),"Stok Barbara")</f>
        <v>Stok Barbara</v>
      </c>
      <c r="C3522" s="1"/>
      <c r="D3522" s="1" t="str">
        <f ca="1">IFERROR(__xludf.DUMMYFUNCTION("""COMPUTED_VALUE"""),"Nő")</f>
        <v>Nő</v>
      </c>
      <c r="E3522" s="1"/>
      <c r="F3522" s="1">
        <f ca="1">IFERROR(__xludf.DUMMYFUNCTION("""COMPUTED_VALUE"""),1994)</f>
        <v>1994</v>
      </c>
      <c r="G3522" s="1">
        <f ca="1">IFERROR(__xludf.DUMMYFUNCTION("""COMPUTED_VALUE"""),1467)</f>
        <v>1467</v>
      </c>
      <c r="H3522" s="1" t="str">
        <f ca="1">IFERROR(__xludf.DUMMYFUNCTION("""COMPUTED_VALUE"""),"MTLSZ001467A05")</f>
        <v>MTLSZ001467A05</v>
      </c>
      <c r="I3522" s="2">
        <f ca="1">IFERROR(__xludf.DUMMYFUNCTION("""COMPUTED_VALUE"""),38366)</f>
        <v>38366</v>
      </c>
      <c r="J3522" s="2">
        <f ca="1">IFERROR(__xludf.DUMMYFUNCTION("""COMPUTED_VALUE"""),38730)</f>
        <v>38730</v>
      </c>
    </row>
    <row r="3523" spans="1:10" x14ac:dyDescent="0.25">
      <c r="A3523" s="1" t="str">
        <f ca="1">IFERROR(__xludf.DUMMYFUNCTION("""COMPUTED_VALUE"""),"Universitas SC")</f>
        <v>Universitas SC</v>
      </c>
      <c r="B3523" s="1" t="str">
        <f ca="1">IFERROR(__xludf.DUMMYFUNCTION("""COMPUTED_VALUE"""),"Varró András dr.")</f>
        <v>Varró András dr.</v>
      </c>
      <c r="C3523" s="1"/>
      <c r="D3523" s="1" t="str">
        <f ca="1">IFERROR(__xludf.DUMMYFUNCTION("""COMPUTED_VALUE"""),"Férfi")</f>
        <v>Férfi</v>
      </c>
      <c r="E3523" s="1"/>
      <c r="F3523" s="1">
        <f ca="1">IFERROR(__xludf.DUMMYFUNCTION("""COMPUTED_VALUE"""),1954)</f>
        <v>1954</v>
      </c>
      <c r="G3523" s="1">
        <f ca="1">IFERROR(__xludf.DUMMYFUNCTION("""COMPUTED_VALUE"""),1628)</f>
        <v>1628</v>
      </c>
      <c r="H3523" s="1" t="str">
        <f ca="1">IFERROR(__xludf.DUMMYFUNCTION("""COMPUTED_VALUE"""),"MTLSZ001628A04")</f>
        <v>MTLSZ001628A04</v>
      </c>
      <c r="I3523" s="2">
        <f ca="1">IFERROR(__xludf.DUMMYFUNCTION("""COMPUTED_VALUE"""),38343)</f>
        <v>38343</v>
      </c>
      <c r="J3523" s="2">
        <f ca="1">IFERROR(__xludf.DUMMYFUNCTION("""COMPUTED_VALUE"""),38707)</f>
        <v>38707</v>
      </c>
    </row>
    <row r="3524" spans="1:10" x14ac:dyDescent="0.25">
      <c r="A3524" s="1" t="str">
        <f ca="1">IFERROR(__xludf.DUMMYFUNCTION("""COMPUTED_VALUE"""),"Diaboló SE")</f>
        <v>Diaboló SE</v>
      </c>
      <c r="B3524" s="1" t="str">
        <f ca="1">IFERROR(__xludf.DUMMYFUNCTION("""COMPUTED_VALUE"""),"Sára Erika")</f>
        <v>Sára Erika</v>
      </c>
      <c r="C3524" s="1"/>
      <c r="D3524" s="1" t="str">
        <f ca="1">IFERROR(__xludf.DUMMYFUNCTION("""COMPUTED_VALUE"""),"Nő")</f>
        <v>Nő</v>
      </c>
      <c r="E3524" s="1"/>
      <c r="F3524" s="1">
        <f ca="1">IFERROR(__xludf.DUMMYFUNCTION("""COMPUTED_VALUE"""),1988)</f>
        <v>1988</v>
      </c>
      <c r="G3524" s="1">
        <f ca="1">IFERROR(__xludf.DUMMYFUNCTION("""COMPUTED_VALUE"""),1441)</f>
        <v>1441</v>
      </c>
      <c r="H3524" s="1" t="str">
        <f ca="1">IFERROR(__xludf.DUMMYFUNCTION("""COMPUTED_VALUE"""),"MTLSZ001441A04")</f>
        <v>MTLSZ001441A04</v>
      </c>
      <c r="I3524" s="2">
        <f ca="1">IFERROR(__xludf.DUMMYFUNCTION("""COMPUTED_VALUE"""),38324)</f>
        <v>38324</v>
      </c>
      <c r="J3524" s="2">
        <f ca="1">IFERROR(__xludf.DUMMYFUNCTION("""COMPUTED_VALUE"""),38688)</f>
        <v>38688</v>
      </c>
    </row>
    <row r="3525" spans="1:10" x14ac:dyDescent="0.25">
      <c r="A3525" s="1" t="str">
        <f ca="1">IFERROR(__xludf.DUMMYFUNCTION("""COMPUTED_VALUE"""),"Universitas SC")</f>
        <v>Universitas SC</v>
      </c>
      <c r="B3525" s="1" t="str">
        <f ca="1">IFERROR(__xludf.DUMMYFUNCTION("""COMPUTED_VALUE"""),"Bangha Ágnes dr.")</f>
        <v>Bangha Ágnes dr.</v>
      </c>
      <c r="C3525" s="1"/>
      <c r="D3525" s="1" t="str">
        <f ca="1">IFERROR(__xludf.DUMMYFUNCTION("""COMPUTED_VALUE"""),"Nő")</f>
        <v>Nő</v>
      </c>
      <c r="E3525" s="1"/>
      <c r="F3525" s="1">
        <f ca="1">IFERROR(__xludf.DUMMYFUNCTION("""COMPUTED_VALUE"""),1971)</f>
        <v>1971</v>
      </c>
      <c r="G3525" s="1">
        <f ca="1">IFERROR(__xludf.DUMMYFUNCTION("""COMPUTED_VALUE"""),49)</f>
        <v>49</v>
      </c>
      <c r="H3525" s="1" t="str">
        <f ca="1">IFERROR(__xludf.DUMMYFUNCTION("""COMPUTED_VALUE"""),"MTLSZ000049A04")</f>
        <v>MTLSZ000049A04</v>
      </c>
      <c r="I3525" s="2">
        <f ca="1">IFERROR(__xludf.DUMMYFUNCTION("""COMPUTED_VALUE"""),38317)</f>
        <v>38317</v>
      </c>
      <c r="J3525" s="2">
        <f ca="1">IFERROR(__xludf.DUMMYFUNCTION("""COMPUTED_VALUE"""),38681)</f>
        <v>38681</v>
      </c>
    </row>
    <row r="3526" spans="1:10" x14ac:dyDescent="0.25">
      <c r="A3526" s="1" t="str">
        <f ca="1">IFERROR(__xludf.DUMMYFUNCTION("""COMPUTED_VALUE"""),"DSK")</f>
        <v>DSK</v>
      </c>
      <c r="B3526" s="1" t="str">
        <f ca="1">IFERROR(__xludf.DUMMYFUNCTION("""COMPUTED_VALUE"""),"Nagy Norbert")</f>
        <v>Nagy Norbert</v>
      </c>
      <c r="C3526" s="1"/>
      <c r="D3526" s="1" t="str">
        <f ca="1">IFERROR(__xludf.DUMMYFUNCTION("""COMPUTED_VALUE"""),"Férfi")</f>
        <v>Férfi</v>
      </c>
      <c r="E3526" s="1"/>
      <c r="F3526" s="1">
        <f ca="1">IFERROR(__xludf.DUMMYFUNCTION("""COMPUTED_VALUE"""),1989)</f>
        <v>1989</v>
      </c>
      <c r="G3526" s="1">
        <f ca="1">IFERROR(__xludf.DUMMYFUNCTION("""COMPUTED_VALUE"""),691)</f>
        <v>691</v>
      </c>
      <c r="H3526" s="1" t="str">
        <f ca="1">IFERROR(__xludf.DUMMYFUNCTION("""COMPUTED_VALUE"""),"MTLSZ000691A04")</f>
        <v>MTLSZ000691A04</v>
      </c>
      <c r="I3526" s="2">
        <f ca="1">IFERROR(__xludf.DUMMYFUNCTION("""COMPUTED_VALUE"""),38316)</f>
        <v>38316</v>
      </c>
      <c r="J3526" s="2">
        <f ca="1">IFERROR(__xludf.DUMMYFUNCTION("""COMPUTED_VALUE"""),38680)</f>
        <v>38680</v>
      </c>
    </row>
    <row r="3527" spans="1:10" x14ac:dyDescent="0.25">
      <c r="A3527" s="1" t="str">
        <f ca="1">IFERROR(__xludf.DUMMYFUNCTION("""COMPUTED_VALUE"""),"Danubius KSE")</f>
        <v>Danubius KSE</v>
      </c>
      <c r="B3527" s="1" t="str">
        <f ca="1">IFERROR(__xludf.DUMMYFUNCTION("""COMPUTED_VALUE"""),"Furda Vanda")</f>
        <v>Furda Vanda</v>
      </c>
      <c r="C3527" s="1"/>
      <c r="D3527" s="1" t="str">
        <f ca="1">IFERROR(__xludf.DUMMYFUNCTION("""COMPUTED_VALUE"""),"Nő")</f>
        <v>Nő</v>
      </c>
      <c r="E3527" s="1"/>
      <c r="F3527" s="1">
        <f ca="1">IFERROR(__xludf.DUMMYFUNCTION("""COMPUTED_VALUE"""),1992)</f>
        <v>1992</v>
      </c>
      <c r="G3527" s="1">
        <f ca="1">IFERROR(__xludf.DUMMYFUNCTION("""COMPUTED_VALUE"""),1614)</f>
        <v>1614</v>
      </c>
      <c r="H3527" s="1" t="str">
        <f ca="1">IFERROR(__xludf.DUMMYFUNCTION("""COMPUTED_VALUE"""),"MTLSZ001614A04")</f>
        <v>MTLSZ001614A04</v>
      </c>
      <c r="I3527" s="2">
        <f ca="1">IFERROR(__xludf.DUMMYFUNCTION("""COMPUTED_VALUE"""),38314)</f>
        <v>38314</v>
      </c>
      <c r="J3527" s="2">
        <f ca="1">IFERROR(__xludf.DUMMYFUNCTION("""COMPUTED_VALUE"""),38678)</f>
        <v>38678</v>
      </c>
    </row>
    <row r="3528" spans="1:10" x14ac:dyDescent="0.25">
      <c r="A3528" s="1" t="str">
        <f ca="1">IFERROR(__xludf.DUMMYFUNCTION("""COMPUTED_VALUE"""),"Danubius KSE")</f>
        <v>Danubius KSE</v>
      </c>
      <c r="B3528" s="1" t="str">
        <f ca="1">IFERROR(__xludf.DUMMYFUNCTION("""COMPUTED_VALUE"""),"Jakab Rita Petra")</f>
        <v>Jakab Rita Petra</v>
      </c>
      <c r="C3528" s="1"/>
      <c r="D3528" s="1" t="str">
        <f ca="1">IFERROR(__xludf.DUMMYFUNCTION("""COMPUTED_VALUE"""),"Nő")</f>
        <v>Nő</v>
      </c>
      <c r="E3528" s="1"/>
      <c r="F3528" s="1">
        <f ca="1">IFERROR(__xludf.DUMMYFUNCTION("""COMPUTED_VALUE"""),1994)</f>
        <v>1994</v>
      </c>
      <c r="G3528" s="1">
        <f ca="1">IFERROR(__xludf.DUMMYFUNCTION("""COMPUTED_VALUE"""),1616)</f>
        <v>1616</v>
      </c>
      <c r="H3528" s="1" t="str">
        <f ca="1">IFERROR(__xludf.DUMMYFUNCTION("""COMPUTED_VALUE"""),"MTLSZ001616A04")</f>
        <v>MTLSZ001616A04</v>
      </c>
      <c r="I3528" s="2">
        <f ca="1">IFERROR(__xludf.DUMMYFUNCTION("""COMPUTED_VALUE"""),38314)</f>
        <v>38314</v>
      </c>
      <c r="J3528" s="2">
        <f ca="1">IFERROR(__xludf.DUMMYFUNCTION("""COMPUTED_VALUE"""),38678)</f>
        <v>38678</v>
      </c>
    </row>
    <row r="3529" spans="1:10" x14ac:dyDescent="0.25">
      <c r="A3529" s="1" t="str">
        <f ca="1">IFERROR(__xludf.DUMMYFUNCTION("""COMPUTED_VALUE"""),"Danubius KSE")</f>
        <v>Danubius KSE</v>
      </c>
      <c r="B3529" s="1" t="str">
        <f ca="1">IFERROR(__xludf.DUMMYFUNCTION("""COMPUTED_VALUE"""),"Paál István")</f>
        <v>Paál István</v>
      </c>
      <c r="C3529" s="1"/>
      <c r="D3529" s="1" t="str">
        <f ca="1">IFERROR(__xludf.DUMMYFUNCTION("""COMPUTED_VALUE"""),"Férfi")</f>
        <v>Férfi</v>
      </c>
      <c r="E3529" s="1"/>
      <c r="F3529" s="1">
        <f ca="1">IFERROR(__xludf.DUMMYFUNCTION("""COMPUTED_VALUE"""),1983)</f>
        <v>1983</v>
      </c>
      <c r="G3529" s="1">
        <f ca="1">IFERROR(__xludf.DUMMYFUNCTION("""COMPUTED_VALUE"""),1618)</f>
        <v>1618</v>
      </c>
      <c r="H3529" s="1" t="str">
        <f ca="1">IFERROR(__xludf.DUMMYFUNCTION("""COMPUTED_VALUE"""),"MTLSZ001618A04")</f>
        <v>MTLSZ001618A04</v>
      </c>
      <c r="I3529" s="2">
        <f ca="1">IFERROR(__xludf.DUMMYFUNCTION("""COMPUTED_VALUE"""),38314)</f>
        <v>38314</v>
      </c>
      <c r="J3529" s="2">
        <f ca="1">IFERROR(__xludf.DUMMYFUNCTION("""COMPUTED_VALUE"""),38678)</f>
        <v>38678</v>
      </c>
    </row>
    <row r="3530" spans="1:10" x14ac:dyDescent="0.25">
      <c r="A3530" s="1" t="str">
        <f ca="1">IFERROR(__xludf.DUMMYFUNCTION("""COMPUTED_VALUE"""),"Danubius KSE")</f>
        <v>Danubius KSE</v>
      </c>
      <c r="B3530" s="1" t="str">
        <f ca="1">IFERROR(__xludf.DUMMYFUNCTION("""COMPUTED_VALUE"""),"Sipőcz Andrea")</f>
        <v>Sipőcz Andrea</v>
      </c>
      <c r="C3530" s="1"/>
      <c r="D3530" s="1" t="str">
        <f ca="1">IFERROR(__xludf.DUMMYFUNCTION("""COMPUTED_VALUE"""),"Nő")</f>
        <v>Nő</v>
      </c>
      <c r="E3530" s="1"/>
      <c r="F3530" s="1">
        <f ca="1">IFERROR(__xludf.DUMMYFUNCTION("""COMPUTED_VALUE"""),1989)</f>
        <v>1989</v>
      </c>
      <c r="G3530" s="1">
        <f ca="1">IFERROR(__xludf.DUMMYFUNCTION("""COMPUTED_VALUE"""),1620)</f>
        <v>1620</v>
      </c>
      <c r="H3530" s="1" t="str">
        <f ca="1">IFERROR(__xludf.DUMMYFUNCTION("""COMPUTED_VALUE"""),"MTLSZ001620A04")</f>
        <v>MTLSZ001620A04</v>
      </c>
      <c r="I3530" s="2">
        <f ca="1">IFERROR(__xludf.DUMMYFUNCTION("""COMPUTED_VALUE"""),38314)</f>
        <v>38314</v>
      </c>
      <c r="J3530" s="2">
        <f ca="1">IFERROR(__xludf.DUMMYFUNCTION("""COMPUTED_VALUE"""),38678)</f>
        <v>38678</v>
      </c>
    </row>
    <row r="3531" spans="1:10" x14ac:dyDescent="0.25">
      <c r="A3531" s="1" t="str">
        <f ca="1">IFERROR(__xludf.DUMMYFUNCTION("""COMPUTED_VALUE"""),"Danubius KSE")</f>
        <v>Danubius KSE</v>
      </c>
      <c r="B3531" s="1" t="str">
        <f ca="1">IFERROR(__xludf.DUMMYFUNCTION("""COMPUTED_VALUE"""),"Somogyi Ramóna")</f>
        <v>Somogyi Ramóna</v>
      </c>
      <c r="C3531" s="1"/>
      <c r="D3531" s="1" t="str">
        <f ca="1">IFERROR(__xludf.DUMMYFUNCTION("""COMPUTED_VALUE"""),"Nő")</f>
        <v>Nő</v>
      </c>
      <c r="E3531" s="1"/>
      <c r="F3531" s="1">
        <f ca="1">IFERROR(__xludf.DUMMYFUNCTION("""COMPUTED_VALUE"""),1992)</f>
        <v>1992</v>
      </c>
      <c r="G3531" s="1">
        <f ca="1">IFERROR(__xludf.DUMMYFUNCTION("""COMPUTED_VALUE"""),1623)</f>
        <v>1623</v>
      </c>
      <c r="H3531" s="1" t="str">
        <f ca="1">IFERROR(__xludf.DUMMYFUNCTION("""COMPUTED_VALUE"""),"MTLSZ001623A04")</f>
        <v>MTLSZ001623A04</v>
      </c>
      <c r="I3531" s="2">
        <f ca="1">IFERROR(__xludf.DUMMYFUNCTION("""COMPUTED_VALUE"""),38314)</f>
        <v>38314</v>
      </c>
      <c r="J3531" s="2">
        <f ca="1">IFERROR(__xludf.DUMMYFUNCTION("""COMPUTED_VALUE"""),38678)</f>
        <v>38678</v>
      </c>
    </row>
    <row r="3532" spans="1:10" x14ac:dyDescent="0.25">
      <c r="A3532" s="1" t="str">
        <f ca="1">IFERROR(__xludf.DUMMYFUNCTION("""COMPUTED_VALUE"""),"Danubius KSE")</f>
        <v>Danubius KSE</v>
      </c>
      <c r="B3532" s="1" t="str">
        <f ca="1">IFERROR(__xludf.DUMMYFUNCTION("""COMPUTED_VALUE"""),"Túri Viktória")</f>
        <v>Túri Viktória</v>
      </c>
      <c r="C3532" s="1"/>
      <c r="D3532" s="1" t="str">
        <f ca="1">IFERROR(__xludf.DUMMYFUNCTION("""COMPUTED_VALUE"""),"Nő")</f>
        <v>Nő</v>
      </c>
      <c r="E3532" s="1"/>
      <c r="F3532" s="1">
        <f ca="1">IFERROR(__xludf.DUMMYFUNCTION("""COMPUTED_VALUE"""),1994)</f>
        <v>1994</v>
      </c>
      <c r="G3532" s="1">
        <f ca="1">IFERROR(__xludf.DUMMYFUNCTION("""COMPUTED_VALUE"""),1624)</f>
        <v>1624</v>
      </c>
      <c r="H3532" s="1" t="str">
        <f ca="1">IFERROR(__xludf.DUMMYFUNCTION("""COMPUTED_VALUE"""),"MTLSZ001624A04")</f>
        <v>MTLSZ001624A04</v>
      </c>
      <c r="I3532" s="2">
        <f ca="1">IFERROR(__xludf.DUMMYFUNCTION("""COMPUTED_VALUE"""),38314)</f>
        <v>38314</v>
      </c>
      <c r="J3532" s="2">
        <f ca="1">IFERROR(__xludf.DUMMYFUNCTION("""COMPUTED_VALUE"""),38678)</f>
        <v>38678</v>
      </c>
    </row>
    <row r="3533" spans="1:10" x14ac:dyDescent="0.25">
      <c r="A3533" s="1" t="str">
        <f ca="1">IFERROR(__xludf.DUMMYFUNCTION("""COMPUTED_VALUE"""),"Formás SE")</f>
        <v>Formás SE</v>
      </c>
      <c r="B3533" s="1" t="str">
        <f ca="1">IFERROR(__xludf.DUMMYFUNCTION("""COMPUTED_VALUE"""),"Császár József")</f>
        <v>Császár József</v>
      </c>
      <c r="C3533" s="1"/>
      <c r="D3533" s="1" t="str">
        <f ca="1">IFERROR(__xludf.DUMMYFUNCTION("""COMPUTED_VALUE"""),"Férfi")</f>
        <v>Férfi</v>
      </c>
      <c r="E3533" s="1"/>
      <c r="F3533" s="1">
        <f ca="1">IFERROR(__xludf.DUMMYFUNCTION("""COMPUTED_VALUE"""),1967)</f>
        <v>1967</v>
      </c>
      <c r="G3533" s="1">
        <f ca="1">IFERROR(__xludf.DUMMYFUNCTION("""COMPUTED_VALUE"""),1596)</f>
        <v>1596</v>
      </c>
      <c r="H3533" s="1" t="str">
        <f ca="1">IFERROR(__xludf.DUMMYFUNCTION("""COMPUTED_VALUE"""),"MTLSZ001596A04")</f>
        <v>MTLSZ001596A04</v>
      </c>
      <c r="I3533" s="2">
        <f ca="1">IFERROR(__xludf.DUMMYFUNCTION("""COMPUTED_VALUE"""),38306)</f>
        <v>38306</v>
      </c>
      <c r="J3533" s="2">
        <f ca="1">IFERROR(__xludf.DUMMYFUNCTION("""COMPUTED_VALUE"""),38670)</f>
        <v>38670</v>
      </c>
    </row>
    <row r="3534" spans="1:10" x14ac:dyDescent="0.25">
      <c r="A3534" s="1" t="str">
        <f ca="1">IFERROR(__xludf.DUMMYFUNCTION("""COMPUTED_VALUE"""),"Formás SE")</f>
        <v>Formás SE</v>
      </c>
      <c r="B3534" s="1" t="str">
        <f ca="1">IFERROR(__xludf.DUMMYFUNCTION("""COMPUTED_VALUE"""),"Tisza Andrea")</f>
        <v>Tisza Andrea</v>
      </c>
      <c r="C3534" s="1"/>
      <c r="D3534" s="1" t="str">
        <f ca="1">IFERROR(__xludf.DUMMYFUNCTION("""COMPUTED_VALUE"""),"Nő")</f>
        <v>Nő</v>
      </c>
      <c r="E3534" s="1"/>
      <c r="F3534" s="1">
        <f ca="1">IFERROR(__xludf.DUMMYFUNCTION("""COMPUTED_VALUE"""),1968)</f>
        <v>1968</v>
      </c>
      <c r="G3534" s="1">
        <f ca="1">IFERROR(__xludf.DUMMYFUNCTION("""COMPUTED_VALUE"""),1433)</f>
        <v>1433</v>
      </c>
      <c r="H3534" s="1" t="str">
        <f ca="1">IFERROR(__xludf.DUMMYFUNCTION("""COMPUTED_VALUE"""),"MTLSZ001433A04")</f>
        <v>MTLSZ001433A04</v>
      </c>
      <c r="I3534" s="2">
        <f ca="1">IFERROR(__xludf.DUMMYFUNCTION("""COMPUTED_VALUE"""),38306)</f>
        <v>38306</v>
      </c>
      <c r="J3534" s="2">
        <f ca="1">IFERROR(__xludf.DUMMYFUNCTION("""COMPUTED_VALUE"""),38670)</f>
        <v>38670</v>
      </c>
    </row>
    <row r="3535" spans="1:10" x14ac:dyDescent="0.25">
      <c r="A3535" s="1" t="str">
        <f ca="1">IFERROR(__xludf.DUMMYFUNCTION("""COMPUTED_VALUE"""),"#N/A")</f>
        <v>#N/A</v>
      </c>
      <c r="B3535" s="1" t="str">
        <f ca="1">IFERROR(__xludf.DUMMYFUNCTION("""COMPUTED_VALUE"""),"Bónyai Ferenc")</f>
        <v>Bónyai Ferenc</v>
      </c>
      <c r="C3535" s="1"/>
      <c r="D3535" s="1" t="str">
        <f ca="1">IFERROR(__xludf.DUMMYFUNCTION("""COMPUTED_VALUE"""),"Férfi")</f>
        <v>Férfi</v>
      </c>
      <c r="E3535" s="1"/>
      <c r="F3535" s="1">
        <f ca="1">IFERROR(__xludf.DUMMYFUNCTION("""COMPUTED_VALUE"""),1961)</f>
        <v>1961</v>
      </c>
      <c r="G3535" s="1">
        <f ca="1">IFERROR(__xludf.DUMMYFUNCTION("""COMPUTED_VALUE"""),1597)</f>
        <v>1597</v>
      </c>
      <c r="H3535" s="1" t="str">
        <f ca="1">IFERROR(__xludf.DUMMYFUNCTION("""COMPUTED_VALUE"""),"MTLSZ001597A04")</f>
        <v>MTLSZ001597A04</v>
      </c>
      <c r="I3535" s="2">
        <f ca="1">IFERROR(__xludf.DUMMYFUNCTION("""COMPUTED_VALUE"""),38306)</f>
        <v>38306</v>
      </c>
      <c r="J3535" s="2">
        <f ca="1">IFERROR(__xludf.DUMMYFUNCTION("""COMPUTED_VALUE"""),38670)</f>
        <v>38670</v>
      </c>
    </row>
    <row r="3536" spans="1:10" x14ac:dyDescent="0.25">
      <c r="A3536" s="1" t="str">
        <f ca="1">IFERROR(__xludf.DUMMYFUNCTION("""COMPUTED_VALUE"""),"#N/A")</f>
        <v>#N/A</v>
      </c>
      <c r="B3536" s="1" t="str">
        <f ca="1">IFERROR(__xludf.DUMMYFUNCTION("""COMPUTED_VALUE"""),"Dobrotiné Kovács Edina")</f>
        <v>Dobrotiné Kovács Edina</v>
      </c>
      <c r="C3536" s="1"/>
      <c r="D3536" s="1" t="str">
        <f ca="1">IFERROR(__xludf.DUMMYFUNCTION("""COMPUTED_VALUE"""),"Nő")</f>
        <v>Nő</v>
      </c>
      <c r="E3536" s="1"/>
      <c r="F3536" s="1">
        <f ca="1">IFERROR(__xludf.DUMMYFUNCTION("""COMPUTED_VALUE"""),1974)</f>
        <v>1974</v>
      </c>
      <c r="G3536" s="1">
        <f ca="1">IFERROR(__xludf.DUMMYFUNCTION("""COMPUTED_VALUE"""),1598)</f>
        <v>1598</v>
      </c>
      <c r="H3536" s="1" t="str">
        <f ca="1">IFERROR(__xludf.DUMMYFUNCTION("""COMPUTED_VALUE"""),"MTLSZ001598A04")</f>
        <v>MTLSZ001598A04</v>
      </c>
      <c r="I3536" s="2">
        <f ca="1">IFERROR(__xludf.DUMMYFUNCTION("""COMPUTED_VALUE"""),38306)</f>
        <v>38306</v>
      </c>
      <c r="J3536" s="2">
        <f ca="1">IFERROR(__xludf.DUMMYFUNCTION("""COMPUTED_VALUE"""),38670)</f>
        <v>38670</v>
      </c>
    </row>
    <row r="3537" spans="1:10" x14ac:dyDescent="0.25">
      <c r="A3537" s="1" t="str">
        <f ca="1">IFERROR(__xludf.DUMMYFUNCTION("""COMPUTED_VALUE"""),"#N/A")</f>
        <v>#N/A</v>
      </c>
      <c r="B3537" s="1" t="str">
        <f ca="1">IFERROR(__xludf.DUMMYFUNCTION("""COMPUTED_VALUE"""),"Fehér Zoltán")</f>
        <v>Fehér Zoltán</v>
      </c>
      <c r="C3537" s="1"/>
      <c r="D3537" s="1" t="str">
        <f ca="1">IFERROR(__xludf.DUMMYFUNCTION("""COMPUTED_VALUE"""),"Férfi")</f>
        <v>Férfi</v>
      </c>
      <c r="E3537" s="1"/>
      <c r="F3537" s="1">
        <f ca="1">IFERROR(__xludf.DUMMYFUNCTION("""COMPUTED_VALUE"""),1970)</f>
        <v>1970</v>
      </c>
      <c r="G3537" s="1">
        <f ca="1">IFERROR(__xludf.DUMMYFUNCTION("""COMPUTED_VALUE"""),1600)</f>
        <v>1600</v>
      </c>
      <c r="H3537" s="1" t="str">
        <f ca="1">IFERROR(__xludf.DUMMYFUNCTION("""COMPUTED_VALUE"""),"MTLSZ001600A04")</f>
        <v>MTLSZ001600A04</v>
      </c>
      <c r="I3537" s="2">
        <f ca="1">IFERROR(__xludf.DUMMYFUNCTION("""COMPUTED_VALUE"""),38306)</f>
        <v>38306</v>
      </c>
      <c r="J3537" s="2">
        <f ca="1">IFERROR(__xludf.DUMMYFUNCTION("""COMPUTED_VALUE"""),38670)</f>
        <v>38670</v>
      </c>
    </row>
    <row r="3538" spans="1:10" x14ac:dyDescent="0.25">
      <c r="A3538" s="1" t="str">
        <f ca="1">IFERROR(__xludf.DUMMYFUNCTION("""COMPUTED_VALUE"""),"#N/A")</f>
        <v>#N/A</v>
      </c>
      <c r="B3538" s="1" t="str">
        <f ca="1">IFERROR(__xludf.DUMMYFUNCTION("""COMPUTED_VALUE"""),"Fehérné Bori Ágnes")</f>
        <v>Fehérné Bori Ágnes</v>
      </c>
      <c r="C3538" s="1"/>
      <c r="D3538" s="1" t="str">
        <f ca="1">IFERROR(__xludf.DUMMYFUNCTION("""COMPUTED_VALUE"""),"Nő")</f>
        <v>Nő</v>
      </c>
      <c r="E3538" s="1"/>
      <c r="F3538" s="1">
        <f ca="1">IFERROR(__xludf.DUMMYFUNCTION("""COMPUTED_VALUE"""),1981)</f>
        <v>1981</v>
      </c>
      <c r="G3538" s="1">
        <f ca="1">IFERROR(__xludf.DUMMYFUNCTION("""COMPUTED_VALUE"""),1599)</f>
        <v>1599</v>
      </c>
      <c r="H3538" s="1" t="str">
        <f ca="1">IFERROR(__xludf.DUMMYFUNCTION("""COMPUTED_VALUE"""),"MTLSZ001599A04")</f>
        <v>MTLSZ001599A04</v>
      </c>
      <c r="I3538" s="2">
        <f ca="1">IFERROR(__xludf.DUMMYFUNCTION("""COMPUTED_VALUE"""),38306)</f>
        <v>38306</v>
      </c>
      <c r="J3538" s="2">
        <f ca="1">IFERROR(__xludf.DUMMYFUNCTION("""COMPUTED_VALUE"""),38670)</f>
        <v>38670</v>
      </c>
    </row>
    <row r="3539" spans="1:10" x14ac:dyDescent="0.25">
      <c r="A3539" s="1" t="str">
        <f ca="1">IFERROR(__xludf.DUMMYFUNCTION("""COMPUTED_VALUE"""),"#N/A")</f>
        <v>#N/A</v>
      </c>
      <c r="B3539" s="1" t="str">
        <f ca="1">IFERROR(__xludf.DUMMYFUNCTION("""COMPUTED_VALUE"""),"Gál László")</f>
        <v>Gál László</v>
      </c>
      <c r="C3539" s="1"/>
      <c r="D3539" s="1" t="str">
        <f ca="1">IFERROR(__xludf.DUMMYFUNCTION("""COMPUTED_VALUE"""),"Férfi")</f>
        <v>Férfi</v>
      </c>
      <c r="E3539" s="1"/>
      <c r="F3539" s="1">
        <f ca="1">IFERROR(__xludf.DUMMYFUNCTION("""COMPUTED_VALUE"""),1977)</f>
        <v>1977</v>
      </c>
      <c r="G3539" s="1">
        <f ca="1">IFERROR(__xludf.DUMMYFUNCTION("""COMPUTED_VALUE"""),1601)</f>
        <v>1601</v>
      </c>
      <c r="H3539" s="1" t="str">
        <f ca="1">IFERROR(__xludf.DUMMYFUNCTION("""COMPUTED_VALUE"""),"MTLSZ001601A04")</f>
        <v>MTLSZ001601A04</v>
      </c>
      <c r="I3539" s="2">
        <f ca="1">IFERROR(__xludf.DUMMYFUNCTION("""COMPUTED_VALUE"""),38306)</f>
        <v>38306</v>
      </c>
      <c r="J3539" s="2">
        <f ca="1">IFERROR(__xludf.DUMMYFUNCTION("""COMPUTED_VALUE"""),38670)</f>
        <v>38670</v>
      </c>
    </row>
    <row r="3540" spans="1:10" x14ac:dyDescent="0.25">
      <c r="A3540" s="1" t="str">
        <f ca="1">IFERROR(__xludf.DUMMYFUNCTION("""COMPUTED_VALUE"""),"#N/A")</f>
        <v>#N/A</v>
      </c>
      <c r="B3540" s="1" t="str">
        <f ca="1">IFERROR(__xludf.DUMMYFUNCTION("""COMPUTED_VALUE"""),"Herczegh Andrásné")</f>
        <v>Herczegh Andrásné</v>
      </c>
      <c r="C3540" s="1"/>
      <c r="D3540" s="1" t="str">
        <f ca="1">IFERROR(__xludf.DUMMYFUNCTION("""COMPUTED_VALUE"""),"Nő")</f>
        <v>Nő</v>
      </c>
      <c r="E3540" s="1"/>
      <c r="F3540" s="1">
        <f ca="1">IFERROR(__xludf.DUMMYFUNCTION("""COMPUTED_VALUE"""),1956)</f>
        <v>1956</v>
      </c>
      <c r="G3540" s="1">
        <f ca="1">IFERROR(__xludf.DUMMYFUNCTION("""COMPUTED_VALUE"""),1602)</f>
        <v>1602</v>
      </c>
      <c r="H3540" s="1" t="str">
        <f ca="1">IFERROR(__xludf.DUMMYFUNCTION("""COMPUTED_VALUE"""),"MTLSZ001602A04")</f>
        <v>MTLSZ001602A04</v>
      </c>
      <c r="I3540" s="2">
        <f ca="1">IFERROR(__xludf.DUMMYFUNCTION("""COMPUTED_VALUE"""),38306)</f>
        <v>38306</v>
      </c>
      <c r="J3540" s="2">
        <f ca="1">IFERROR(__xludf.DUMMYFUNCTION("""COMPUTED_VALUE"""),38670)</f>
        <v>38670</v>
      </c>
    </row>
    <row r="3541" spans="1:10" x14ac:dyDescent="0.25">
      <c r="A3541" s="1" t="str">
        <f ca="1">IFERROR(__xludf.DUMMYFUNCTION("""COMPUTED_VALUE"""),"#N/A")</f>
        <v>#N/A</v>
      </c>
      <c r="B3541" s="1" t="str">
        <f ca="1">IFERROR(__xludf.DUMMYFUNCTION("""COMPUTED_VALUE"""),"Hesz Tamás")</f>
        <v>Hesz Tamás</v>
      </c>
      <c r="C3541" s="1"/>
      <c r="D3541" s="1" t="str">
        <f ca="1">IFERROR(__xludf.DUMMYFUNCTION("""COMPUTED_VALUE"""),"Férfi")</f>
        <v>Férfi</v>
      </c>
      <c r="E3541" s="1"/>
      <c r="F3541" s="1">
        <f ca="1">IFERROR(__xludf.DUMMYFUNCTION("""COMPUTED_VALUE"""),1976)</f>
        <v>1976</v>
      </c>
      <c r="G3541" s="1">
        <f ca="1">IFERROR(__xludf.DUMMYFUNCTION("""COMPUTED_VALUE"""),1603)</f>
        <v>1603</v>
      </c>
      <c r="H3541" s="1" t="str">
        <f ca="1">IFERROR(__xludf.DUMMYFUNCTION("""COMPUTED_VALUE"""),"MTLSZ001603A04")</f>
        <v>MTLSZ001603A04</v>
      </c>
      <c r="I3541" s="2">
        <f ca="1">IFERROR(__xludf.DUMMYFUNCTION("""COMPUTED_VALUE"""),38306)</f>
        <v>38306</v>
      </c>
      <c r="J3541" s="2">
        <f ca="1">IFERROR(__xludf.DUMMYFUNCTION("""COMPUTED_VALUE"""),38670)</f>
        <v>38670</v>
      </c>
    </row>
    <row r="3542" spans="1:10" x14ac:dyDescent="0.25">
      <c r="A3542" s="1" t="str">
        <f ca="1">IFERROR(__xludf.DUMMYFUNCTION("""COMPUTED_VALUE"""),"#N/A")</f>
        <v>#N/A</v>
      </c>
      <c r="B3542" s="1" t="str">
        <f ca="1">IFERROR(__xludf.DUMMYFUNCTION("""COMPUTED_VALUE"""),"Mattyasovszky Miklós")</f>
        <v>Mattyasovszky Miklós</v>
      </c>
      <c r="C3542" s="1"/>
      <c r="D3542" s="1" t="str">
        <f ca="1">IFERROR(__xludf.DUMMYFUNCTION("""COMPUTED_VALUE"""),"Férfi")</f>
        <v>Férfi</v>
      </c>
      <c r="E3542" s="1"/>
      <c r="F3542" s="1">
        <f ca="1">IFERROR(__xludf.DUMMYFUNCTION("""COMPUTED_VALUE"""),1973)</f>
        <v>1973</v>
      </c>
      <c r="G3542" s="1">
        <f ca="1">IFERROR(__xludf.DUMMYFUNCTION("""COMPUTED_VALUE"""),1604)</f>
        <v>1604</v>
      </c>
      <c r="H3542" s="1" t="str">
        <f ca="1">IFERROR(__xludf.DUMMYFUNCTION("""COMPUTED_VALUE"""),"MTLSZ001604A04")</f>
        <v>MTLSZ001604A04</v>
      </c>
      <c r="I3542" s="2">
        <f ca="1">IFERROR(__xludf.DUMMYFUNCTION("""COMPUTED_VALUE"""),38306)</f>
        <v>38306</v>
      </c>
      <c r="J3542" s="2">
        <f ca="1">IFERROR(__xludf.DUMMYFUNCTION("""COMPUTED_VALUE"""),38670)</f>
        <v>38670</v>
      </c>
    </row>
    <row r="3543" spans="1:10" x14ac:dyDescent="0.25">
      <c r="A3543" s="1" t="str">
        <f ca="1">IFERROR(__xludf.DUMMYFUNCTION("""COMPUTED_VALUE"""),"#N/A")</f>
        <v>#N/A</v>
      </c>
      <c r="B3543" s="1" t="str">
        <f ca="1">IFERROR(__xludf.DUMMYFUNCTION("""COMPUTED_VALUE"""),"Molnár Tamás")</f>
        <v>Molnár Tamás</v>
      </c>
      <c r="C3543" s="1"/>
      <c r="D3543" s="1" t="str">
        <f ca="1">IFERROR(__xludf.DUMMYFUNCTION("""COMPUTED_VALUE"""),"Férfi")</f>
        <v>Férfi</v>
      </c>
      <c r="E3543" s="1"/>
      <c r="F3543" s="1">
        <f ca="1">IFERROR(__xludf.DUMMYFUNCTION("""COMPUTED_VALUE"""),1983)</f>
        <v>1983</v>
      </c>
      <c r="G3543" s="1">
        <f ca="1">IFERROR(__xludf.DUMMYFUNCTION("""COMPUTED_VALUE"""),1605)</f>
        <v>1605</v>
      </c>
      <c r="H3543" s="1" t="str">
        <f ca="1">IFERROR(__xludf.DUMMYFUNCTION("""COMPUTED_VALUE"""),"MTLSZ001605A04")</f>
        <v>MTLSZ001605A04</v>
      </c>
      <c r="I3543" s="2">
        <f ca="1">IFERROR(__xludf.DUMMYFUNCTION("""COMPUTED_VALUE"""),38306)</f>
        <v>38306</v>
      </c>
      <c r="J3543" s="2">
        <f ca="1">IFERROR(__xludf.DUMMYFUNCTION("""COMPUTED_VALUE"""),38670)</f>
        <v>38670</v>
      </c>
    </row>
    <row r="3544" spans="1:10" x14ac:dyDescent="0.25">
      <c r="A3544" s="1" t="str">
        <f ca="1">IFERROR(__xludf.DUMMYFUNCTION("""COMPUTED_VALUE"""),"#N/A")</f>
        <v>#N/A</v>
      </c>
      <c r="B3544" s="1" t="str">
        <f ca="1">IFERROR(__xludf.DUMMYFUNCTION("""COMPUTED_VALUE"""),"Pálinkás Krisztina")</f>
        <v>Pálinkás Krisztina</v>
      </c>
      <c r="C3544" s="1"/>
      <c r="D3544" s="1" t="str">
        <f ca="1">IFERROR(__xludf.DUMMYFUNCTION("""COMPUTED_VALUE"""),"Nő")</f>
        <v>Nő</v>
      </c>
      <c r="E3544" s="1"/>
      <c r="F3544" s="1">
        <f ca="1">IFERROR(__xludf.DUMMYFUNCTION("""COMPUTED_VALUE"""),1980)</f>
        <v>1980</v>
      </c>
      <c r="G3544" s="1">
        <f ca="1">IFERROR(__xludf.DUMMYFUNCTION("""COMPUTED_VALUE"""),1606)</f>
        <v>1606</v>
      </c>
      <c r="H3544" s="1" t="str">
        <f ca="1">IFERROR(__xludf.DUMMYFUNCTION("""COMPUTED_VALUE"""),"MTLSZ001606A04")</f>
        <v>MTLSZ001606A04</v>
      </c>
      <c r="I3544" s="2">
        <f ca="1">IFERROR(__xludf.DUMMYFUNCTION("""COMPUTED_VALUE"""),38306)</f>
        <v>38306</v>
      </c>
      <c r="J3544" s="2">
        <f ca="1">IFERROR(__xludf.DUMMYFUNCTION("""COMPUTED_VALUE"""),38670)</f>
        <v>38670</v>
      </c>
    </row>
    <row r="3545" spans="1:10" x14ac:dyDescent="0.25">
      <c r="A3545" s="1" t="str">
        <f ca="1">IFERROR(__xludf.DUMMYFUNCTION("""COMPUTED_VALUE"""),"#N/A")</f>
        <v>#N/A</v>
      </c>
      <c r="B3545" s="1" t="str">
        <f ca="1">IFERROR(__xludf.DUMMYFUNCTION("""COMPUTED_VALUE"""),"Szeleczki László")</f>
        <v>Szeleczki László</v>
      </c>
      <c r="C3545" s="1"/>
      <c r="D3545" s="1" t="str">
        <f ca="1">IFERROR(__xludf.DUMMYFUNCTION("""COMPUTED_VALUE"""),"Férfi")</f>
        <v>Férfi</v>
      </c>
      <c r="E3545" s="1"/>
      <c r="F3545" s="1">
        <f ca="1">IFERROR(__xludf.DUMMYFUNCTION("""COMPUTED_VALUE"""),1960)</f>
        <v>1960</v>
      </c>
      <c r="G3545" s="1">
        <f ca="1">IFERROR(__xludf.DUMMYFUNCTION("""COMPUTED_VALUE"""),1607)</f>
        <v>1607</v>
      </c>
      <c r="H3545" s="1" t="str">
        <f ca="1">IFERROR(__xludf.DUMMYFUNCTION("""COMPUTED_VALUE"""),"MTLSZ001607A04")</f>
        <v>MTLSZ001607A04</v>
      </c>
      <c r="I3545" s="2">
        <f ca="1">IFERROR(__xludf.DUMMYFUNCTION("""COMPUTED_VALUE"""),38306)</f>
        <v>38306</v>
      </c>
      <c r="J3545" s="2">
        <f ca="1">IFERROR(__xludf.DUMMYFUNCTION("""COMPUTED_VALUE"""),38670)</f>
        <v>38670</v>
      </c>
    </row>
    <row r="3546" spans="1:10" x14ac:dyDescent="0.25">
      <c r="A3546" s="1" t="str">
        <f ca="1">IFERROR(__xludf.DUMMYFUNCTION("""COMPUTED_VALUE"""),"HZSE")</f>
        <v>HZSE</v>
      </c>
      <c r="B3546" s="1" t="str">
        <f ca="1">IFERROR(__xludf.DUMMYFUNCTION("""COMPUTED_VALUE"""),"Vasúth Mátyás Zsolt")</f>
        <v>Vasúth Mátyás Zsolt</v>
      </c>
      <c r="C3546" s="1"/>
      <c r="D3546" s="1" t="str">
        <f ca="1">IFERROR(__xludf.DUMMYFUNCTION("""COMPUTED_VALUE"""),"Férfi")</f>
        <v>Férfi</v>
      </c>
      <c r="E3546" s="1"/>
      <c r="F3546" s="1">
        <f ca="1">IFERROR(__xludf.DUMMYFUNCTION("""COMPUTED_VALUE"""),1973)</f>
        <v>1973</v>
      </c>
      <c r="G3546" s="1">
        <f ca="1">IFERROR(__xludf.DUMMYFUNCTION("""COMPUTED_VALUE"""),1106)</f>
        <v>1106</v>
      </c>
      <c r="H3546" s="1" t="str">
        <f ca="1">IFERROR(__xludf.DUMMYFUNCTION("""COMPUTED_VALUE"""),"MTLSZ001106A04")</f>
        <v>MTLSZ001106A04</v>
      </c>
      <c r="I3546" s="2">
        <f ca="1">IFERROR(__xludf.DUMMYFUNCTION("""COMPUTED_VALUE"""),38303)</f>
        <v>38303</v>
      </c>
      <c r="J3546" s="2">
        <f ca="1">IFERROR(__xludf.DUMMYFUNCTION("""COMPUTED_VALUE"""),38667)</f>
        <v>38667</v>
      </c>
    </row>
    <row r="3547" spans="1:10" x14ac:dyDescent="0.25">
      <c r="A3547" s="1" t="str">
        <f ca="1">IFERROR(__xludf.DUMMYFUNCTION("""COMPUTED_VALUE"""),"Diaboló SE")</f>
        <v>Diaboló SE</v>
      </c>
      <c r="B3547" s="1" t="str">
        <f ca="1">IFERROR(__xludf.DUMMYFUNCTION("""COMPUTED_VALUE"""),"Balda Brigitta")</f>
        <v>Balda Brigitta</v>
      </c>
      <c r="C3547" s="1"/>
      <c r="D3547" s="1" t="str">
        <f ca="1">IFERROR(__xludf.DUMMYFUNCTION("""COMPUTED_VALUE"""),"Nő")</f>
        <v>Nő</v>
      </c>
      <c r="E3547" s="1"/>
      <c r="F3547" s="1">
        <f ca="1">IFERROR(__xludf.DUMMYFUNCTION("""COMPUTED_VALUE"""),1987)</f>
        <v>1987</v>
      </c>
      <c r="G3547" s="1">
        <f ca="1">IFERROR(__xludf.DUMMYFUNCTION("""COMPUTED_VALUE"""),1437)</f>
        <v>1437</v>
      </c>
      <c r="H3547" s="1" t="str">
        <f ca="1">IFERROR(__xludf.DUMMYFUNCTION("""COMPUTED_VALUE"""),"MTLSZ001437A04")</f>
        <v>MTLSZ001437A04</v>
      </c>
      <c r="I3547" s="2">
        <f ca="1">IFERROR(__xludf.DUMMYFUNCTION("""COMPUTED_VALUE"""),38302)</f>
        <v>38302</v>
      </c>
      <c r="J3547" s="2">
        <f ca="1">IFERROR(__xludf.DUMMYFUNCTION("""COMPUTED_VALUE"""),38666)</f>
        <v>38666</v>
      </c>
    </row>
    <row r="3548" spans="1:10" x14ac:dyDescent="0.25">
      <c r="A3548" s="1" t="str">
        <f ca="1">IFERROR(__xludf.DUMMYFUNCTION("""COMPUTED_VALUE"""),"Diaboló SE")</f>
        <v>Diaboló SE</v>
      </c>
      <c r="B3548" s="1" t="str">
        <f ca="1">IFERROR(__xludf.DUMMYFUNCTION("""COMPUTED_VALUE"""),"Egyed Szilvia")</f>
        <v>Egyed Szilvia</v>
      </c>
      <c r="C3548" s="1"/>
      <c r="D3548" s="1" t="str">
        <f ca="1">IFERROR(__xludf.DUMMYFUNCTION("""COMPUTED_VALUE"""),"Nő")</f>
        <v>Nő</v>
      </c>
      <c r="E3548" s="1"/>
      <c r="F3548" s="1">
        <f ca="1">IFERROR(__xludf.DUMMYFUNCTION("""COMPUTED_VALUE"""),1991)</f>
        <v>1991</v>
      </c>
      <c r="G3548" s="1">
        <f ca="1">IFERROR(__xludf.DUMMYFUNCTION("""COMPUTED_VALUE"""),1452)</f>
        <v>1452</v>
      </c>
      <c r="H3548" s="1" t="str">
        <f ca="1">IFERROR(__xludf.DUMMYFUNCTION("""COMPUTED_VALUE"""),"MTLSZ001452A04")</f>
        <v>MTLSZ001452A04</v>
      </c>
      <c r="I3548" s="2">
        <f ca="1">IFERROR(__xludf.DUMMYFUNCTION("""COMPUTED_VALUE"""),38302)</f>
        <v>38302</v>
      </c>
      <c r="J3548" s="2">
        <f ca="1">IFERROR(__xludf.DUMMYFUNCTION("""COMPUTED_VALUE"""),38666)</f>
        <v>38666</v>
      </c>
    </row>
    <row r="3549" spans="1:10" x14ac:dyDescent="0.25">
      <c r="A3549" s="1" t="str">
        <f ca="1">IFERROR(__xludf.DUMMYFUNCTION("""COMPUTED_VALUE"""),"Segesi DE")</f>
        <v>Segesi DE</v>
      </c>
      <c r="B3549" s="1" t="str">
        <f ca="1">IFERROR(__xludf.DUMMYFUNCTION("""COMPUTED_VALUE"""),"Farkas Edina")</f>
        <v>Farkas Edina</v>
      </c>
      <c r="C3549" s="1"/>
      <c r="D3549" s="1" t="str">
        <f ca="1">IFERROR(__xludf.DUMMYFUNCTION("""COMPUTED_VALUE"""),"Nő")</f>
        <v>Nő</v>
      </c>
      <c r="E3549" s="1"/>
      <c r="F3549" s="1">
        <f ca="1">IFERROR(__xludf.DUMMYFUNCTION("""COMPUTED_VALUE"""),1986)</f>
        <v>1986</v>
      </c>
      <c r="G3549" s="1">
        <f ca="1">IFERROR(__xludf.DUMMYFUNCTION("""COMPUTED_VALUE"""),228)</f>
        <v>228</v>
      </c>
      <c r="H3549" s="1" t="str">
        <f ca="1">IFERROR(__xludf.DUMMYFUNCTION("""COMPUTED_VALUE"""),"MTLSZ000228A04")</f>
        <v>MTLSZ000228A04</v>
      </c>
      <c r="I3549" s="2">
        <f ca="1">IFERROR(__xludf.DUMMYFUNCTION("""COMPUTED_VALUE"""),38302)</f>
        <v>38302</v>
      </c>
      <c r="J3549" s="2">
        <f ca="1">IFERROR(__xludf.DUMMYFUNCTION("""COMPUTED_VALUE"""),38666)</f>
        <v>38666</v>
      </c>
    </row>
    <row r="3550" spans="1:10" x14ac:dyDescent="0.25">
      <c r="A3550" s="1" t="str">
        <f ca="1">IFERROR(__xludf.DUMMYFUNCTION("""COMPUTED_VALUE"""),"Multi Alarm SE")</f>
        <v>Multi Alarm SE</v>
      </c>
      <c r="B3550" s="1" t="str">
        <f ca="1">IFERROR(__xludf.DUMMYFUNCTION("""COMPUTED_VALUE"""),"Barna Ágnes")</f>
        <v>Barna Ágnes</v>
      </c>
      <c r="C3550" s="1"/>
      <c r="D3550" s="1" t="str">
        <f ca="1">IFERROR(__xludf.DUMMYFUNCTION("""COMPUTED_VALUE"""),"Nő")</f>
        <v>Nő</v>
      </c>
      <c r="E3550" s="1"/>
      <c r="F3550" s="1">
        <f ca="1">IFERROR(__xludf.DUMMYFUNCTION("""COMPUTED_VALUE"""),1988)</f>
        <v>1988</v>
      </c>
      <c r="G3550" s="1">
        <f ca="1">IFERROR(__xludf.DUMMYFUNCTION("""COMPUTED_VALUE"""),1588)</f>
        <v>1588</v>
      </c>
      <c r="H3550" s="1" t="str">
        <f ca="1">IFERROR(__xludf.DUMMYFUNCTION("""COMPUTED_VALUE"""),"MTLSZ001588A04")</f>
        <v>MTLSZ001588A04</v>
      </c>
      <c r="I3550" s="2">
        <f ca="1">IFERROR(__xludf.DUMMYFUNCTION("""COMPUTED_VALUE"""),38301)</f>
        <v>38301</v>
      </c>
      <c r="J3550" s="2">
        <f ca="1">IFERROR(__xludf.DUMMYFUNCTION("""COMPUTED_VALUE"""),38665)</f>
        <v>38665</v>
      </c>
    </row>
    <row r="3551" spans="1:10" x14ac:dyDescent="0.25">
      <c r="A3551" s="1" t="str">
        <f ca="1">IFERROR(__xludf.DUMMYFUNCTION("""COMPUTED_VALUE"""),"Multi Alarm SE")</f>
        <v>Multi Alarm SE</v>
      </c>
      <c r="B3551" s="1" t="str">
        <f ca="1">IFERROR(__xludf.DUMMYFUNCTION("""COMPUTED_VALUE"""),"Barna Viktor dr.")</f>
        <v>Barna Viktor dr.</v>
      </c>
      <c r="C3551" s="1"/>
      <c r="D3551" s="1" t="str">
        <f ca="1">IFERROR(__xludf.DUMMYFUNCTION("""COMPUTED_VALUE"""),"Férfi")</f>
        <v>Férfi</v>
      </c>
      <c r="E3551" s="1"/>
      <c r="F3551" s="1">
        <f ca="1">IFERROR(__xludf.DUMMYFUNCTION("""COMPUTED_VALUE"""),1957)</f>
        <v>1957</v>
      </c>
      <c r="G3551" s="1">
        <f ca="1">IFERROR(__xludf.DUMMYFUNCTION("""COMPUTED_VALUE"""),1589)</f>
        <v>1589</v>
      </c>
      <c r="H3551" s="1" t="str">
        <f ca="1">IFERROR(__xludf.DUMMYFUNCTION("""COMPUTED_VALUE"""),"MTLSZ001589A04")</f>
        <v>MTLSZ001589A04</v>
      </c>
      <c r="I3551" s="2">
        <f ca="1">IFERROR(__xludf.DUMMYFUNCTION("""COMPUTED_VALUE"""),38301)</f>
        <v>38301</v>
      </c>
      <c r="J3551" s="2">
        <f ca="1">IFERROR(__xludf.DUMMYFUNCTION("""COMPUTED_VALUE"""),38665)</f>
        <v>38665</v>
      </c>
    </row>
    <row r="3552" spans="1:10" x14ac:dyDescent="0.25">
      <c r="A3552" s="1" t="str">
        <f ca="1">IFERROR(__xludf.DUMMYFUNCTION("""COMPUTED_VALUE"""),"Pedagógus Fáklya SE")</f>
        <v>Pedagógus Fáklya SE</v>
      </c>
      <c r="B3552" s="1" t="str">
        <f ca="1">IFERROR(__xludf.DUMMYFUNCTION("""COMPUTED_VALUE"""),"Nagy Ádám")</f>
        <v>Nagy Ádám</v>
      </c>
      <c r="C3552" s="1"/>
      <c r="D3552" s="1" t="str">
        <f ca="1">IFERROR(__xludf.DUMMYFUNCTION("""COMPUTED_VALUE"""),"Férfi")</f>
        <v>Férfi</v>
      </c>
      <c r="E3552" s="1"/>
      <c r="F3552" s="1">
        <f ca="1">IFERROR(__xludf.DUMMYFUNCTION("""COMPUTED_VALUE"""),1991)</f>
        <v>1991</v>
      </c>
      <c r="G3552" s="1">
        <f ca="1">IFERROR(__xludf.DUMMYFUNCTION("""COMPUTED_VALUE"""),1424)</f>
        <v>1424</v>
      </c>
      <c r="H3552" s="1" t="str">
        <f ca="1">IFERROR(__xludf.DUMMYFUNCTION("""COMPUTED_VALUE"""),"MTLSZ001424A04")</f>
        <v>MTLSZ001424A04</v>
      </c>
      <c r="I3552" s="2">
        <f ca="1">IFERROR(__xludf.DUMMYFUNCTION("""COMPUTED_VALUE"""),38282)</f>
        <v>38282</v>
      </c>
      <c r="J3552" s="2">
        <f ca="1">IFERROR(__xludf.DUMMYFUNCTION("""COMPUTED_VALUE"""),38646)</f>
        <v>38646</v>
      </c>
    </row>
    <row r="3553" spans="1:10" x14ac:dyDescent="0.25">
      <c r="A3553" s="1" t="str">
        <f ca="1">IFERROR(__xludf.DUMMYFUNCTION("""COMPUTED_VALUE"""),"Bagodi ISK")</f>
        <v>Bagodi ISK</v>
      </c>
      <c r="B3553" s="1" t="str">
        <f ca="1">IFERROR(__xludf.DUMMYFUNCTION("""COMPUTED_VALUE"""),"Szabó Viktória")</f>
        <v>Szabó Viktória</v>
      </c>
      <c r="C3553" s="1"/>
      <c r="D3553" s="1" t="str">
        <f ca="1">IFERROR(__xludf.DUMMYFUNCTION("""COMPUTED_VALUE"""),"Nő")</f>
        <v>Nő</v>
      </c>
      <c r="E3553" s="1"/>
      <c r="F3553" s="1">
        <f ca="1">IFERROR(__xludf.DUMMYFUNCTION("""COMPUTED_VALUE"""),1991)</f>
        <v>1991</v>
      </c>
      <c r="G3553" s="1">
        <f ca="1">IFERROR(__xludf.DUMMYFUNCTION("""COMPUTED_VALUE"""),1570)</f>
        <v>1570</v>
      </c>
      <c r="H3553" s="1" t="str">
        <f ca="1">IFERROR(__xludf.DUMMYFUNCTION("""COMPUTED_VALUE"""),"MTLSZ001570A04")</f>
        <v>MTLSZ001570A04</v>
      </c>
      <c r="I3553" s="2">
        <f ca="1">IFERROR(__xludf.DUMMYFUNCTION("""COMPUTED_VALUE"""),38281)</f>
        <v>38281</v>
      </c>
      <c r="J3553" s="2">
        <f ca="1">IFERROR(__xludf.DUMMYFUNCTION("""COMPUTED_VALUE"""),38645)</f>
        <v>38645</v>
      </c>
    </row>
    <row r="3554" spans="1:10" x14ac:dyDescent="0.25">
      <c r="A3554" s="1" t="str">
        <f ca="1">IFERROR(__xludf.DUMMYFUNCTION("""COMPUTED_VALUE"""),"Klébi DSE")</f>
        <v>Klébi DSE</v>
      </c>
      <c r="B3554" s="1" t="str">
        <f ca="1">IFERROR(__xludf.DUMMYFUNCTION("""COMPUTED_VALUE"""),"Lónyi Flóra")</f>
        <v>Lónyi Flóra</v>
      </c>
      <c r="C3554" s="1"/>
      <c r="D3554" s="1" t="str">
        <f ca="1">IFERROR(__xludf.DUMMYFUNCTION("""COMPUTED_VALUE"""),"Nő")</f>
        <v>Nő</v>
      </c>
      <c r="E3554" s="1"/>
      <c r="F3554" s="1">
        <f ca="1">IFERROR(__xludf.DUMMYFUNCTION("""COMPUTED_VALUE"""),1992)</f>
        <v>1992</v>
      </c>
      <c r="G3554" s="1" t="str">
        <f ca="1">IFERROR(__xludf.DUMMYFUNCTION("""COMPUTED_VALUE"""),"Amatőr")</f>
        <v>Amatőr</v>
      </c>
      <c r="H3554" s="1">
        <f ca="1">IFERROR(__xludf.DUMMYFUNCTION("""COMPUTED_VALUE"""),1364)</f>
        <v>1364</v>
      </c>
      <c r="I3554" s="2" t="str">
        <f ca="1">IFERROR(__xludf.DUMMYFUNCTION("""COMPUTED_VALUE"""),"MTLSZ001364A05")</f>
        <v>MTLSZ001364A05</v>
      </c>
      <c r="J3554" s="2">
        <f ca="1">IFERROR(__xludf.DUMMYFUNCTION("""COMPUTED_VALUE"""),38645)</f>
        <v>38645</v>
      </c>
    </row>
    <row r="3555" spans="1:10" x14ac:dyDescent="0.25">
      <c r="A3555" s="1" t="str">
        <f ca="1">IFERROR(__xludf.DUMMYFUNCTION("""COMPUTED_VALUE"""),"MAFC")</f>
        <v>MAFC</v>
      </c>
      <c r="B3555" s="1" t="str">
        <f ca="1">IFERROR(__xludf.DUMMYFUNCTION("""COMPUTED_VALUE"""),"Villi Eszter")</f>
        <v>Villi Eszter</v>
      </c>
      <c r="C3555" s="1"/>
      <c r="D3555" s="1" t="str">
        <f ca="1">IFERROR(__xludf.DUMMYFUNCTION("""COMPUTED_VALUE"""),"Nő")</f>
        <v>Nő</v>
      </c>
      <c r="E3555" s="1"/>
      <c r="F3555" s="1">
        <f ca="1">IFERROR(__xludf.DUMMYFUNCTION("""COMPUTED_VALUE"""),1982)</f>
        <v>1982</v>
      </c>
      <c r="G3555" s="1">
        <f ca="1">IFERROR(__xludf.DUMMYFUNCTION("""COMPUTED_VALUE"""),1268)</f>
        <v>1268</v>
      </c>
      <c r="H3555" s="1" t="str">
        <f ca="1">IFERROR(__xludf.DUMMYFUNCTION("""COMPUTED_VALUE"""),"MTLSZ001268A04")</f>
        <v>MTLSZ001268A04</v>
      </c>
      <c r="I3555" s="2">
        <f ca="1">IFERROR(__xludf.DUMMYFUNCTION("""COMPUTED_VALUE"""),38281)</f>
        <v>38281</v>
      </c>
      <c r="J3555" s="2">
        <f ca="1">IFERROR(__xludf.DUMMYFUNCTION("""COMPUTED_VALUE"""),38645)</f>
        <v>38645</v>
      </c>
    </row>
    <row r="3556" spans="1:10" x14ac:dyDescent="0.25">
      <c r="A3556" s="1" t="str">
        <f ca="1">IFERROR(__xludf.DUMMYFUNCTION("""COMPUTED_VALUE"""),"Klébi DSE")</f>
        <v>Klébi DSE</v>
      </c>
      <c r="B3556" s="1" t="str">
        <f ca="1">IFERROR(__xludf.DUMMYFUNCTION("""COMPUTED_VALUE"""),"Harmat Gábor")</f>
        <v>Harmat Gábor</v>
      </c>
      <c r="C3556" s="1"/>
      <c r="D3556" s="1" t="str">
        <f ca="1">IFERROR(__xludf.DUMMYFUNCTION("""COMPUTED_VALUE"""),"Férfi")</f>
        <v>Férfi</v>
      </c>
      <c r="E3556" s="1"/>
      <c r="F3556" s="1">
        <f ca="1">IFERROR(__xludf.DUMMYFUNCTION("""COMPUTED_VALUE"""),1990)</f>
        <v>1990</v>
      </c>
      <c r="G3556" s="1">
        <f ca="1">IFERROR(__xludf.DUMMYFUNCTION("""COMPUTED_VALUE"""),1408)</f>
        <v>1408</v>
      </c>
      <c r="H3556" s="1" t="str">
        <f ca="1">IFERROR(__xludf.DUMMYFUNCTION("""COMPUTED_VALUE"""),"MTLSZ001408A04")</f>
        <v>MTLSZ001408A04</v>
      </c>
      <c r="I3556" s="2">
        <f ca="1">IFERROR(__xludf.DUMMYFUNCTION("""COMPUTED_VALUE"""),38280)</f>
        <v>38280</v>
      </c>
      <c r="J3556" s="2">
        <f ca="1">IFERROR(__xludf.DUMMYFUNCTION("""COMPUTED_VALUE"""),38644)</f>
        <v>38644</v>
      </c>
    </row>
    <row r="3557" spans="1:10" x14ac:dyDescent="0.25">
      <c r="A3557" s="1" t="str">
        <f ca="1">IFERROR(__xludf.DUMMYFUNCTION("""COMPUTED_VALUE"""),"Bagodi ISK")</f>
        <v>Bagodi ISK</v>
      </c>
      <c r="B3557" s="1" t="str">
        <f ca="1">IFERROR(__xludf.DUMMYFUNCTION("""COMPUTED_VALUE"""),"Béres Boglárka")</f>
        <v>Béres Boglárka</v>
      </c>
      <c r="C3557" s="1"/>
      <c r="D3557" s="1" t="str">
        <f ca="1">IFERROR(__xludf.DUMMYFUNCTION("""COMPUTED_VALUE"""),"Nő")</f>
        <v>Nő</v>
      </c>
      <c r="E3557" s="1"/>
      <c r="F3557" s="1">
        <f ca="1">IFERROR(__xludf.DUMMYFUNCTION("""COMPUTED_VALUE"""),1992)</f>
        <v>1992</v>
      </c>
      <c r="G3557" s="1">
        <f ca="1">IFERROR(__xludf.DUMMYFUNCTION("""COMPUTED_VALUE"""),1304)</f>
        <v>1304</v>
      </c>
      <c r="H3557" s="1" t="str">
        <f ca="1">IFERROR(__xludf.DUMMYFUNCTION("""COMPUTED_VALUE"""),"MTLSZ001304A04")</f>
        <v>MTLSZ001304A04</v>
      </c>
      <c r="I3557" s="2">
        <f ca="1">IFERROR(__xludf.DUMMYFUNCTION("""COMPUTED_VALUE"""),38279)</f>
        <v>38279</v>
      </c>
      <c r="J3557" s="2">
        <f ca="1">IFERROR(__xludf.DUMMYFUNCTION("""COMPUTED_VALUE"""),38643)</f>
        <v>38643</v>
      </c>
    </row>
    <row r="3558" spans="1:10" x14ac:dyDescent="0.25">
      <c r="A3558" s="1" t="str">
        <f ca="1">IFERROR(__xludf.DUMMYFUNCTION("""COMPUTED_VALUE"""),"Bagodi ISK")</f>
        <v>Bagodi ISK</v>
      </c>
      <c r="B3558" s="1" t="str">
        <f ca="1">IFERROR(__xludf.DUMMYFUNCTION("""COMPUTED_VALUE"""),"Takács Tamás")</f>
        <v>Takács Tamás</v>
      </c>
      <c r="C3558" s="1"/>
      <c r="D3558" s="1" t="str">
        <f ca="1">IFERROR(__xludf.DUMMYFUNCTION("""COMPUTED_VALUE"""),"Férfi")</f>
        <v>Férfi</v>
      </c>
      <c r="E3558" s="1"/>
      <c r="F3558" s="1">
        <f ca="1">IFERROR(__xludf.DUMMYFUNCTION("""COMPUTED_VALUE"""),1992)</f>
        <v>1992</v>
      </c>
      <c r="G3558" s="1">
        <f ca="1">IFERROR(__xludf.DUMMYFUNCTION("""COMPUTED_VALUE"""),1400)</f>
        <v>1400</v>
      </c>
      <c r="H3558" s="1" t="str">
        <f ca="1">IFERROR(__xludf.DUMMYFUNCTION("""COMPUTED_VALUE"""),"MTLSZ001400A04")</f>
        <v>MTLSZ001400A04</v>
      </c>
      <c r="I3558" s="2">
        <f ca="1">IFERROR(__xludf.DUMMYFUNCTION("""COMPUTED_VALUE"""),38279)</f>
        <v>38279</v>
      </c>
      <c r="J3558" s="2">
        <f ca="1">IFERROR(__xludf.DUMMYFUNCTION("""COMPUTED_VALUE"""),38643)</f>
        <v>38643</v>
      </c>
    </row>
    <row r="3559" spans="1:10" x14ac:dyDescent="0.25">
      <c r="A3559" s="1" t="str">
        <f ca="1">IFERROR(__xludf.DUMMYFUNCTION("""COMPUTED_VALUE"""),"Gyöngyösoroszi SK")</f>
        <v>Gyöngyösoroszi SK</v>
      </c>
      <c r="B3559" s="1" t="str">
        <f ca="1">IFERROR(__xludf.DUMMYFUNCTION("""COMPUTED_VALUE"""),"Farkas József")</f>
        <v>Farkas József</v>
      </c>
      <c r="C3559" s="1"/>
      <c r="D3559" s="1" t="str">
        <f ca="1">IFERROR(__xludf.DUMMYFUNCTION("""COMPUTED_VALUE"""),"Férfi")</f>
        <v>Férfi</v>
      </c>
      <c r="E3559" s="1"/>
      <c r="F3559" s="1">
        <f ca="1">IFERROR(__xludf.DUMMYFUNCTION("""COMPUTED_VALUE"""),1994)</f>
        <v>1994</v>
      </c>
      <c r="G3559" s="1">
        <f ca="1">IFERROR(__xludf.DUMMYFUNCTION("""COMPUTED_VALUE"""),1567)</f>
        <v>1567</v>
      </c>
      <c r="H3559" s="1" t="str">
        <f ca="1">IFERROR(__xludf.DUMMYFUNCTION("""COMPUTED_VALUE"""),"MTLSZ001567A04")</f>
        <v>MTLSZ001567A04</v>
      </c>
      <c r="I3559" s="2">
        <f ca="1">IFERROR(__xludf.DUMMYFUNCTION("""COMPUTED_VALUE"""),38279)</f>
        <v>38279</v>
      </c>
      <c r="J3559" s="2">
        <f ca="1">IFERROR(__xludf.DUMMYFUNCTION("""COMPUTED_VALUE"""),38643)</f>
        <v>38643</v>
      </c>
    </row>
    <row r="3560" spans="1:10" x14ac:dyDescent="0.25">
      <c r="A3560" s="1" t="str">
        <f ca="1">IFERROR(__xludf.DUMMYFUNCTION("""COMPUTED_VALUE"""),"Danubius KSE")</f>
        <v>Danubius KSE</v>
      </c>
      <c r="B3560" s="1" t="str">
        <f ca="1">IFERROR(__xludf.DUMMYFUNCTION("""COMPUTED_VALUE"""),"Nagy Dávid")</f>
        <v>Nagy Dávid</v>
      </c>
      <c r="C3560" s="1"/>
      <c r="D3560" s="1" t="str">
        <f ca="1">IFERROR(__xludf.DUMMYFUNCTION("""COMPUTED_VALUE"""),"Férfi")</f>
        <v>Férfi</v>
      </c>
      <c r="E3560" s="1"/>
      <c r="F3560" s="1">
        <f ca="1">IFERROR(__xludf.DUMMYFUNCTION("""COMPUTED_VALUE"""),1989)</f>
        <v>1989</v>
      </c>
      <c r="G3560" s="1">
        <f ca="1">IFERROR(__xludf.DUMMYFUNCTION("""COMPUTED_VALUE"""),680)</f>
        <v>680</v>
      </c>
      <c r="H3560" s="1" t="str">
        <f ca="1">IFERROR(__xludf.DUMMYFUNCTION("""COMPUTED_VALUE"""),"MTLSZ000680A04")</f>
        <v>MTLSZ000680A04</v>
      </c>
      <c r="I3560" s="2">
        <f ca="1">IFERROR(__xludf.DUMMYFUNCTION("""COMPUTED_VALUE"""),38275)</f>
        <v>38275</v>
      </c>
      <c r="J3560" s="2">
        <f ca="1">IFERROR(__xludf.DUMMYFUNCTION("""COMPUTED_VALUE"""),38639)</f>
        <v>38639</v>
      </c>
    </row>
    <row r="3561" spans="1:10" x14ac:dyDescent="0.25">
      <c r="A3561" s="1" t="str">
        <f ca="1">IFERROR(__xludf.DUMMYFUNCTION("""COMPUTED_VALUE"""),"MAFC")</f>
        <v>MAFC</v>
      </c>
      <c r="B3561" s="1" t="str">
        <f ca="1">IFERROR(__xludf.DUMMYFUNCTION("""COMPUTED_VALUE"""),"Simonyi Fanni")</f>
        <v>Simonyi Fanni</v>
      </c>
      <c r="C3561" s="1"/>
      <c r="D3561" s="1" t="str">
        <f ca="1">IFERROR(__xludf.DUMMYFUNCTION("""COMPUTED_VALUE"""),"Nő")</f>
        <v>Nő</v>
      </c>
      <c r="E3561" s="1"/>
      <c r="F3561" s="1">
        <f ca="1">IFERROR(__xludf.DUMMYFUNCTION("""COMPUTED_VALUE"""),1992)</f>
        <v>1992</v>
      </c>
      <c r="G3561" s="1">
        <f ca="1">IFERROR(__xludf.DUMMYFUNCTION("""COMPUTED_VALUE"""),1260)</f>
        <v>1260</v>
      </c>
      <c r="H3561" s="1" t="str">
        <f ca="1">IFERROR(__xludf.DUMMYFUNCTION("""COMPUTED_VALUE"""),"MTLSZ001260A04")</f>
        <v>MTLSZ001260A04</v>
      </c>
      <c r="I3561" s="2">
        <f ca="1">IFERROR(__xludf.DUMMYFUNCTION("""COMPUTED_VALUE"""),38268)</f>
        <v>38268</v>
      </c>
      <c r="J3561" s="2">
        <f ca="1">IFERROR(__xludf.DUMMYFUNCTION("""COMPUTED_VALUE"""),38632)</f>
        <v>38632</v>
      </c>
    </row>
    <row r="3562" spans="1:10" x14ac:dyDescent="0.25">
      <c r="A3562" s="1" t="str">
        <f ca="1">IFERROR(__xludf.DUMMYFUNCTION("""COMPUTED_VALUE"""),"Formás SE")</f>
        <v>Formás SE</v>
      </c>
      <c r="B3562" s="1" t="str">
        <f ca="1">IFERROR(__xludf.DUMMYFUNCTION("""COMPUTED_VALUE"""),"Halmai Ferenc")</f>
        <v>Halmai Ferenc</v>
      </c>
      <c r="C3562" s="1"/>
      <c r="D3562" s="1" t="str">
        <f ca="1">IFERROR(__xludf.DUMMYFUNCTION("""COMPUTED_VALUE"""),"Férfi")</f>
        <v>Férfi</v>
      </c>
      <c r="E3562" s="1"/>
      <c r="F3562" s="1">
        <f ca="1">IFERROR(__xludf.DUMMYFUNCTION("""COMPUTED_VALUE"""),1982)</f>
        <v>1982</v>
      </c>
      <c r="G3562" s="1">
        <f ca="1">IFERROR(__xludf.DUMMYFUNCTION("""COMPUTED_VALUE"""),336)</f>
        <v>336</v>
      </c>
      <c r="H3562" s="1" t="str">
        <f ca="1">IFERROR(__xludf.DUMMYFUNCTION("""COMPUTED_VALUE"""),"MTLSZ000336A04")</f>
        <v>MTLSZ000336A04</v>
      </c>
      <c r="I3562" s="2">
        <f ca="1">IFERROR(__xludf.DUMMYFUNCTION("""COMPUTED_VALUE"""),38266)</f>
        <v>38266</v>
      </c>
      <c r="J3562" s="2">
        <f ca="1">IFERROR(__xludf.DUMMYFUNCTION("""COMPUTED_VALUE"""),38630)</f>
        <v>38630</v>
      </c>
    </row>
    <row r="3563" spans="1:10" x14ac:dyDescent="0.25">
      <c r="A3563" s="1" t="str">
        <f ca="1">IFERROR(__xludf.DUMMYFUNCTION("""COMPUTED_VALUE"""),"Formás SE")</f>
        <v>Formás SE</v>
      </c>
      <c r="B3563" s="1" t="str">
        <f ca="1">IFERROR(__xludf.DUMMYFUNCTION("""COMPUTED_VALUE"""),"Williams Carl")</f>
        <v>Williams Carl</v>
      </c>
      <c r="C3563" s="1"/>
      <c r="D3563" s="1" t="str">
        <f ca="1">IFERROR(__xludf.DUMMYFUNCTION("""COMPUTED_VALUE"""),"Férfi")</f>
        <v>Férfi</v>
      </c>
      <c r="E3563" s="1"/>
      <c r="F3563" s="1">
        <f ca="1">IFERROR(__xludf.DUMMYFUNCTION("""COMPUTED_VALUE"""),1963)</f>
        <v>1963</v>
      </c>
      <c r="G3563" s="1">
        <f ca="1">IFERROR(__xludf.DUMMYFUNCTION("""COMPUTED_VALUE"""),1401)</f>
        <v>1401</v>
      </c>
      <c r="H3563" s="1" t="str">
        <f ca="1">IFERROR(__xludf.DUMMYFUNCTION("""COMPUTED_VALUE"""),"MTLSZ001401A04")</f>
        <v>MTLSZ001401A04</v>
      </c>
      <c r="I3563" s="2">
        <f ca="1">IFERROR(__xludf.DUMMYFUNCTION("""COMPUTED_VALUE"""),38266)</f>
        <v>38266</v>
      </c>
      <c r="J3563" s="2">
        <f ca="1">IFERROR(__xludf.DUMMYFUNCTION("""COMPUTED_VALUE"""),38630)</f>
        <v>38630</v>
      </c>
    </row>
    <row r="3564" spans="1:10" x14ac:dyDescent="0.25">
      <c r="A3564" s="1" t="str">
        <f ca="1">IFERROR(__xludf.DUMMYFUNCTION("""COMPUTED_VALUE"""),"Kilián Iskola DSE")</f>
        <v>Kilián Iskola DSE</v>
      </c>
      <c r="B3564" s="1" t="str">
        <f ca="1">IFERROR(__xludf.DUMMYFUNCTION("""COMPUTED_VALUE"""),"Horváth Ádám")</f>
        <v>Horváth Ádám</v>
      </c>
      <c r="C3564" s="1"/>
      <c r="D3564" s="1" t="str">
        <f ca="1">IFERROR(__xludf.DUMMYFUNCTION("""COMPUTED_VALUE"""),"Férfi")</f>
        <v>Férfi</v>
      </c>
      <c r="E3564" s="1"/>
      <c r="F3564" s="1">
        <f ca="1">IFERROR(__xludf.DUMMYFUNCTION("""COMPUTED_VALUE"""),1987)</f>
        <v>1987</v>
      </c>
      <c r="G3564" s="1">
        <f ca="1">IFERROR(__xludf.DUMMYFUNCTION("""COMPUTED_VALUE"""),362)</f>
        <v>362</v>
      </c>
      <c r="H3564" s="1" t="str">
        <f ca="1">IFERROR(__xludf.DUMMYFUNCTION("""COMPUTED_VALUE"""),"MTLSZ000362A04")</f>
        <v>MTLSZ000362A04</v>
      </c>
      <c r="I3564" s="2">
        <f ca="1">IFERROR(__xludf.DUMMYFUNCTION("""COMPUTED_VALUE"""),38266)</f>
        <v>38266</v>
      </c>
      <c r="J3564" s="2">
        <f ca="1">IFERROR(__xludf.DUMMYFUNCTION("""COMPUTED_VALUE"""),38630)</f>
        <v>38630</v>
      </c>
    </row>
    <row r="3565" spans="1:10" x14ac:dyDescent="0.25">
      <c r="A3565" s="1" t="str">
        <f ca="1">IFERROR(__xludf.DUMMYFUNCTION("""COMPUTED_VALUE"""),"Reac SE")</f>
        <v>Reac SE</v>
      </c>
      <c r="B3565" s="1" t="str">
        <f ca="1">IFERROR(__xludf.DUMMYFUNCTION("""COMPUTED_VALUE"""),"Szabó József")</f>
        <v>Szabó József</v>
      </c>
      <c r="C3565" s="1"/>
      <c r="D3565" s="1" t="str">
        <f ca="1">IFERROR(__xludf.DUMMYFUNCTION("""COMPUTED_VALUE"""),"Férfi")</f>
        <v>Férfi</v>
      </c>
      <c r="E3565" s="1"/>
      <c r="F3565" s="1">
        <f ca="1">IFERROR(__xludf.DUMMYFUNCTION("""COMPUTED_VALUE"""),1981)</f>
        <v>1981</v>
      </c>
      <c r="G3565" s="1">
        <f ca="1">IFERROR(__xludf.DUMMYFUNCTION("""COMPUTED_VALUE"""),895)</f>
        <v>895</v>
      </c>
      <c r="H3565" s="1" t="str">
        <f ca="1">IFERROR(__xludf.DUMMYFUNCTION("""COMPUTED_VALUE"""),"MTLSZ000895A04")</f>
        <v>MTLSZ000895A04</v>
      </c>
      <c r="I3565" s="2">
        <f ca="1">IFERROR(__xludf.DUMMYFUNCTION("""COMPUTED_VALUE"""),38266)</f>
        <v>38266</v>
      </c>
      <c r="J3565" s="2">
        <f ca="1">IFERROR(__xludf.DUMMYFUNCTION("""COMPUTED_VALUE"""),38630)</f>
        <v>38630</v>
      </c>
    </row>
    <row r="3566" spans="1:10" x14ac:dyDescent="0.25">
      <c r="A3566" s="1" t="str">
        <f ca="1">IFERROR(__xludf.DUMMYFUNCTION("""COMPUTED_VALUE"""),"Gyöngyösoroszi SK")</f>
        <v>Gyöngyösoroszi SK</v>
      </c>
      <c r="B3566" s="1" t="str">
        <f ca="1">IFERROR(__xludf.DUMMYFUNCTION("""COMPUTED_VALUE"""),"Szecskő Mónika")</f>
        <v>Szecskő Mónika</v>
      </c>
      <c r="C3566" s="1"/>
      <c r="D3566" s="1" t="str">
        <f ca="1">IFERROR(__xludf.DUMMYFUNCTION("""COMPUTED_VALUE"""),"Nő")</f>
        <v>Nő</v>
      </c>
      <c r="E3566" s="1"/>
      <c r="F3566" s="1">
        <f ca="1">IFERROR(__xludf.DUMMYFUNCTION("""COMPUTED_VALUE"""),1980)</f>
        <v>1980</v>
      </c>
      <c r="G3566" s="1">
        <f ca="1">IFERROR(__xludf.DUMMYFUNCTION("""COMPUTED_VALUE"""),923)</f>
        <v>923</v>
      </c>
      <c r="H3566" s="1" t="str">
        <f ca="1">IFERROR(__xludf.DUMMYFUNCTION("""COMPUTED_VALUE"""),"MTLSZ000923A04")</f>
        <v>MTLSZ000923A04</v>
      </c>
      <c r="I3566" s="2">
        <f ca="1">IFERROR(__xludf.DUMMYFUNCTION("""COMPUTED_VALUE"""),38259)</f>
        <v>38259</v>
      </c>
      <c r="J3566" s="2">
        <f ca="1">IFERROR(__xludf.DUMMYFUNCTION("""COMPUTED_VALUE"""),38623)</f>
        <v>38623</v>
      </c>
    </row>
    <row r="3567" spans="1:10" x14ac:dyDescent="0.25">
      <c r="A3567" s="1" t="str">
        <f ca="1">IFERROR(__xludf.DUMMYFUNCTION("""COMPUTED_VALUE"""),"Formás SE")</f>
        <v>Formás SE</v>
      </c>
      <c r="B3567" s="1" t="str">
        <f ca="1">IFERROR(__xludf.DUMMYFUNCTION("""COMPUTED_VALUE"""),"Krajczár Norbert")</f>
        <v>Krajczár Norbert</v>
      </c>
      <c r="C3567" s="1"/>
      <c r="D3567" s="1" t="str">
        <f ca="1">IFERROR(__xludf.DUMMYFUNCTION("""COMPUTED_VALUE"""),"Férfi")</f>
        <v>Férfi</v>
      </c>
      <c r="E3567" s="1"/>
      <c r="F3567" s="1">
        <f ca="1">IFERROR(__xludf.DUMMYFUNCTION("""COMPUTED_VALUE"""),1987)</f>
        <v>1987</v>
      </c>
      <c r="G3567" s="1">
        <f ca="1">IFERROR(__xludf.DUMMYFUNCTION("""COMPUTED_VALUE"""),1552)</f>
        <v>1552</v>
      </c>
      <c r="H3567" s="1" t="str">
        <f ca="1">IFERROR(__xludf.DUMMYFUNCTION("""COMPUTED_VALUE"""),"MTLSZ001552A04")</f>
        <v>MTLSZ001552A04</v>
      </c>
      <c r="I3567" s="2">
        <f ca="1">IFERROR(__xludf.DUMMYFUNCTION("""COMPUTED_VALUE"""),38254)</f>
        <v>38254</v>
      </c>
      <c r="J3567" s="2">
        <f ca="1">IFERROR(__xludf.DUMMYFUNCTION("""COMPUTED_VALUE"""),38618)</f>
        <v>38618</v>
      </c>
    </row>
    <row r="3568" spans="1:10" x14ac:dyDescent="0.25">
      <c r="A3568" s="1" t="str">
        <f ca="1">IFERROR(__xludf.DUMMYFUNCTION("""COMPUTED_VALUE"""),"Ságvári DSE")</f>
        <v>Ságvári DSE</v>
      </c>
      <c r="B3568" s="1" t="str">
        <f ca="1">IFERROR(__xludf.DUMMYFUNCTION("""COMPUTED_VALUE"""),"Szabó Tamás")</f>
        <v>Szabó Tamás</v>
      </c>
      <c r="C3568" s="1"/>
      <c r="D3568" s="1" t="str">
        <f ca="1">IFERROR(__xludf.DUMMYFUNCTION("""COMPUTED_VALUE"""),"Férfi")</f>
        <v>Férfi</v>
      </c>
      <c r="E3568" s="1"/>
      <c r="F3568" s="1">
        <f ca="1">IFERROR(__xludf.DUMMYFUNCTION("""COMPUTED_VALUE"""),1987)</f>
        <v>1987</v>
      </c>
      <c r="G3568" s="1">
        <f ca="1">IFERROR(__xludf.DUMMYFUNCTION("""COMPUTED_VALUE"""),1551)</f>
        <v>1551</v>
      </c>
      <c r="H3568" s="1" t="str">
        <f ca="1">IFERROR(__xludf.DUMMYFUNCTION("""COMPUTED_VALUE"""),"MTLSZ001551A04")</f>
        <v>MTLSZ001551A04</v>
      </c>
      <c r="I3568" s="2">
        <f ca="1">IFERROR(__xludf.DUMMYFUNCTION("""COMPUTED_VALUE"""),38250)</f>
        <v>38250</v>
      </c>
      <c r="J3568" s="2">
        <f ca="1">IFERROR(__xludf.DUMMYFUNCTION("""COMPUTED_VALUE"""),38614)</f>
        <v>38614</v>
      </c>
    </row>
    <row r="3569" spans="1:10" x14ac:dyDescent="0.25">
      <c r="A3569" s="1" t="str">
        <f ca="1">IFERROR(__xludf.DUMMYFUNCTION("""COMPUTED_VALUE"""),"Ságvári DSE")</f>
        <v>Ságvári DSE</v>
      </c>
      <c r="B3569" s="1" t="str">
        <f ca="1">IFERROR(__xludf.DUMMYFUNCTION("""COMPUTED_VALUE"""),"Tary Eszter")</f>
        <v>Tary Eszter</v>
      </c>
      <c r="C3569" s="1"/>
      <c r="D3569" s="1" t="str">
        <f ca="1">IFERROR(__xludf.DUMMYFUNCTION("""COMPUTED_VALUE"""),"Nő")</f>
        <v>Nő</v>
      </c>
      <c r="E3569" s="1"/>
      <c r="F3569" s="1">
        <f ca="1">IFERROR(__xludf.DUMMYFUNCTION("""COMPUTED_VALUE"""),1989)</f>
        <v>1989</v>
      </c>
      <c r="G3569" s="1">
        <f ca="1">IFERROR(__xludf.DUMMYFUNCTION("""COMPUTED_VALUE"""),1003)</f>
        <v>1003</v>
      </c>
      <c r="H3569" s="1" t="str">
        <f ca="1">IFERROR(__xludf.DUMMYFUNCTION("""COMPUTED_VALUE"""),"MTLSZ001003A04")</f>
        <v>MTLSZ001003A04</v>
      </c>
      <c r="I3569" s="2">
        <f ca="1">IFERROR(__xludf.DUMMYFUNCTION("""COMPUTED_VALUE"""),38250)</f>
        <v>38250</v>
      </c>
      <c r="J3569" s="2">
        <f ca="1">IFERROR(__xludf.DUMMYFUNCTION("""COMPUTED_VALUE"""),38614)</f>
        <v>38614</v>
      </c>
    </row>
    <row r="3570" spans="1:10" x14ac:dyDescent="0.25">
      <c r="A3570" s="1" t="str">
        <f ca="1">IFERROR(__xludf.DUMMYFUNCTION("""COMPUTED_VALUE"""),"Diaboló SE")</f>
        <v>Diaboló SE</v>
      </c>
      <c r="B3570" s="1" t="str">
        <f ca="1">IFERROR(__xludf.DUMMYFUNCTION("""COMPUTED_VALUE"""),"Horváth Ildikó")</f>
        <v>Horváth Ildikó</v>
      </c>
      <c r="C3570" s="1"/>
      <c r="D3570" s="1" t="str">
        <f ca="1">IFERROR(__xludf.DUMMYFUNCTION("""COMPUTED_VALUE"""),"Nő")</f>
        <v>Nő</v>
      </c>
      <c r="E3570" s="1"/>
      <c r="F3570" s="1">
        <f ca="1">IFERROR(__xludf.DUMMYFUNCTION("""COMPUTED_VALUE"""),1988)</f>
        <v>1988</v>
      </c>
      <c r="G3570" s="1">
        <f ca="1">IFERROR(__xludf.DUMMYFUNCTION("""COMPUTED_VALUE"""),1334)</f>
        <v>1334</v>
      </c>
      <c r="H3570" s="1" t="str">
        <f ca="1">IFERROR(__xludf.DUMMYFUNCTION("""COMPUTED_VALUE"""),"MTLSZ001334A04")</f>
        <v>MTLSZ001334A04</v>
      </c>
      <c r="I3570" s="2">
        <f ca="1">IFERROR(__xludf.DUMMYFUNCTION("""COMPUTED_VALUE"""),38247)</f>
        <v>38247</v>
      </c>
      <c r="J3570" s="2">
        <f ca="1">IFERROR(__xludf.DUMMYFUNCTION("""COMPUTED_VALUE"""),38611)</f>
        <v>38611</v>
      </c>
    </row>
    <row r="3571" spans="1:10" x14ac:dyDescent="0.25">
      <c r="A3571" s="1" t="str">
        <f ca="1">IFERROR(__xludf.DUMMYFUNCTION("""COMPUTED_VALUE"""),"Formás SE")</f>
        <v>Formás SE</v>
      </c>
      <c r="B3571" s="1" t="str">
        <f ca="1">IFERROR(__xludf.DUMMYFUNCTION("""COMPUTED_VALUE"""),"Szabó Miklós")</f>
        <v>Szabó Miklós</v>
      </c>
      <c r="C3571" s="1"/>
      <c r="D3571" s="1" t="str">
        <f ca="1">IFERROR(__xludf.DUMMYFUNCTION("""COMPUTED_VALUE"""),"Férfi")</f>
        <v>Férfi</v>
      </c>
      <c r="E3571" s="1"/>
      <c r="F3571" s="1">
        <f ca="1">IFERROR(__xludf.DUMMYFUNCTION("""COMPUTED_VALUE"""),1977)</f>
        <v>1977</v>
      </c>
      <c r="G3571" s="1">
        <f ca="1">IFERROR(__xludf.DUMMYFUNCTION("""COMPUTED_VALUE"""),1550)</f>
        <v>1550</v>
      </c>
      <c r="H3571" s="1" t="str">
        <f ca="1">IFERROR(__xludf.DUMMYFUNCTION("""COMPUTED_VALUE"""),"MTLSZ001550A04")</f>
        <v>MTLSZ001550A04</v>
      </c>
      <c r="I3571" s="2">
        <f ca="1">IFERROR(__xludf.DUMMYFUNCTION("""COMPUTED_VALUE"""),38247)</f>
        <v>38247</v>
      </c>
      <c r="J3571" s="2">
        <f ca="1">IFERROR(__xludf.DUMMYFUNCTION("""COMPUTED_VALUE"""),38611)</f>
        <v>38611</v>
      </c>
    </row>
    <row r="3572" spans="1:10" x14ac:dyDescent="0.25">
      <c r="A3572" s="1" t="str">
        <f ca="1">IFERROR(__xludf.DUMMYFUNCTION("""COMPUTED_VALUE"""),"DSC-SI")</f>
        <v>DSC-SI</v>
      </c>
      <c r="B3572" s="1" t="str">
        <f ca="1">IFERROR(__xludf.DUMMYFUNCTION("""COMPUTED_VALUE"""),"Hodos Tamás")</f>
        <v>Hodos Tamás</v>
      </c>
      <c r="C3572" s="1"/>
      <c r="D3572" s="1" t="str">
        <f ca="1">IFERROR(__xludf.DUMMYFUNCTION("""COMPUTED_VALUE"""),"Férfi")</f>
        <v>Férfi</v>
      </c>
      <c r="E3572" s="1"/>
      <c r="F3572" s="1">
        <f ca="1">IFERROR(__xludf.DUMMYFUNCTION("""COMPUTED_VALUE"""),1971)</f>
        <v>1971</v>
      </c>
      <c r="G3572" s="1">
        <f ca="1">IFERROR(__xludf.DUMMYFUNCTION("""COMPUTED_VALUE"""),358)</f>
        <v>358</v>
      </c>
      <c r="H3572" s="1" t="str">
        <f ca="1">IFERROR(__xludf.DUMMYFUNCTION("""COMPUTED_VALUE"""),"MTLSZ000358A04")</f>
        <v>MTLSZ000358A04</v>
      </c>
      <c r="I3572" s="2">
        <f ca="1">IFERROR(__xludf.DUMMYFUNCTION("""COMPUTED_VALUE"""),38245)</f>
        <v>38245</v>
      </c>
      <c r="J3572" s="2">
        <f ca="1">IFERROR(__xludf.DUMMYFUNCTION("""COMPUTED_VALUE"""),38609)</f>
        <v>38609</v>
      </c>
    </row>
    <row r="3573" spans="1:10" x14ac:dyDescent="0.25">
      <c r="A3573" s="1" t="str">
        <f ca="1">IFERROR(__xludf.DUMMYFUNCTION("""COMPUTED_VALUE"""),"DSC-SI")</f>
        <v>DSC-SI</v>
      </c>
      <c r="B3573" s="1" t="str">
        <f ca="1">IFERROR(__xludf.DUMMYFUNCTION("""COMPUTED_VALUE"""),"Kéki Renáta")</f>
        <v>Kéki Renáta</v>
      </c>
      <c r="C3573" s="1"/>
      <c r="D3573" s="1" t="str">
        <f ca="1">IFERROR(__xludf.DUMMYFUNCTION("""COMPUTED_VALUE"""),"Nő")</f>
        <v>Nő</v>
      </c>
      <c r="E3573" s="1"/>
      <c r="F3573" s="1">
        <f ca="1">IFERROR(__xludf.DUMMYFUNCTION("""COMPUTED_VALUE"""),1988)</f>
        <v>1988</v>
      </c>
      <c r="G3573" s="1">
        <f ca="1">IFERROR(__xludf.DUMMYFUNCTION("""COMPUTED_VALUE"""),449)</f>
        <v>449</v>
      </c>
      <c r="H3573" s="1" t="str">
        <f ca="1">IFERROR(__xludf.DUMMYFUNCTION("""COMPUTED_VALUE"""),"MTLSZ000449A04")</f>
        <v>MTLSZ000449A04</v>
      </c>
      <c r="I3573" s="2">
        <f ca="1">IFERROR(__xludf.DUMMYFUNCTION("""COMPUTED_VALUE"""),38245)</f>
        <v>38245</v>
      </c>
      <c r="J3573" s="2">
        <f ca="1">IFERROR(__xludf.DUMMYFUNCTION("""COMPUTED_VALUE"""),38609)</f>
        <v>38609</v>
      </c>
    </row>
    <row r="3574" spans="1:10" x14ac:dyDescent="0.25">
      <c r="A3574" s="1" t="str">
        <f ca="1">IFERROR(__xludf.DUMMYFUNCTION("""COMPUTED_VALUE"""),"DSC-SI")</f>
        <v>DSC-SI</v>
      </c>
      <c r="B3574" s="1" t="str">
        <f ca="1">IFERROR(__xludf.DUMMYFUNCTION("""COMPUTED_VALUE"""),"Sipos Diana")</f>
        <v>Sipos Diana</v>
      </c>
      <c r="C3574" s="1"/>
      <c r="D3574" s="1" t="str">
        <f ca="1">IFERROR(__xludf.DUMMYFUNCTION("""COMPUTED_VALUE"""),"Nő")</f>
        <v>Nő</v>
      </c>
      <c r="E3574" s="1"/>
      <c r="F3574" s="1">
        <f ca="1">IFERROR(__xludf.DUMMYFUNCTION("""COMPUTED_VALUE"""),1989)</f>
        <v>1989</v>
      </c>
      <c r="G3574" s="1">
        <f ca="1">IFERROR(__xludf.DUMMYFUNCTION("""COMPUTED_VALUE"""),859)</f>
        <v>859</v>
      </c>
      <c r="H3574" s="1" t="str">
        <f ca="1">IFERROR(__xludf.DUMMYFUNCTION("""COMPUTED_VALUE"""),"MTLSZ000859A04")</f>
        <v>MTLSZ000859A04</v>
      </c>
      <c r="I3574" s="2">
        <f ca="1">IFERROR(__xludf.DUMMYFUNCTION("""COMPUTED_VALUE"""),38245)</f>
        <v>38245</v>
      </c>
      <c r="J3574" s="2">
        <f ca="1">IFERROR(__xludf.DUMMYFUNCTION("""COMPUTED_VALUE"""),38609)</f>
        <v>38609</v>
      </c>
    </row>
    <row r="3575" spans="1:10" x14ac:dyDescent="0.25">
      <c r="A3575" s="1" t="str">
        <f ca="1">IFERROR(__xludf.DUMMYFUNCTION("""COMPUTED_VALUE"""),"DSK")</f>
        <v>DSK</v>
      </c>
      <c r="B3575" s="1" t="str">
        <f ca="1">IFERROR(__xludf.DUMMYFUNCTION("""COMPUTED_VALUE"""),"Dézsi Gábor")</f>
        <v>Dézsi Gábor</v>
      </c>
      <c r="C3575" s="1"/>
      <c r="D3575" s="1" t="str">
        <f ca="1">IFERROR(__xludf.DUMMYFUNCTION("""COMPUTED_VALUE"""),"Férfi")</f>
        <v>Férfi</v>
      </c>
      <c r="E3575" s="1"/>
      <c r="F3575" s="1">
        <f ca="1">IFERROR(__xludf.DUMMYFUNCTION("""COMPUTED_VALUE"""),1992)</f>
        <v>1992</v>
      </c>
      <c r="G3575" s="1">
        <f ca="1">IFERROR(__xludf.DUMMYFUNCTION("""COMPUTED_VALUE"""),1205)</f>
        <v>1205</v>
      </c>
      <c r="H3575" s="1" t="str">
        <f ca="1">IFERROR(__xludf.DUMMYFUNCTION("""COMPUTED_VALUE"""),"MTLSZ001205A04")</f>
        <v>MTLSZ001205A04</v>
      </c>
      <c r="I3575" s="2">
        <f ca="1">IFERROR(__xludf.DUMMYFUNCTION("""COMPUTED_VALUE"""),38243)</f>
        <v>38243</v>
      </c>
      <c r="J3575" s="2">
        <f ca="1">IFERROR(__xludf.DUMMYFUNCTION("""COMPUTED_VALUE"""),38607)</f>
        <v>38607</v>
      </c>
    </row>
    <row r="3576" spans="1:10" x14ac:dyDescent="0.25">
      <c r="A3576" s="1" t="str">
        <f ca="1">IFERROR(__xludf.DUMMYFUNCTION("""COMPUTED_VALUE"""),"DSK")</f>
        <v>DSK</v>
      </c>
      <c r="B3576" s="1" t="str">
        <f ca="1">IFERROR(__xludf.DUMMYFUNCTION("""COMPUTED_VALUE"""),"Kónya Csaba")</f>
        <v>Kónya Csaba</v>
      </c>
      <c r="C3576" s="1"/>
      <c r="D3576" s="1" t="str">
        <f ca="1">IFERROR(__xludf.DUMMYFUNCTION("""COMPUTED_VALUE"""),"Férfi")</f>
        <v>Férfi</v>
      </c>
      <c r="E3576" s="1"/>
      <c r="F3576" s="1">
        <f ca="1">IFERROR(__xludf.DUMMYFUNCTION("""COMPUTED_VALUE"""),1990)</f>
        <v>1990</v>
      </c>
      <c r="G3576" s="1">
        <f ca="1">IFERROR(__xludf.DUMMYFUNCTION("""COMPUTED_VALUE"""),516)</f>
        <v>516</v>
      </c>
      <c r="H3576" s="1" t="str">
        <f ca="1">IFERROR(__xludf.DUMMYFUNCTION("""COMPUTED_VALUE"""),"MTLSZ000516A04")</f>
        <v>MTLSZ000516A04</v>
      </c>
      <c r="I3576" s="2">
        <f ca="1">IFERROR(__xludf.DUMMYFUNCTION("""COMPUTED_VALUE"""),38243)</f>
        <v>38243</v>
      </c>
      <c r="J3576" s="2">
        <f ca="1">IFERROR(__xludf.DUMMYFUNCTION("""COMPUTED_VALUE"""),38607)</f>
        <v>38607</v>
      </c>
    </row>
    <row r="3577" spans="1:10" x14ac:dyDescent="0.25">
      <c r="A3577" s="1" t="str">
        <f ca="1">IFERROR(__xludf.DUMMYFUNCTION("""COMPUTED_VALUE"""),"DSK")</f>
        <v>DSK</v>
      </c>
      <c r="B3577" s="1" t="str">
        <f ca="1">IFERROR(__xludf.DUMMYFUNCTION("""COMPUTED_VALUE"""),"Krizsán Norbert")</f>
        <v>Krizsán Norbert</v>
      </c>
      <c r="C3577" s="1"/>
      <c r="D3577" s="1" t="str">
        <f ca="1">IFERROR(__xludf.DUMMYFUNCTION("""COMPUTED_VALUE"""),"Férfi")</f>
        <v>Férfi</v>
      </c>
      <c r="E3577" s="1"/>
      <c r="F3577" s="1">
        <f ca="1">IFERROR(__xludf.DUMMYFUNCTION("""COMPUTED_VALUE"""),1991)</f>
        <v>1991</v>
      </c>
      <c r="G3577" s="1">
        <f ca="1">IFERROR(__xludf.DUMMYFUNCTION("""COMPUTED_VALUE"""),549)</f>
        <v>549</v>
      </c>
      <c r="H3577" s="1" t="str">
        <f ca="1">IFERROR(__xludf.DUMMYFUNCTION("""COMPUTED_VALUE"""),"MTLSZ000549A04")</f>
        <v>MTLSZ000549A04</v>
      </c>
      <c r="I3577" s="2">
        <f ca="1">IFERROR(__xludf.DUMMYFUNCTION("""COMPUTED_VALUE"""),38243)</f>
        <v>38243</v>
      </c>
      <c r="J3577" s="2">
        <f ca="1">IFERROR(__xludf.DUMMYFUNCTION("""COMPUTED_VALUE"""),38607)</f>
        <v>38607</v>
      </c>
    </row>
    <row r="3578" spans="1:10" x14ac:dyDescent="0.25">
      <c r="A3578" s="1" t="str">
        <f ca="1">IFERROR(__xludf.DUMMYFUNCTION("""COMPUTED_VALUE"""),"DSK")</f>
        <v>DSK</v>
      </c>
      <c r="B3578" s="1" t="str">
        <f ca="1">IFERROR(__xludf.DUMMYFUNCTION("""COMPUTED_VALUE"""),"Nagy Ádám")</f>
        <v>Nagy Ádám</v>
      </c>
      <c r="C3578" s="1"/>
      <c r="D3578" s="1" t="str">
        <f ca="1">IFERROR(__xludf.DUMMYFUNCTION("""COMPUTED_VALUE"""),"Férfi")</f>
        <v>Férfi</v>
      </c>
      <c r="E3578" s="1"/>
      <c r="F3578" s="1">
        <f ca="1">IFERROR(__xludf.DUMMYFUNCTION("""COMPUTED_VALUE"""),1992)</f>
        <v>1992</v>
      </c>
      <c r="G3578" s="1">
        <f ca="1">IFERROR(__xludf.DUMMYFUNCTION("""COMPUTED_VALUE"""),1208)</f>
        <v>1208</v>
      </c>
      <c r="H3578" s="1" t="str">
        <f ca="1">IFERROR(__xludf.DUMMYFUNCTION("""COMPUTED_VALUE"""),"MTLSZ001208A04")</f>
        <v>MTLSZ001208A04</v>
      </c>
      <c r="I3578" s="2">
        <f ca="1">IFERROR(__xludf.DUMMYFUNCTION("""COMPUTED_VALUE"""),38243)</f>
        <v>38243</v>
      </c>
      <c r="J3578" s="2">
        <f ca="1">IFERROR(__xludf.DUMMYFUNCTION("""COMPUTED_VALUE"""),38607)</f>
        <v>38607</v>
      </c>
    </row>
    <row r="3579" spans="1:10" x14ac:dyDescent="0.25">
      <c r="A3579" s="1" t="str">
        <f ca="1">IFERROR(__xludf.DUMMYFUNCTION("""COMPUTED_VALUE"""),"MAFC")</f>
        <v>MAFC</v>
      </c>
      <c r="B3579" s="1" t="str">
        <f ca="1">IFERROR(__xludf.DUMMYFUNCTION("""COMPUTED_VALUE"""),"Bán Kornélia")</f>
        <v>Bán Kornélia</v>
      </c>
      <c r="C3579" s="1"/>
      <c r="D3579" s="1" t="str">
        <f ca="1">IFERROR(__xludf.DUMMYFUNCTION("""COMPUTED_VALUE"""),"Nő")</f>
        <v>Nő</v>
      </c>
      <c r="E3579" s="1"/>
      <c r="F3579" s="1">
        <f ca="1">IFERROR(__xludf.DUMMYFUNCTION("""COMPUTED_VALUE"""),1978)</f>
        <v>1978</v>
      </c>
      <c r="G3579" s="1">
        <f ca="1">IFERROR(__xludf.DUMMYFUNCTION("""COMPUTED_VALUE"""),43)</f>
        <v>43</v>
      </c>
      <c r="H3579" s="1" t="str">
        <f ca="1">IFERROR(__xludf.DUMMYFUNCTION("""COMPUTED_VALUE"""),"MTLSZ000043A04")</f>
        <v>MTLSZ000043A04</v>
      </c>
      <c r="I3579" s="2">
        <f ca="1">IFERROR(__xludf.DUMMYFUNCTION("""COMPUTED_VALUE"""),38239)</f>
        <v>38239</v>
      </c>
      <c r="J3579" s="2">
        <f ca="1">IFERROR(__xludf.DUMMYFUNCTION("""COMPUTED_VALUE"""),38603)</f>
        <v>38603</v>
      </c>
    </row>
    <row r="3580" spans="1:10" x14ac:dyDescent="0.25">
      <c r="A3580" s="1" t="str">
        <f ca="1">IFERROR(__xludf.DUMMYFUNCTION("""COMPUTED_VALUE"""),"MAFC")</f>
        <v>MAFC</v>
      </c>
      <c r="B3580" s="1" t="str">
        <f ca="1">IFERROR(__xludf.DUMMYFUNCTION("""COMPUTED_VALUE"""),"Schiller Tamás László")</f>
        <v>Schiller Tamás László</v>
      </c>
      <c r="C3580" s="1"/>
      <c r="D3580" s="1" t="str">
        <f ca="1">IFERROR(__xludf.DUMMYFUNCTION("""COMPUTED_VALUE"""),"Férfi")</f>
        <v>Férfi</v>
      </c>
      <c r="E3580" s="1"/>
      <c r="F3580" s="1">
        <f ca="1">IFERROR(__xludf.DUMMYFUNCTION("""COMPUTED_VALUE"""),1989)</f>
        <v>1989</v>
      </c>
      <c r="G3580" s="1">
        <f ca="1">IFERROR(__xludf.DUMMYFUNCTION("""COMPUTED_VALUE"""),1548)</f>
        <v>1548</v>
      </c>
      <c r="H3580" s="1" t="str">
        <f ca="1">IFERROR(__xludf.DUMMYFUNCTION("""COMPUTED_VALUE"""),"MTLSZ001548A04")</f>
        <v>MTLSZ001548A04</v>
      </c>
      <c r="I3580" s="2">
        <f ca="1">IFERROR(__xludf.DUMMYFUNCTION("""COMPUTED_VALUE"""),38239)</f>
        <v>38239</v>
      </c>
      <c r="J3580" s="2">
        <f ca="1">IFERROR(__xludf.DUMMYFUNCTION("""COMPUTED_VALUE"""),38603)</f>
        <v>38603</v>
      </c>
    </row>
    <row r="3581" spans="1:10" x14ac:dyDescent="0.25">
      <c r="A3581" s="1" t="str">
        <f ca="1">IFERROR(__xludf.DUMMYFUNCTION("""COMPUTED_VALUE"""),"Kilián Iskola DSE")</f>
        <v>Kilián Iskola DSE</v>
      </c>
      <c r="B3581" s="1" t="str">
        <f ca="1">IFERROR(__xludf.DUMMYFUNCTION("""COMPUTED_VALUE"""),"Rainer Wiedmann")</f>
        <v>Rainer Wiedmann</v>
      </c>
      <c r="C3581" s="1"/>
      <c r="D3581" s="1" t="str">
        <f ca="1">IFERROR(__xludf.DUMMYFUNCTION("""COMPUTED_VALUE"""),"Férfi")</f>
        <v>Férfi</v>
      </c>
      <c r="E3581" s="1"/>
      <c r="F3581" s="1">
        <f ca="1">IFERROR(__xludf.DUMMYFUNCTION("""COMPUTED_VALUE"""),1970)</f>
        <v>1970</v>
      </c>
      <c r="G3581" s="1">
        <f ca="1">IFERROR(__xludf.DUMMYFUNCTION("""COMPUTED_VALUE"""),1545)</f>
        <v>1545</v>
      </c>
      <c r="H3581" s="1" t="str">
        <f ca="1">IFERROR(__xludf.DUMMYFUNCTION("""COMPUTED_VALUE"""),"MTLSZ001545A04")</f>
        <v>MTLSZ001545A04</v>
      </c>
      <c r="I3581" s="2">
        <f ca="1">IFERROR(__xludf.DUMMYFUNCTION("""COMPUTED_VALUE"""),38238)</f>
        <v>38238</v>
      </c>
      <c r="J3581" s="2">
        <f ca="1">IFERROR(__xludf.DUMMYFUNCTION("""COMPUTED_VALUE"""),38602)</f>
        <v>38602</v>
      </c>
    </row>
    <row r="3582" spans="1:10" x14ac:dyDescent="0.25">
      <c r="A3582" s="1" t="str">
        <f ca="1">IFERROR(__xludf.DUMMYFUNCTION("""COMPUTED_VALUE"""),"Universitas SC")</f>
        <v>Universitas SC</v>
      </c>
      <c r="B3582" s="1" t="str">
        <f ca="1">IFERROR(__xludf.DUMMYFUNCTION("""COMPUTED_VALUE"""),"Bereczki Dalma")</f>
        <v>Bereczki Dalma</v>
      </c>
      <c r="C3582" s="1"/>
      <c r="D3582" s="1" t="str">
        <f ca="1">IFERROR(__xludf.DUMMYFUNCTION("""COMPUTED_VALUE"""),"Nő")</f>
        <v>Nő</v>
      </c>
      <c r="E3582" s="1"/>
      <c r="F3582" s="1">
        <f ca="1">IFERROR(__xludf.DUMMYFUNCTION("""COMPUTED_VALUE"""),1985)</f>
        <v>1985</v>
      </c>
      <c r="G3582" s="1">
        <f ca="1">IFERROR(__xludf.DUMMYFUNCTION("""COMPUTED_VALUE"""),77)</f>
        <v>77</v>
      </c>
      <c r="H3582" s="1" t="str">
        <f ca="1">IFERROR(__xludf.DUMMYFUNCTION("""COMPUTED_VALUE"""),"MTLSZ000077A04")</f>
        <v>MTLSZ000077A04</v>
      </c>
      <c r="I3582" s="2">
        <f ca="1">IFERROR(__xludf.DUMMYFUNCTION("""COMPUTED_VALUE"""),38237)</f>
        <v>38237</v>
      </c>
      <c r="J3582" s="2">
        <f ca="1">IFERROR(__xludf.DUMMYFUNCTION("""COMPUTED_VALUE"""),38601)</f>
        <v>38601</v>
      </c>
    </row>
    <row r="3583" spans="1:10" x14ac:dyDescent="0.25">
      <c r="A3583" s="1" t="str">
        <f ca="1">IFERROR(__xludf.DUMMYFUNCTION("""COMPUTED_VALUE"""),"Ságvári DSE")</f>
        <v>Ságvári DSE</v>
      </c>
      <c r="B3583" s="1" t="str">
        <f ca="1">IFERROR(__xludf.DUMMYFUNCTION("""COMPUTED_VALUE"""),"Badar Zsófia")</f>
        <v>Badar Zsófia</v>
      </c>
      <c r="C3583" s="1"/>
      <c r="D3583" s="1" t="str">
        <f ca="1">IFERROR(__xludf.DUMMYFUNCTION("""COMPUTED_VALUE"""),"Nő")</f>
        <v>Nő</v>
      </c>
      <c r="E3583" s="1"/>
      <c r="F3583" s="1">
        <f ca="1">IFERROR(__xludf.DUMMYFUNCTION("""COMPUTED_VALUE"""),1989)</f>
        <v>1989</v>
      </c>
      <c r="G3583" s="1">
        <f ca="1">IFERROR(__xludf.DUMMYFUNCTION("""COMPUTED_VALUE"""),1200)</f>
        <v>1200</v>
      </c>
      <c r="H3583" s="1" t="str">
        <f ca="1">IFERROR(__xludf.DUMMYFUNCTION("""COMPUTED_VALUE"""),"MTLSZ001200A04")</f>
        <v>MTLSZ001200A04</v>
      </c>
      <c r="I3583" s="2">
        <f ca="1">IFERROR(__xludf.DUMMYFUNCTION("""COMPUTED_VALUE"""),38232)</f>
        <v>38232</v>
      </c>
      <c r="J3583" s="2">
        <f ca="1">IFERROR(__xludf.DUMMYFUNCTION("""COMPUTED_VALUE"""),38596)</f>
        <v>38596</v>
      </c>
    </row>
    <row r="3584" spans="1:10" x14ac:dyDescent="0.25">
      <c r="A3584" s="1" t="str">
        <f ca="1">IFERROR(__xludf.DUMMYFUNCTION("""COMPUTED_VALUE"""),"Ságvári DSE")</f>
        <v>Ságvári DSE</v>
      </c>
      <c r="B3584" s="1" t="str">
        <f ca="1">IFERROR(__xludf.DUMMYFUNCTION("""COMPUTED_VALUE"""),"Éles Vivien")</f>
        <v>Éles Vivien</v>
      </c>
      <c r="C3584" s="1"/>
      <c r="D3584" s="1" t="str">
        <f ca="1">IFERROR(__xludf.DUMMYFUNCTION("""COMPUTED_VALUE"""),"Nő")</f>
        <v>Nő</v>
      </c>
      <c r="E3584" s="1"/>
      <c r="F3584" s="1">
        <f ca="1">IFERROR(__xludf.DUMMYFUNCTION("""COMPUTED_VALUE"""),1989)</f>
        <v>1989</v>
      </c>
      <c r="G3584" s="1">
        <f ca="1">IFERROR(__xludf.DUMMYFUNCTION("""COMPUTED_VALUE"""),1539)</f>
        <v>1539</v>
      </c>
      <c r="H3584" s="1" t="str">
        <f ca="1">IFERROR(__xludf.DUMMYFUNCTION("""COMPUTED_VALUE"""),"MTLSZ001539A04")</f>
        <v>MTLSZ001539A04</v>
      </c>
      <c r="I3584" s="2">
        <f ca="1">IFERROR(__xludf.DUMMYFUNCTION("""COMPUTED_VALUE"""),38232)</f>
        <v>38232</v>
      </c>
      <c r="J3584" s="2">
        <f ca="1">IFERROR(__xludf.DUMMYFUNCTION("""COMPUTED_VALUE"""),38596)</f>
        <v>38596</v>
      </c>
    </row>
    <row r="3585" spans="1:10" x14ac:dyDescent="0.25">
      <c r="A3585" s="1" t="str">
        <f ca="1">IFERROR(__xludf.DUMMYFUNCTION("""COMPUTED_VALUE"""),"Ságvári DSE")</f>
        <v>Ságvári DSE</v>
      </c>
      <c r="B3585" s="1" t="str">
        <f ca="1">IFERROR(__xludf.DUMMYFUNCTION("""COMPUTED_VALUE"""),"Krizsik Donát")</f>
        <v>Krizsik Donát</v>
      </c>
      <c r="C3585" s="1"/>
      <c r="D3585" s="1" t="str">
        <f ca="1">IFERROR(__xludf.DUMMYFUNCTION("""COMPUTED_VALUE"""),"Férfi")</f>
        <v>Férfi</v>
      </c>
      <c r="E3585" s="1"/>
      <c r="F3585" s="1">
        <f ca="1">IFERROR(__xludf.DUMMYFUNCTION("""COMPUTED_VALUE"""),1993)</f>
        <v>1993</v>
      </c>
      <c r="G3585" s="1">
        <f ca="1">IFERROR(__xludf.DUMMYFUNCTION("""COMPUTED_VALUE"""),1542)</f>
        <v>1542</v>
      </c>
      <c r="H3585" s="1" t="str">
        <f ca="1">IFERROR(__xludf.DUMMYFUNCTION("""COMPUTED_VALUE"""),"MTLSZ001542A04")</f>
        <v>MTLSZ001542A04</v>
      </c>
      <c r="I3585" s="2">
        <f ca="1">IFERROR(__xludf.DUMMYFUNCTION("""COMPUTED_VALUE"""),38232)</f>
        <v>38232</v>
      </c>
      <c r="J3585" s="2">
        <f ca="1">IFERROR(__xludf.DUMMYFUNCTION("""COMPUTED_VALUE"""),38596)</f>
        <v>38596</v>
      </c>
    </row>
    <row r="3586" spans="1:10" x14ac:dyDescent="0.25">
      <c r="A3586" s="1" t="str">
        <f ca="1">IFERROR(__xludf.DUMMYFUNCTION("""COMPUTED_VALUE"""),"Ságvári DSE")</f>
        <v>Ságvári DSE</v>
      </c>
      <c r="B3586" s="1" t="str">
        <f ca="1">IFERROR(__xludf.DUMMYFUNCTION("""COMPUTED_VALUE"""),"Lakatos Janka Anna")</f>
        <v>Lakatos Janka Anna</v>
      </c>
      <c r="C3586" s="1"/>
      <c r="D3586" s="1" t="str">
        <f ca="1">IFERROR(__xludf.DUMMYFUNCTION("""COMPUTED_VALUE"""),"Nő")</f>
        <v>Nő</v>
      </c>
      <c r="E3586" s="1"/>
      <c r="F3586" s="1">
        <f ca="1">IFERROR(__xludf.DUMMYFUNCTION("""COMPUTED_VALUE"""),1990)</f>
        <v>1990</v>
      </c>
      <c r="G3586" s="1">
        <f ca="1">IFERROR(__xludf.DUMMYFUNCTION("""COMPUTED_VALUE"""),1540)</f>
        <v>1540</v>
      </c>
      <c r="H3586" s="1" t="str">
        <f ca="1">IFERROR(__xludf.DUMMYFUNCTION("""COMPUTED_VALUE"""),"MTLSZ001540A04")</f>
        <v>MTLSZ001540A04</v>
      </c>
      <c r="I3586" s="2">
        <f ca="1">IFERROR(__xludf.DUMMYFUNCTION("""COMPUTED_VALUE"""),38232)</f>
        <v>38232</v>
      </c>
      <c r="J3586" s="2">
        <f ca="1">IFERROR(__xludf.DUMMYFUNCTION("""COMPUTED_VALUE"""),38596)</f>
        <v>38596</v>
      </c>
    </row>
    <row r="3587" spans="1:10" x14ac:dyDescent="0.25">
      <c r="A3587" s="1" t="str">
        <f ca="1">IFERROR(__xludf.DUMMYFUNCTION("""COMPUTED_VALUE"""),"Ságvári DSE")</f>
        <v>Ságvári DSE</v>
      </c>
      <c r="B3587" s="1" t="str">
        <f ca="1">IFERROR(__xludf.DUMMYFUNCTION("""COMPUTED_VALUE"""),"Mészáros Dóra")</f>
        <v>Mészáros Dóra</v>
      </c>
      <c r="C3587" s="1"/>
      <c r="D3587" s="1" t="str">
        <f ca="1">IFERROR(__xludf.DUMMYFUNCTION("""COMPUTED_VALUE"""),"Nő")</f>
        <v>Nő</v>
      </c>
      <c r="E3587" s="1"/>
      <c r="F3587" s="1">
        <f ca="1">IFERROR(__xludf.DUMMYFUNCTION("""COMPUTED_VALUE"""),1992)</f>
        <v>1992</v>
      </c>
      <c r="G3587" s="1">
        <f ca="1">IFERROR(__xludf.DUMMYFUNCTION("""COMPUTED_VALUE"""),1306)</f>
        <v>1306</v>
      </c>
      <c r="H3587" s="1" t="str">
        <f ca="1">IFERROR(__xludf.DUMMYFUNCTION("""COMPUTED_VALUE"""),"MTLSZ001306A04")</f>
        <v>MTLSZ001306A04</v>
      </c>
      <c r="I3587" s="2">
        <f ca="1">IFERROR(__xludf.DUMMYFUNCTION("""COMPUTED_VALUE"""),38232)</f>
        <v>38232</v>
      </c>
      <c r="J3587" s="2">
        <f ca="1">IFERROR(__xludf.DUMMYFUNCTION("""COMPUTED_VALUE"""),38596)</f>
        <v>38596</v>
      </c>
    </row>
    <row r="3588" spans="1:10" x14ac:dyDescent="0.25">
      <c r="A3588" s="1" t="str">
        <f ca="1">IFERROR(__xludf.DUMMYFUNCTION("""COMPUTED_VALUE"""),"Gyöngyösoroszi SK")</f>
        <v>Gyöngyösoroszi SK</v>
      </c>
      <c r="B3588" s="1" t="str">
        <f ca="1">IFERROR(__xludf.DUMMYFUNCTION("""COMPUTED_VALUE"""),"Ludányi Dóra")</f>
        <v>Ludányi Dóra</v>
      </c>
      <c r="C3588" s="1"/>
      <c r="D3588" s="1" t="str">
        <f ca="1">IFERROR(__xludf.DUMMYFUNCTION("""COMPUTED_VALUE"""),"Nő")</f>
        <v>Nő</v>
      </c>
      <c r="E3588" s="1"/>
      <c r="F3588" s="1">
        <f ca="1">IFERROR(__xludf.DUMMYFUNCTION("""COMPUTED_VALUE"""),1994)</f>
        <v>1994</v>
      </c>
      <c r="G3588" s="1">
        <f ca="1">IFERROR(__xludf.DUMMYFUNCTION("""COMPUTED_VALUE"""),1536)</f>
        <v>1536</v>
      </c>
      <c r="H3588" s="1" t="str">
        <f ca="1">IFERROR(__xludf.DUMMYFUNCTION("""COMPUTED_VALUE"""),"MTLSZ001536A04")</f>
        <v>MTLSZ001536A04</v>
      </c>
      <c r="I3588" s="2">
        <f ca="1">IFERROR(__xludf.DUMMYFUNCTION("""COMPUTED_VALUE"""),38231)</f>
        <v>38231</v>
      </c>
      <c r="J3588" s="2">
        <f ca="1">IFERROR(__xludf.DUMMYFUNCTION("""COMPUTED_VALUE"""),38595)</f>
        <v>38595</v>
      </c>
    </row>
    <row r="3589" spans="1:10" x14ac:dyDescent="0.25">
      <c r="A3589" s="1" t="str">
        <f ca="1">IFERROR(__xludf.DUMMYFUNCTION("""COMPUTED_VALUE"""),"Alba-Toll SE")</f>
        <v>Alba-Toll SE</v>
      </c>
      <c r="B3589" s="1" t="str">
        <f ca="1">IFERROR(__xludf.DUMMYFUNCTION("""COMPUTED_VALUE"""),"Balázsik Péter")</f>
        <v>Balázsik Péter</v>
      </c>
      <c r="C3589" s="1"/>
      <c r="D3589" s="1" t="str">
        <f ca="1">IFERROR(__xludf.DUMMYFUNCTION("""COMPUTED_VALUE"""),"Férfi")</f>
        <v>Férfi</v>
      </c>
      <c r="E3589" s="1"/>
      <c r="F3589" s="1">
        <f ca="1">IFERROR(__xludf.DUMMYFUNCTION("""COMPUTED_VALUE"""),1992)</f>
        <v>1992</v>
      </c>
      <c r="G3589" s="1">
        <f ca="1">IFERROR(__xludf.DUMMYFUNCTION("""COMPUTED_VALUE"""),1410)</f>
        <v>1410</v>
      </c>
      <c r="H3589" s="1" t="str">
        <f ca="1">IFERROR(__xludf.DUMMYFUNCTION("""COMPUTED_VALUE"""),"MTLSZ001410A04")</f>
        <v>MTLSZ001410A04</v>
      </c>
      <c r="I3589" s="2">
        <f ca="1">IFERROR(__xludf.DUMMYFUNCTION("""COMPUTED_VALUE"""),38230)</f>
        <v>38230</v>
      </c>
      <c r="J3589" s="2">
        <f ca="1">IFERROR(__xludf.DUMMYFUNCTION("""COMPUTED_VALUE"""),38594)</f>
        <v>38594</v>
      </c>
    </row>
    <row r="3590" spans="1:10" x14ac:dyDescent="0.25">
      <c r="A3590" s="1" t="str">
        <f ca="1">IFERROR(__xludf.DUMMYFUNCTION("""COMPUTED_VALUE"""),"Alba-Toll SE")</f>
        <v>Alba-Toll SE</v>
      </c>
      <c r="B3590" s="1" t="str">
        <f ca="1">IFERROR(__xludf.DUMMYFUNCTION("""COMPUTED_VALUE"""),"Szabó Zita Jázmin")</f>
        <v>Szabó Zita Jázmin</v>
      </c>
      <c r="C3590" s="1"/>
      <c r="D3590" s="1" t="str">
        <f ca="1">IFERROR(__xludf.DUMMYFUNCTION("""COMPUTED_VALUE"""),"Nő")</f>
        <v>Nő</v>
      </c>
      <c r="E3590" s="1"/>
      <c r="F3590" s="1">
        <f ca="1">IFERROR(__xludf.DUMMYFUNCTION("""COMPUTED_VALUE"""),1990)</f>
        <v>1990</v>
      </c>
      <c r="G3590" s="1">
        <f ca="1">IFERROR(__xludf.DUMMYFUNCTION("""COMPUTED_VALUE"""),1532)</f>
        <v>1532</v>
      </c>
      <c r="H3590" s="1" t="str">
        <f ca="1">IFERROR(__xludf.DUMMYFUNCTION("""COMPUTED_VALUE"""),"MTLSZ001532A04")</f>
        <v>MTLSZ001532A04</v>
      </c>
      <c r="I3590" s="2">
        <f ca="1">IFERROR(__xludf.DUMMYFUNCTION("""COMPUTED_VALUE"""),38230)</f>
        <v>38230</v>
      </c>
      <c r="J3590" s="2">
        <f ca="1">IFERROR(__xludf.DUMMYFUNCTION("""COMPUTED_VALUE"""),38594)</f>
        <v>38594</v>
      </c>
    </row>
    <row r="3591" spans="1:10" x14ac:dyDescent="0.25">
      <c r="A3591" s="1" t="str">
        <f ca="1">IFERROR(__xludf.DUMMYFUNCTION("""COMPUTED_VALUE"""),"Alba-Toll SE")</f>
        <v>Alba-Toll SE</v>
      </c>
      <c r="B3591" s="1" t="str">
        <f ca="1">IFERROR(__xludf.DUMMYFUNCTION("""COMPUTED_VALUE"""),"Szente Panna")</f>
        <v>Szente Panna</v>
      </c>
      <c r="C3591" s="1"/>
      <c r="D3591" s="1" t="str">
        <f ca="1">IFERROR(__xludf.DUMMYFUNCTION("""COMPUTED_VALUE"""),"Nő")</f>
        <v>Nő</v>
      </c>
      <c r="E3591" s="1"/>
      <c r="F3591" s="1">
        <f ca="1">IFERROR(__xludf.DUMMYFUNCTION("""COMPUTED_VALUE"""),1993)</f>
        <v>1993</v>
      </c>
      <c r="G3591" s="1">
        <f ca="1">IFERROR(__xludf.DUMMYFUNCTION("""COMPUTED_VALUE"""),1418)</f>
        <v>1418</v>
      </c>
      <c r="H3591" s="1" t="str">
        <f ca="1">IFERROR(__xludf.DUMMYFUNCTION("""COMPUTED_VALUE"""),"MTLSZ001418A04")</f>
        <v>MTLSZ001418A04</v>
      </c>
      <c r="I3591" s="2">
        <f ca="1">IFERROR(__xludf.DUMMYFUNCTION("""COMPUTED_VALUE"""),38230)</f>
        <v>38230</v>
      </c>
      <c r="J3591" s="2">
        <f ca="1">IFERROR(__xludf.DUMMYFUNCTION("""COMPUTED_VALUE"""),38594)</f>
        <v>38594</v>
      </c>
    </row>
    <row r="3592" spans="1:10" x14ac:dyDescent="0.25">
      <c r="A3592" s="1" t="str">
        <f ca="1">IFERROR(__xludf.DUMMYFUNCTION("""COMPUTED_VALUE"""),"Alba-Toll SE")</f>
        <v>Alba-Toll SE</v>
      </c>
      <c r="B3592" s="1" t="str">
        <f ca="1">IFERROR(__xludf.DUMMYFUNCTION("""COMPUTED_VALUE"""),"Szentzi Dóra")</f>
        <v>Szentzi Dóra</v>
      </c>
      <c r="C3592" s="1"/>
      <c r="D3592" s="1" t="str">
        <f ca="1">IFERROR(__xludf.DUMMYFUNCTION("""COMPUTED_VALUE"""),"Nő")</f>
        <v>Nő</v>
      </c>
      <c r="E3592" s="1"/>
      <c r="F3592" s="1">
        <f ca="1">IFERROR(__xludf.DUMMYFUNCTION("""COMPUTED_VALUE"""),1991)</f>
        <v>1991</v>
      </c>
      <c r="G3592" s="1">
        <f ca="1">IFERROR(__xludf.DUMMYFUNCTION("""COMPUTED_VALUE"""),1533)</f>
        <v>1533</v>
      </c>
      <c r="H3592" s="1" t="str">
        <f ca="1">IFERROR(__xludf.DUMMYFUNCTION("""COMPUTED_VALUE"""),"MTLSZ001533A04")</f>
        <v>MTLSZ001533A04</v>
      </c>
      <c r="I3592" s="2">
        <f ca="1">IFERROR(__xludf.DUMMYFUNCTION("""COMPUTED_VALUE"""),38230)</f>
        <v>38230</v>
      </c>
      <c r="J3592" s="2">
        <f ca="1">IFERROR(__xludf.DUMMYFUNCTION("""COMPUTED_VALUE"""),38594)</f>
        <v>38594</v>
      </c>
    </row>
    <row r="3593" spans="1:10" x14ac:dyDescent="0.25">
      <c r="A3593" s="1" t="str">
        <f ca="1">IFERROR(__xludf.DUMMYFUNCTION("""COMPUTED_VALUE"""),"Alba-Toll SE")</f>
        <v>Alba-Toll SE</v>
      </c>
      <c r="B3593" s="1" t="str">
        <f ca="1">IFERROR(__xludf.DUMMYFUNCTION("""COMPUTED_VALUE"""),"Tar Patricia")</f>
        <v>Tar Patricia</v>
      </c>
      <c r="C3593" s="1"/>
      <c r="D3593" s="1" t="str">
        <f ca="1">IFERROR(__xludf.DUMMYFUNCTION("""COMPUTED_VALUE"""),"Nő")</f>
        <v>Nő</v>
      </c>
      <c r="E3593" s="1"/>
      <c r="F3593" s="1">
        <f ca="1">IFERROR(__xludf.DUMMYFUNCTION("""COMPUTED_VALUE"""),1993)</f>
        <v>1993</v>
      </c>
      <c r="G3593" s="1">
        <f ca="1">IFERROR(__xludf.DUMMYFUNCTION("""COMPUTED_VALUE"""),1534)</f>
        <v>1534</v>
      </c>
      <c r="H3593" s="1" t="str">
        <f ca="1">IFERROR(__xludf.DUMMYFUNCTION("""COMPUTED_VALUE"""),"MTLSZ001534A04")</f>
        <v>MTLSZ001534A04</v>
      </c>
      <c r="I3593" s="2">
        <f ca="1">IFERROR(__xludf.DUMMYFUNCTION("""COMPUTED_VALUE"""),38230)</f>
        <v>38230</v>
      </c>
      <c r="J3593" s="2">
        <f ca="1">IFERROR(__xludf.DUMMYFUNCTION("""COMPUTED_VALUE"""),38594)</f>
        <v>38594</v>
      </c>
    </row>
    <row r="3594" spans="1:10" x14ac:dyDescent="0.25">
      <c r="A3594" s="1" t="str">
        <f ca="1">IFERROR(__xludf.DUMMYFUNCTION("""COMPUTED_VALUE"""),"Alba-Toll SE")</f>
        <v>Alba-Toll SE</v>
      </c>
      <c r="B3594" s="1" t="str">
        <f ca="1">IFERROR(__xludf.DUMMYFUNCTION("""COMPUTED_VALUE"""),"Varga Eszter")</f>
        <v>Varga Eszter</v>
      </c>
      <c r="C3594" s="1"/>
      <c r="D3594" s="1" t="str">
        <f ca="1">IFERROR(__xludf.DUMMYFUNCTION("""COMPUTED_VALUE"""),"Nő")</f>
        <v>Nő</v>
      </c>
      <c r="E3594" s="1"/>
      <c r="F3594" s="1">
        <f ca="1">IFERROR(__xludf.DUMMYFUNCTION("""COMPUTED_VALUE"""),1991)</f>
        <v>1991</v>
      </c>
      <c r="G3594" s="1">
        <f ca="1">IFERROR(__xludf.DUMMYFUNCTION("""COMPUTED_VALUE"""),1407)</f>
        <v>1407</v>
      </c>
      <c r="H3594" s="1" t="str">
        <f ca="1">IFERROR(__xludf.DUMMYFUNCTION("""COMPUTED_VALUE"""),"MTLSZ001407A04")</f>
        <v>MTLSZ001407A04</v>
      </c>
      <c r="I3594" s="2">
        <f ca="1">IFERROR(__xludf.DUMMYFUNCTION("""COMPUTED_VALUE"""),38230)</f>
        <v>38230</v>
      </c>
      <c r="J3594" s="2">
        <f ca="1">IFERROR(__xludf.DUMMYFUNCTION("""COMPUTED_VALUE"""),38594)</f>
        <v>38594</v>
      </c>
    </row>
    <row r="3595" spans="1:10" x14ac:dyDescent="0.25">
      <c r="A3595" s="1" t="str">
        <f ca="1">IFERROR(__xludf.DUMMYFUNCTION("""COMPUTED_VALUE"""),"Érdi VSE")</f>
        <v>Érdi VSE</v>
      </c>
      <c r="B3595" s="1" t="str">
        <f ca="1">IFERROR(__xludf.DUMMYFUNCTION("""COMPUTED_VALUE"""),"Dombi Eszter")</f>
        <v>Dombi Eszter</v>
      </c>
      <c r="C3595" s="1"/>
      <c r="D3595" s="1" t="str">
        <f ca="1">IFERROR(__xludf.DUMMYFUNCTION("""COMPUTED_VALUE"""),"Nő")</f>
        <v>Nő</v>
      </c>
      <c r="E3595" s="1"/>
      <c r="F3595" s="1">
        <f ca="1">IFERROR(__xludf.DUMMYFUNCTION("""COMPUTED_VALUE"""),1990)</f>
        <v>1990</v>
      </c>
      <c r="G3595" s="1">
        <f ca="1">IFERROR(__xludf.DUMMYFUNCTION("""COMPUTED_VALUE"""),195)</f>
        <v>195</v>
      </c>
      <c r="H3595" s="1" t="str">
        <f ca="1">IFERROR(__xludf.DUMMYFUNCTION("""COMPUTED_VALUE"""),"MTLSZ000195A04")</f>
        <v>MTLSZ000195A04</v>
      </c>
      <c r="I3595" s="2">
        <f ca="1">IFERROR(__xludf.DUMMYFUNCTION("""COMPUTED_VALUE"""),38229)</f>
        <v>38229</v>
      </c>
      <c r="J3595" s="2">
        <f ca="1">IFERROR(__xludf.DUMMYFUNCTION("""COMPUTED_VALUE"""),38593)</f>
        <v>38593</v>
      </c>
    </row>
    <row r="3596" spans="1:10" x14ac:dyDescent="0.25">
      <c r="A3596" s="1" t="str">
        <f ca="1">IFERROR(__xludf.DUMMYFUNCTION("""COMPUTED_VALUE"""),"Érdi VSE")</f>
        <v>Érdi VSE</v>
      </c>
      <c r="B3596" s="1" t="str">
        <f ca="1">IFERROR(__xludf.DUMMYFUNCTION("""COMPUTED_VALUE"""),"Puha Dóra")</f>
        <v>Puha Dóra</v>
      </c>
      <c r="C3596" s="1"/>
      <c r="D3596" s="1" t="str">
        <f ca="1">IFERROR(__xludf.DUMMYFUNCTION("""COMPUTED_VALUE"""),"Nő")</f>
        <v>Nő</v>
      </c>
      <c r="E3596" s="1"/>
      <c r="F3596" s="1">
        <f ca="1">IFERROR(__xludf.DUMMYFUNCTION("""COMPUTED_VALUE"""),1991)</f>
        <v>1991</v>
      </c>
      <c r="G3596" s="1">
        <f ca="1">IFERROR(__xludf.DUMMYFUNCTION("""COMPUTED_VALUE"""),787)</f>
        <v>787</v>
      </c>
      <c r="H3596" s="1" t="str">
        <f ca="1">IFERROR(__xludf.DUMMYFUNCTION("""COMPUTED_VALUE"""),"MTLSZ000787A04")</f>
        <v>MTLSZ000787A04</v>
      </c>
      <c r="I3596" s="2">
        <f ca="1">IFERROR(__xludf.DUMMYFUNCTION("""COMPUTED_VALUE"""),38229)</f>
        <v>38229</v>
      </c>
      <c r="J3596" s="2">
        <f ca="1">IFERROR(__xludf.DUMMYFUNCTION("""COMPUTED_VALUE"""),38593)</f>
        <v>38593</v>
      </c>
    </row>
    <row r="3597" spans="1:10" x14ac:dyDescent="0.25">
      <c r="A3597" s="1" t="str">
        <f ca="1">IFERROR(__xludf.DUMMYFUNCTION("""COMPUTED_VALUE"""),"Érdi VSE")</f>
        <v>Érdi VSE</v>
      </c>
      <c r="B3597" s="1" t="str">
        <f ca="1">IFERROR(__xludf.DUMMYFUNCTION("""COMPUTED_VALUE"""),"Puha Gréta")</f>
        <v>Puha Gréta</v>
      </c>
      <c r="C3597" s="1"/>
      <c r="D3597" s="1" t="str">
        <f ca="1">IFERROR(__xludf.DUMMYFUNCTION("""COMPUTED_VALUE"""),"Nő")</f>
        <v>Nő</v>
      </c>
      <c r="E3597" s="1"/>
      <c r="F3597" s="1">
        <f ca="1">IFERROR(__xludf.DUMMYFUNCTION("""COMPUTED_VALUE"""),1995)</f>
        <v>1995</v>
      </c>
      <c r="G3597" s="1">
        <f ca="1">IFERROR(__xludf.DUMMYFUNCTION("""COMPUTED_VALUE"""),1324)</f>
        <v>1324</v>
      </c>
      <c r="H3597" s="1" t="str">
        <f ca="1">IFERROR(__xludf.DUMMYFUNCTION("""COMPUTED_VALUE"""),"MTLSZ001324A04")</f>
        <v>MTLSZ001324A04</v>
      </c>
      <c r="I3597" s="2">
        <f ca="1">IFERROR(__xludf.DUMMYFUNCTION("""COMPUTED_VALUE"""),38229)</f>
        <v>38229</v>
      </c>
      <c r="J3597" s="2">
        <f ca="1">IFERROR(__xludf.DUMMYFUNCTION("""COMPUTED_VALUE"""),38593)</f>
        <v>38593</v>
      </c>
    </row>
    <row r="3598" spans="1:10" x14ac:dyDescent="0.25">
      <c r="A3598" s="1" t="str">
        <f ca="1">IFERROR(__xludf.DUMMYFUNCTION("""COMPUTED_VALUE"""),"Érdi VSE")</f>
        <v>Érdi VSE</v>
      </c>
      <c r="B3598" s="1" t="str">
        <f ca="1">IFERROR(__xludf.DUMMYFUNCTION("""COMPUTED_VALUE"""),"Puha Rita")</f>
        <v>Puha Rita</v>
      </c>
      <c r="C3598" s="1"/>
      <c r="D3598" s="1" t="str">
        <f ca="1">IFERROR(__xludf.DUMMYFUNCTION("""COMPUTED_VALUE"""),"Nő")</f>
        <v>Nő</v>
      </c>
      <c r="E3598" s="1"/>
      <c r="F3598" s="1">
        <f ca="1">IFERROR(__xludf.DUMMYFUNCTION("""COMPUTED_VALUE"""),1990)</f>
        <v>1990</v>
      </c>
      <c r="G3598" s="1">
        <f ca="1">IFERROR(__xludf.DUMMYFUNCTION("""COMPUTED_VALUE"""),788)</f>
        <v>788</v>
      </c>
      <c r="H3598" s="1" t="str">
        <f ca="1">IFERROR(__xludf.DUMMYFUNCTION("""COMPUTED_VALUE"""),"MTLSZ000788A04")</f>
        <v>MTLSZ000788A04</v>
      </c>
      <c r="I3598" s="2">
        <f ca="1">IFERROR(__xludf.DUMMYFUNCTION("""COMPUTED_VALUE"""),38229)</f>
        <v>38229</v>
      </c>
      <c r="J3598" s="2">
        <f ca="1">IFERROR(__xludf.DUMMYFUNCTION("""COMPUTED_VALUE"""),38593)</f>
        <v>38593</v>
      </c>
    </row>
    <row r="3599" spans="1:10" x14ac:dyDescent="0.25">
      <c r="A3599" s="1" t="str">
        <f ca="1">IFERROR(__xludf.DUMMYFUNCTION("""COMPUTED_VALUE"""),"Érdi VSE")</f>
        <v>Érdi VSE</v>
      </c>
      <c r="B3599" s="1" t="str">
        <f ca="1">IFERROR(__xludf.DUMMYFUNCTION("""COMPUTED_VALUE"""),"Szentesi Norbert")</f>
        <v>Szentesi Norbert</v>
      </c>
      <c r="C3599" s="1"/>
      <c r="D3599" s="1" t="str">
        <f ca="1">IFERROR(__xludf.DUMMYFUNCTION("""COMPUTED_VALUE"""),"Férfi")</f>
        <v>Férfi</v>
      </c>
      <c r="E3599" s="1"/>
      <c r="F3599" s="1">
        <f ca="1">IFERROR(__xludf.DUMMYFUNCTION("""COMPUTED_VALUE"""),1993)</f>
        <v>1993</v>
      </c>
      <c r="G3599" s="1">
        <f ca="1">IFERROR(__xludf.DUMMYFUNCTION("""COMPUTED_VALUE"""),1369)</f>
        <v>1369</v>
      </c>
      <c r="H3599" s="1" t="str">
        <f ca="1">IFERROR(__xludf.DUMMYFUNCTION("""COMPUTED_VALUE"""),"MTLSZ001369A04")</f>
        <v>MTLSZ001369A04</v>
      </c>
      <c r="I3599" s="2">
        <f ca="1">IFERROR(__xludf.DUMMYFUNCTION("""COMPUTED_VALUE"""),38229)</f>
        <v>38229</v>
      </c>
      <c r="J3599" s="2">
        <f ca="1">IFERROR(__xludf.DUMMYFUNCTION("""COMPUTED_VALUE"""),38593)</f>
        <v>38593</v>
      </c>
    </row>
    <row r="3600" spans="1:10" x14ac:dyDescent="0.25">
      <c r="A3600" s="1" t="str">
        <f ca="1">IFERROR(__xludf.DUMMYFUNCTION("""COMPUTED_VALUE"""),"Segesi DE")</f>
        <v>Segesi DE</v>
      </c>
      <c r="B3600" s="1" t="str">
        <f ca="1">IFERROR(__xludf.DUMMYFUNCTION("""COMPUTED_VALUE"""),"Csimszi Dóra")</f>
        <v>Csimszi Dóra</v>
      </c>
      <c r="C3600" s="1"/>
      <c r="D3600" s="1" t="str">
        <f ca="1">IFERROR(__xludf.DUMMYFUNCTION("""COMPUTED_VALUE"""),"Nő")</f>
        <v>Nő</v>
      </c>
      <c r="E3600" s="1"/>
      <c r="F3600" s="1">
        <f ca="1">IFERROR(__xludf.DUMMYFUNCTION("""COMPUTED_VALUE"""),1992)</f>
        <v>1992</v>
      </c>
      <c r="G3600" s="1">
        <f ca="1">IFERROR(__xludf.DUMMYFUNCTION("""COMPUTED_VALUE"""),146)</f>
        <v>146</v>
      </c>
      <c r="H3600" s="1" t="str">
        <f ca="1">IFERROR(__xludf.DUMMYFUNCTION("""COMPUTED_VALUE"""),"MTLSZ000146A04")</f>
        <v>MTLSZ000146A04</v>
      </c>
      <c r="I3600" s="2">
        <f ca="1">IFERROR(__xludf.DUMMYFUNCTION("""COMPUTED_VALUE"""),38229)</f>
        <v>38229</v>
      </c>
      <c r="J3600" s="2">
        <f ca="1">IFERROR(__xludf.DUMMYFUNCTION("""COMPUTED_VALUE"""),38593)</f>
        <v>38593</v>
      </c>
    </row>
    <row r="3601" spans="1:10" x14ac:dyDescent="0.25">
      <c r="A3601" s="1" t="str">
        <f ca="1">IFERROR(__xludf.DUMMYFUNCTION("""COMPUTED_VALUE"""),"Segesi DE")</f>
        <v>Segesi DE</v>
      </c>
      <c r="B3601" s="1" t="str">
        <f ca="1">IFERROR(__xludf.DUMMYFUNCTION("""COMPUTED_VALUE"""),"Pádár Petronella")</f>
        <v>Pádár Petronella</v>
      </c>
      <c r="C3601" s="1"/>
      <c r="D3601" s="1" t="str">
        <f ca="1">IFERROR(__xludf.DUMMYFUNCTION("""COMPUTED_VALUE"""),"Nő")</f>
        <v>Nő</v>
      </c>
      <c r="E3601" s="1"/>
      <c r="F3601" s="1">
        <f ca="1">IFERROR(__xludf.DUMMYFUNCTION("""COMPUTED_VALUE"""),1992)</f>
        <v>1992</v>
      </c>
      <c r="G3601" s="1">
        <f ca="1">IFERROR(__xludf.DUMMYFUNCTION("""COMPUTED_VALUE"""),1312)</f>
        <v>1312</v>
      </c>
      <c r="H3601" s="1" t="str">
        <f ca="1">IFERROR(__xludf.DUMMYFUNCTION("""COMPUTED_VALUE"""),"MTLSZ001312A04")</f>
        <v>MTLSZ001312A04</v>
      </c>
      <c r="I3601" s="2">
        <f ca="1">IFERROR(__xludf.DUMMYFUNCTION("""COMPUTED_VALUE"""),38229)</f>
        <v>38229</v>
      </c>
      <c r="J3601" s="2">
        <f ca="1">IFERROR(__xludf.DUMMYFUNCTION("""COMPUTED_VALUE"""),38593)</f>
        <v>38593</v>
      </c>
    </row>
    <row r="3602" spans="1:10" x14ac:dyDescent="0.25">
      <c r="A3602" s="1" t="str">
        <f ca="1">IFERROR(__xludf.DUMMYFUNCTION("""COMPUTED_VALUE"""),"Alba-Toll SE")</f>
        <v>Alba-Toll SE</v>
      </c>
      <c r="B3602" s="1" t="str">
        <f ca="1">IFERROR(__xludf.DUMMYFUNCTION("""COMPUTED_VALUE"""),"Kerülő Márta Csilla")</f>
        <v>Kerülő Márta Csilla</v>
      </c>
      <c r="C3602" s="1"/>
      <c r="D3602" s="1" t="str">
        <f ca="1">IFERROR(__xludf.DUMMYFUNCTION("""COMPUTED_VALUE"""),"Nő")</f>
        <v>Nő</v>
      </c>
      <c r="E3602" s="1"/>
      <c r="F3602" s="1">
        <f ca="1">IFERROR(__xludf.DUMMYFUNCTION("""COMPUTED_VALUE"""),1993)</f>
        <v>1993</v>
      </c>
      <c r="G3602" s="1">
        <f ca="1">IFERROR(__xludf.DUMMYFUNCTION("""COMPUTED_VALUE"""),1412)</f>
        <v>1412</v>
      </c>
      <c r="H3602" s="1" t="str">
        <f ca="1">IFERROR(__xludf.DUMMYFUNCTION("""COMPUTED_VALUE"""),"MTLSZ001412A04")</f>
        <v>MTLSZ001412A04</v>
      </c>
      <c r="I3602" s="2">
        <f ca="1">IFERROR(__xludf.DUMMYFUNCTION("""COMPUTED_VALUE"""),38225)</f>
        <v>38225</v>
      </c>
      <c r="J3602" s="2">
        <f ca="1">IFERROR(__xludf.DUMMYFUNCTION("""COMPUTED_VALUE"""),38589)</f>
        <v>38589</v>
      </c>
    </row>
    <row r="3603" spans="1:10" x14ac:dyDescent="0.25">
      <c r="A3603" s="1" t="str">
        <f ca="1">IFERROR(__xludf.DUMMYFUNCTION("""COMPUTED_VALUE"""),"Bodajki TSE")</f>
        <v>Bodajki TSE</v>
      </c>
      <c r="B3603" s="1" t="str">
        <f ca="1">IFERROR(__xludf.DUMMYFUNCTION("""COMPUTED_VALUE"""),"Pintér Veronika")</f>
        <v>Pintér Veronika</v>
      </c>
      <c r="C3603" s="1"/>
      <c r="D3603" s="1" t="str">
        <f ca="1">IFERROR(__xludf.DUMMYFUNCTION("""COMPUTED_VALUE"""),"Nő")</f>
        <v>Nő</v>
      </c>
      <c r="E3603" s="1"/>
      <c r="F3603" s="1">
        <f ca="1">IFERROR(__xludf.DUMMYFUNCTION("""COMPUTED_VALUE"""),1993)</f>
        <v>1993</v>
      </c>
      <c r="G3603" s="1">
        <f ca="1">IFERROR(__xludf.DUMMYFUNCTION("""COMPUTED_VALUE"""),1385)</f>
        <v>1385</v>
      </c>
      <c r="H3603" s="1" t="str">
        <f ca="1">IFERROR(__xludf.DUMMYFUNCTION("""COMPUTED_VALUE"""),"MTLSZ001385A04")</f>
        <v>MTLSZ001385A04</v>
      </c>
      <c r="I3603" s="2">
        <f ca="1">IFERROR(__xludf.DUMMYFUNCTION("""COMPUTED_VALUE"""),38222)</f>
        <v>38222</v>
      </c>
      <c r="J3603" s="2">
        <f ca="1">IFERROR(__xludf.DUMMYFUNCTION("""COMPUTED_VALUE"""),38586)</f>
        <v>38586</v>
      </c>
    </row>
    <row r="3604" spans="1:10" x14ac:dyDescent="0.25">
      <c r="A3604" s="1" t="str">
        <f ca="1">IFERROR(__xludf.DUMMYFUNCTION("""COMPUTED_VALUE"""),"Diaboló SE")</f>
        <v>Diaboló SE</v>
      </c>
      <c r="B3604" s="1" t="str">
        <f ca="1">IFERROR(__xludf.DUMMYFUNCTION("""COMPUTED_VALUE"""),"Skultéti Ákos")</f>
        <v>Skultéti Ákos</v>
      </c>
      <c r="C3604" s="1"/>
      <c r="D3604" s="1" t="str">
        <f ca="1">IFERROR(__xludf.DUMMYFUNCTION("""COMPUTED_VALUE"""),"Férfi")</f>
        <v>Férfi</v>
      </c>
      <c r="E3604" s="1"/>
      <c r="F3604" s="1">
        <f ca="1">IFERROR(__xludf.DUMMYFUNCTION("""COMPUTED_VALUE"""),1986)</f>
        <v>1986</v>
      </c>
      <c r="G3604" s="1">
        <f ca="1">IFERROR(__xludf.DUMMYFUNCTION("""COMPUTED_VALUE"""),1520)</f>
        <v>1520</v>
      </c>
      <c r="H3604" s="1" t="str">
        <f ca="1">IFERROR(__xludf.DUMMYFUNCTION("""COMPUTED_VALUE"""),"MTLSZ001520A04")</f>
        <v>MTLSZ001520A04</v>
      </c>
      <c r="I3604" s="2">
        <f ca="1">IFERROR(__xludf.DUMMYFUNCTION("""COMPUTED_VALUE"""),38106)</f>
        <v>38106</v>
      </c>
      <c r="J3604" s="2">
        <f ca="1">IFERROR(__xludf.DUMMYFUNCTION("""COMPUTED_VALUE"""),38470)</f>
        <v>38470</v>
      </c>
    </row>
    <row r="3605" spans="1:10" x14ac:dyDescent="0.25">
      <c r="A3605" s="1" t="str">
        <f ca="1">IFERROR(__xludf.DUMMYFUNCTION("""COMPUTED_VALUE"""),"MAFC")</f>
        <v>MAFC</v>
      </c>
      <c r="B3605" s="1" t="str">
        <f ca="1">IFERROR(__xludf.DUMMYFUNCTION("""COMPUTED_VALUE"""),"Takács Péter")</f>
        <v>Takács Péter</v>
      </c>
      <c r="C3605" s="1"/>
      <c r="D3605" s="1" t="str">
        <f ca="1">IFERROR(__xludf.DUMMYFUNCTION("""COMPUTED_VALUE"""),"Férfi")</f>
        <v>Férfi</v>
      </c>
      <c r="E3605" s="1"/>
      <c r="F3605" s="1">
        <f ca="1">IFERROR(__xludf.DUMMYFUNCTION("""COMPUTED_VALUE"""),1985)</f>
        <v>1985</v>
      </c>
      <c r="G3605" s="1">
        <f ca="1">IFERROR(__xludf.DUMMYFUNCTION("""COMPUTED_VALUE"""),994)</f>
        <v>994</v>
      </c>
      <c r="H3605" s="1" t="str">
        <f ca="1">IFERROR(__xludf.DUMMYFUNCTION("""COMPUTED_VALUE"""),"MTLSZ000994A04")</f>
        <v>MTLSZ000994A04</v>
      </c>
      <c r="I3605" s="2">
        <f ca="1">IFERROR(__xludf.DUMMYFUNCTION("""COMPUTED_VALUE"""),38105)</f>
        <v>38105</v>
      </c>
      <c r="J3605" s="2">
        <f ca="1">IFERROR(__xludf.DUMMYFUNCTION("""COMPUTED_VALUE"""),38469)</f>
        <v>38469</v>
      </c>
    </row>
    <row r="3606" spans="1:10" x14ac:dyDescent="0.25">
      <c r="A3606" s="1" t="str">
        <f ca="1">IFERROR(__xludf.DUMMYFUNCTION("""COMPUTED_VALUE"""),"Diaboló SE")</f>
        <v>Diaboló SE</v>
      </c>
      <c r="B3606" s="1" t="str">
        <f ca="1">IFERROR(__xludf.DUMMYFUNCTION("""COMPUTED_VALUE"""),"Ibrányi Zoltán")</f>
        <v>Ibrányi Zoltán</v>
      </c>
      <c r="C3606" s="1"/>
      <c r="D3606" s="1" t="str">
        <f ca="1">IFERROR(__xludf.DUMMYFUNCTION("""COMPUTED_VALUE"""),"Férfi")</f>
        <v>Férfi</v>
      </c>
      <c r="E3606" s="1"/>
      <c r="F3606" s="1">
        <f ca="1">IFERROR(__xludf.DUMMYFUNCTION("""COMPUTED_VALUE"""),1981)</f>
        <v>1981</v>
      </c>
      <c r="G3606" s="1">
        <f ca="1">IFERROR(__xludf.DUMMYFUNCTION("""COMPUTED_VALUE"""),1519)</f>
        <v>1519</v>
      </c>
      <c r="H3606" s="1" t="str">
        <f ca="1">IFERROR(__xludf.DUMMYFUNCTION("""COMPUTED_VALUE"""),"MTLSZ001519A04")</f>
        <v>MTLSZ001519A04</v>
      </c>
      <c r="I3606" s="2">
        <f ca="1">IFERROR(__xludf.DUMMYFUNCTION("""COMPUTED_VALUE"""),38099)</f>
        <v>38099</v>
      </c>
      <c r="J3606" s="2">
        <f ca="1">IFERROR(__xludf.DUMMYFUNCTION("""COMPUTED_VALUE"""),38463)</f>
        <v>38463</v>
      </c>
    </row>
    <row r="3607" spans="1:10" x14ac:dyDescent="0.25">
      <c r="A3607" s="1" t="str">
        <f ca="1">IFERROR(__xludf.DUMMYFUNCTION("""COMPUTED_VALUE"""),"Universitas SC")</f>
        <v>Universitas SC</v>
      </c>
      <c r="B3607" s="1" t="str">
        <f ca="1">IFERROR(__xludf.DUMMYFUNCTION("""COMPUTED_VALUE"""),"Varga Zsolt")</f>
        <v>Varga Zsolt</v>
      </c>
      <c r="C3607" s="1"/>
      <c r="D3607" s="1" t="str">
        <f ca="1">IFERROR(__xludf.DUMMYFUNCTION("""COMPUTED_VALUE"""),"Férfi")</f>
        <v>Férfi</v>
      </c>
      <c r="E3607" s="1"/>
      <c r="F3607" s="1">
        <f ca="1">IFERROR(__xludf.DUMMYFUNCTION("""COMPUTED_VALUE"""),1973)</f>
        <v>1973</v>
      </c>
      <c r="G3607" s="1">
        <f ca="1">IFERROR(__xludf.DUMMYFUNCTION("""COMPUTED_VALUE"""),1100)</f>
        <v>1100</v>
      </c>
      <c r="H3607" s="1" t="str">
        <f ca="1">IFERROR(__xludf.DUMMYFUNCTION("""COMPUTED_VALUE"""),"MTLSZ001100A04")</f>
        <v>MTLSZ001100A04</v>
      </c>
      <c r="I3607" s="2">
        <f ca="1">IFERROR(__xludf.DUMMYFUNCTION("""COMPUTED_VALUE"""),38096)</f>
        <v>38096</v>
      </c>
      <c r="J3607" s="2">
        <f ca="1">IFERROR(__xludf.DUMMYFUNCTION("""COMPUTED_VALUE"""),38460)</f>
        <v>38460</v>
      </c>
    </row>
    <row r="3608" spans="1:10" x14ac:dyDescent="0.25">
      <c r="A3608" s="1" t="str">
        <f ca="1">IFERROR(__xludf.DUMMYFUNCTION("""COMPUTED_VALUE"""),"Diaboló SE")</f>
        <v>Diaboló SE</v>
      </c>
      <c r="B3608" s="1" t="str">
        <f ca="1">IFERROR(__xludf.DUMMYFUNCTION("""COMPUTED_VALUE"""),"Fülöp Tibor")</f>
        <v>Fülöp Tibor</v>
      </c>
      <c r="C3608" s="1"/>
      <c r="D3608" s="1" t="str">
        <f ca="1">IFERROR(__xludf.DUMMYFUNCTION("""COMPUTED_VALUE"""),"Férfi")</f>
        <v>Férfi</v>
      </c>
      <c r="E3608" s="1"/>
      <c r="F3608" s="1">
        <f ca="1">IFERROR(__xludf.DUMMYFUNCTION("""COMPUTED_VALUE"""),1985)</f>
        <v>1985</v>
      </c>
      <c r="G3608" s="1">
        <f ca="1">IFERROR(__xludf.DUMMYFUNCTION("""COMPUTED_VALUE"""),1514)</f>
        <v>1514</v>
      </c>
      <c r="H3608" s="1" t="str">
        <f ca="1">IFERROR(__xludf.DUMMYFUNCTION("""COMPUTED_VALUE"""),"MTLSZ001514A04")</f>
        <v>MTLSZ001514A04</v>
      </c>
      <c r="I3608" s="2">
        <f ca="1">IFERROR(__xludf.DUMMYFUNCTION("""COMPUTED_VALUE"""),38078)</f>
        <v>38078</v>
      </c>
      <c r="J3608" s="2">
        <f ca="1">IFERROR(__xludf.DUMMYFUNCTION("""COMPUTED_VALUE"""),38442)</f>
        <v>38442</v>
      </c>
    </row>
    <row r="3609" spans="1:10" x14ac:dyDescent="0.25">
      <c r="A3609" s="1" t="str">
        <f ca="1">IFERROR(__xludf.DUMMYFUNCTION("""COMPUTED_VALUE"""),"Diaboló SE")</f>
        <v>Diaboló SE</v>
      </c>
      <c r="B3609" s="1" t="str">
        <f ca="1">IFERROR(__xludf.DUMMYFUNCTION("""COMPUTED_VALUE"""),"Nix Anita")</f>
        <v>Nix Anita</v>
      </c>
      <c r="C3609" s="1"/>
      <c r="D3609" s="1" t="str">
        <f ca="1">IFERROR(__xludf.DUMMYFUNCTION("""COMPUTED_VALUE"""),"Nő")</f>
        <v>Nő</v>
      </c>
      <c r="E3609" s="1"/>
      <c r="F3609" s="1">
        <f ca="1">IFERROR(__xludf.DUMMYFUNCTION("""COMPUTED_VALUE"""),1985)</f>
        <v>1985</v>
      </c>
      <c r="G3609" s="1">
        <f ca="1">IFERROR(__xludf.DUMMYFUNCTION("""COMPUTED_VALUE"""),1515)</f>
        <v>1515</v>
      </c>
      <c r="H3609" s="1" t="str">
        <f ca="1">IFERROR(__xludf.DUMMYFUNCTION("""COMPUTED_VALUE"""),"MTLSZ001515A04")</f>
        <v>MTLSZ001515A04</v>
      </c>
      <c r="I3609" s="2">
        <f ca="1">IFERROR(__xludf.DUMMYFUNCTION("""COMPUTED_VALUE"""),38078)</f>
        <v>38078</v>
      </c>
      <c r="J3609" s="2">
        <f ca="1">IFERROR(__xludf.DUMMYFUNCTION("""COMPUTED_VALUE"""),38442)</f>
        <v>38442</v>
      </c>
    </row>
    <row r="3610" spans="1:10" x14ac:dyDescent="0.25">
      <c r="A3610" s="1" t="str">
        <f ca="1">IFERROR(__xludf.DUMMYFUNCTION("""COMPUTED_VALUE"""),"Érdi VSE")</f>
        <v>Érdi VSE</v>
      </c>
      <c r="B3610" s="1" t="str">
        <f ca="1">IFERROR(__xludf.DUMMYFUNCTION("""COMPUTED_VALUE"""),"Balován András")</f>
        <v>Balován András</v>
      </c>
      <c r="C3610" s="1"/>
      <c r="D3610" s="1" t="str">
        <f ca="1">IFERROR(__xludf.DUMMYFUNCTION("""COMPUTED_VALUE"""),"Férfi")</f>
        <v>Férfi</v>
      </c>
      <c r="E3610" s="1"/>
      <c r="F3610" s="1">
        <f ca="1">IFERROR(__xludf.DUMMYFUNCTION("""COMPUTED_VALUE"""),1991)</f>
        <v>1991</v>
      </c>
      <c r="G3610" s="1">
        <f ca="1">IFERROR(__xludf.DUMMYFUNCTION("""COMPUTED_VALUE"""),1513)</f>
        <v>1513</v>
      </c>
      <c r="H3610" s="1" t="str">
        <f ca="1">IFERROR(__xludf.DUMMYFUNCTION("""COMPUTED_VALUE"""),"MTLSZ001513A04")</f>
        <v>MTLSZ001513A04</v>
      </c>
      <c r="I3610" s="2">
        <f ca="1">IFERROR(__xludf.DUMMYFUNCTION("""COMPUTED_VALUE"""),38076)</f>
        <v>38076</v>
      </c>
      <c r="J3610" s="2">
        <f ca="1">IFERROR(__xludf.DUMMYFUNCTION("""COMPUTED_VALUE"""),38440)</f>
        <v>38440</v>
      </c>
    </row>
    <row r="3611" spans="1:10" x14ac:dyDescent="0.25">
      <c r="A3611" s="1" t="str">
        <f ca="1">IFERROR(__xludf.DUMMYFUNCTION("""COMPUTED_VALUE"""),"Érdi VSE")</f>
        <v>Érdi VSE</v>
      </c>
      <c r="B3611" s="1" t="str">
        <f ca="1">IFERROR(__xludf.DUMMYFUNCTION("""COMPUTED_VALUE"""),"Balován Barnabás")</f>
        <v>Balován Barnabás</v>
      </c>
      <c r="C3611" s="1"/>
      <c r="D3611" s="1" t="str">
        <f ca="1">IFERROR(__xludf.DUMMYFUNCTION("""COMPUTED_VALUE"""),"Férfi")</f>
        <v>Férfi</v>
      </c>
      <c r="E3611" s="1"/>
      <c r="F3611" s="1">
        <f ca="1">IFERROR(__xludf.DUMMYFUNCTION("""COMPUTED_VALUE"""),1993)</f>
        <v>1993</v>
      </c>
      <c r="G3611" s="1">
        <f ca="1">IFERROR(__xludf.DUMMYFUNCTION("""COMPUTED_VALUE"""),1512)</f>
        <v>1512</v>
      </c>
      <c r="H3611" s="1" t="str">
        <f ca="1">IFERROR(__xludf.DUMMYFUNCTION("""COMPUTED_VALUE"""),"MTLSZ001512A04")</f>
        <v>MTLSZ001512A04</v>
      </c>
      <c r="I3611" s="2">
        <f ca="1">IFERROR(__xludf.DUMMYFUNCTION("""COMPUTED_VALUE"""),38076)</f>
        <v>38076</v>
      </c>
      <c r="J3611" s="2">
        <f ca="1">IFERROR(__xludf.DUMMYFUNCTION("""COMPUTED_VALUE"""),38440)</f>
        <v>38440</v>
      </c>
    </row>
    <row r="3612" spans="1:10" x14ac:dyDescent="0.25">
      <c r="A3612" s="1" t="str">
        <f ca="1">IFERROR(__xludf.DUMMYFUNCTION("""COMPUTED_VALUE"""),"#N/A")</f>
        <v>#N/A</v>
      </c>
      <c r="B3612" s="1" t="str">
        <f ca="1">IFERROR(__xludf.DUMMYFUNCTION("""COMPUTED_VALUE"""),"Kiss Krisztina")</f>
        <v>Kiss Krisztina</v>
      </c>
      <c r="C3612" s="1"/>
      <c r="D3612" s="1" t="str">
        <f ca="1">IFERROR(__xludf.DUMMYFUNCTION("""COMPUTED_VALUE"""),"Nő")</f>
        <v>Nő</v>
      </c>
      <c r="E3612" s="1"/>
      <c r="F3612" s="1">
        <f ca="1">IFERROR(__xludf.DUMMYFUNCTION("""COMPUTED_VALUE"""),1989)</f>
        <v>1989</v>
      </c>
      <c r="G3612" s="1">
        <f ca="1">IFERROR(__xludf.DUMMYFUNCTION("""COMPUTED_VALUE"""),1502)</f>
        <v>1502</v>
      </c>
      <c r="H3612" s="1" t="str">
        <f ca="1">IFERROR(__xludf.DUMMYFUNCTION("""COMPUTED_VALUE"""),"MTLSZ001502A04")</f>
        <v>MTLSZ001502A04</v>
      </c>
      <c r="I3612" s="2">
        <f ca="1">IFERROR(__xludf.DUMMYFUNCTION("""COMPUTED_VALUE"""),38071)</f>
        <v>38071</v>
      </c>
      <c r="J3612" s="2">
        <f ca="1">IFERROR(__xludf.DUMMYFUNCTION("""COMPUTED_VALUE"""),38435)</f>
        <v>38435</v>
      </c>
    </row>
    <row r="3613" spans="1:10" x14ac:dyDescent="0.25">
      <c r="A3613" s="1" t="str">
        <f ca="1">IFERROR(__xludf.DUMMYFUNCTION("""COMPUTED_VALUE"""),"#N/A")</f>
        <v>#N/A</v>
      </c>
      <c r="B3613" s="1" t="str">
        <f ca="1">IFERROR(__xludf.DUMMYFUNCTION("""COMPUTED_VALUE"""),"Tölgyfa Attila")</f>
        <v>Tölgyfa Attila</v>
      </c>
      <c r="C3613" s="1"/>
      <c r="D3613" s="1" t="str">
        <f ca="1">IFERROR(__xludf.DUMMYFUNCTION("""COMPUTED_VALUE"""),"Férfi")</f>
        <v>Férfi</v>
      </c>
      <c r="E3613" s="1"/>
      <c r="F3613" s="1">
        <f ca="1">IFERROR(__xludf.DUMMYFUNCTION("""COMPUTED_VALUE"""),1991)</f>
        <v>1991</v>
      </c>
      <c r="G3613" s="1">
        <f ca="1">IFERROR(__xludf.DUMMYFUNCTION("""COMPUTED_VALUE"""),1506)</f>
        <v>1506</v>
      </c>
      <c r="H3613" s="1" t="str">
        <f ca="1">IFERROR(__xludf.DUMMYFUNCTION("""COMPUTED_VALUE"""),"MTLSZ001506A04")</f>
        <v>MTLSZ001506A04</v>
      </c>
      <c r="I3613" s="2">
        <f ca="1">IFERROR(__xludf.DUMMYFUNCTION("""COMPUTED_VALUE"""),38071)</f>
        <v>38071</v>
      </c>
      <c r="J3613" s="2">
        <f ca="1">IFERROR(__xludf.DUMMYFUNCTION("""COMPUTED_VALUE"""),38435)</f>
        <v>38435</v>
      </c>
    </row>
    <row r="3614" spans="1:10" x14ac:dyDescent="0.25">
      <c r="A3614" s="1" t="str">
        <f ca="1">IFERROR(__xludf.DUMMYFUNCTION("""COMPUTED_VALUE"""),"Ságvári DSE")</f>
        <v>Ságvári DSE</v>
      </c>
      <c r="B3614" s="1" t="str">
        <f ca="1">IFERROR(__xludf.DUMMYFUNCTION("""COMPUTED_VALUE"""),"Horváth Szabolcs")</f>
        <v>Horváth Szabolcs</v>
      </c>
      <c r="C3614" s="1"/>
      <c r="D3614" s="1" t="str">
        <f ca="1">IFERROR(__xludf.DUMMYFUNCTION("""COMPUTED_VALUE"""),"Férfi")</f>
        <v>Férfi</v>
      </c>
      <c r="E3614" s="1"/>
      <c r="F3614" s="1">
        <f ca="1">IFERROR(__xludf.DUMMYFUNCTION("""COMPUTED_VALUE"""),1985)</f>
        <v>1985</v>
      </c>
      <c r="G3614" s="1">
        <f ca="1">IFERROR(__xludf.DUMMYFUNCTION("""COMPUTED_VALUE"""),1490)</f>
        <v>1490</v>
      </c>
      <c r="H3614" s="1" t="str">
        <f ca="1">IFERROR(__xludf.DUMMYFUNCTION("""COMPUTED_VALUE"""),"MTLSZ001490A04")</f>
        <v>MTLSZ001490A04</v>
      </c>
      <c r="I3614" s="2">
        <f ca="1">IFERROR(__xludf.DUMMYFUNCTION("""COMPUTED_VALUE"""),38069)</f>
        <v>38069</v>
      </c>
      <c r="J3614" s="2">
        <f ca="1">IFERROR(__xludf.DUMMYFUNCTION("""COMPUTED_VALUE"""),38433)</f>
        <v>38433</v>
      </c>
    </row>
    <row r="3615" spans="1:10" x14ac:dyDescent="0.25">
      <c r="A3615" s="1" t="str">
        <f ca="1">IFERROR(__xludf.DUMMYFUNCTION("""COMPUTED_VALUE"""),"Ságvári DSE")</f>
        <v>Ságvári DSE</v>
      </c>
      <c r="B3615" s="1" t="str">
        <f ca="1">IFERROR(__xludf.DUMMYFUNCTION("""COMPUTED_VALUE"""),"Varga Fruzsina")</f>
        <v>Varga Fruzsina</v>
      </c>
      <c r="C3615" s="1"/>
      <c r="D3615" s="1" t="str">
        <f ca="1">IFERROR(__xludf.DUMMYFUNCTION("""COMPUTED_VALUE"""),"Nő")</f>
        <v>Nő</v>
      </c>
      <c r="E3615" s="1"/>
      <c r="F3615" s="1">
        <f ca="1">IFERROR(__xludf.DUMMYFUNCTION("""COMPUTED_VALUE"""),1986)</f>
        <v>1986</v>
      </c>
      <c r="G3615" s="1">
        <f ca="1">IFERROR(__xludf.DUMMYFUNCTION("""COMPUTED_VALUE"""),1494)</f>
        <v>1494</v>
      </c>
      <c r="H3615" s="1" t="str">
        <f ca="1">IFERROR(__xludf.DUMMYFUNCTION("""COMPUTED_VALUE"""),"MTLSZ001494A04")</f>
        <v>MTLSZ001494A04</v>
      </c>
      <c r="I3615" s="2">
        <f ca="1">IFERROR(__xludf.DUMMYFUNCTION("""COMPUTED_VALUE"""),38069)</f>
        <v>38069</v>
      </c>
      <c r="J3615" s="2">
        <f ca="1">IFERROR(__xludf.DUMMYFUNCTION("""COMPUTED_VALUE"""),38433)</f>
        <v>38433</v>
      </c>
    </row>
    <row r="3616" spans="1:10" x14ac:dyDescent="0.25">
      <c r="A3616" s="1" t="str">
        <f ca="1">IFERROR(__xludf.DUMMYFUNCTION("""COMPUTED_VALUE"""),"Diaboló SE")</f>
        <v>Diaboló SE</v>
      </c>
      <c r="B3616" s="1" t="str">
        <f ca="1">IFERROR(__xludf.DUMMYFUNCTION("""COMPUTED_VALUE"""),"Kondás Dóra")</f>
        <v>Kondás Dóra</v>
      </c>
      <c r="C3616" s="1"/>
      <c r="D3616" s="1" t="str">
        <f ca="1">IFERROR(__xludf.DUMMYFUNCTION("""COMPUTED_VALUE"""),"Nő")</f>
        <v>Nő</v>
      </c>
      <c r="E3616" s="1"/>
      <c r="F3616" s="1">
        <f ca="1">IFERROR(__xludf.DUMMYFUNCTION("""COMPUTED_VALUE"""),1989)</f>
        <v>1989</v>
      </c>
      <c r="G3616" s="1">
        <f ca="1">IFERROR(__xludf.DUMMYFUNCTION("""COMPUTED_VALUE"""),1487)</f>
        <v>1487</v>
      </c>
      <c r="H3616" s="1" t="str">
        <f ca="1">IFERROR(__xludf.DUMMYFUNCTION("""COMPUTED_VALUE"""),"MTLSZ001487A04")</f>
        <v>MTLSZ001487A04</v>
      </c>
      <c r="I3616" s="2">
        <f ca="1">IFERROR(__xludf.DUMMYFUNCTION("""COMPUTED_VALUE"""),38064)</f>
        <v>38064</v>
      </c>
      <c r="J3616" s="2">
        <f ca="1">IFERROR(__xludf.DUMMYFUNCTION("""COMPUTED_VALUE"""),38428)</f>
        <v>38428</v>
      </c>
    </row>
    <row r="3617" spans="1:10" x14ac:dyDescent="0.25">
      <c r="A3617" s="1" t="str">
        <f ca="1">IFERROR(__xludf.DUMMYFUNCTION("""COMPUTED_VALUE"""),"Diaboló SE")</f>
        <v>Diaboló SE</v>
      </c>
      <c r="B3617" s="1" t="str">
        <f ca="1">IFERROR(__xludf.DUMMYFUNCTION("""COMPUTED_VALUE"""),"Korbel Sándor")</f>
        <v>Korbel Sándor</v>
      </c>
      <c r="C3617" s="1"/>
      <c r="D3617" s="1" t="str">
        <f ca="1">IFERROR(__xludf.DUMMYFUNCTION("""COMPUTED_VALUE"""),"Férfi")</f>
        <v>Férfi</v>
      </c>
      <c r="E3617" s="1"/>
      <c r="F3617" s="1">
        <f ca="1">IFERROR(__xludf.DUMMYFUNCTION("""COMPUTED_VALUE"""),1990)</f>
        <v>1990</v>
      </c>
      <c r="G3617" s="1">
        <f ca="1">IFERROR(__xludf.DUMMYFUNCTION("""COMPUTED_VALUE"""),1336)</f>
        <v>1336</v>
      </c>
      <c r="H3617" s="1" t="str">
        <f ca="1">IFERROR(__xludf.DUMMYFUNCTION("""COMPUTED_VALUE"""),"MTLSZ001336A04")</f>
        <v>MTLSZ001336A04</v>
      </c>
      <c r="I3617" s="2">
        <f ca="1">IFERROR(__xludf.DUMMYFUNCTION("""COMPUTED_VALUE"""),38064)</f>
        <v>38064</v>
      </c>
      <c r="J3617" s="2">
        <f ca="1">IFERROR(__xludf.DUMMYFUNCTION("""COMPUTED_VALUE"""),38428)</f>
        <v>38428</v>
      </c>
    </row>
    <row r="3618" spans="1:10" x14ac:dyDescent="0.25">
      <c r="A3618" s="1" t="str">
        <f ca="1">IFERROR(__xludf.DUMMYFUNCTION("""COMPUTED_VALUE"""),"Danubius KSE")</f>
        <v>Danubius KSE</v>
      </c>
      <c r="B3618" s="1" t="str">
        <f ca="1">IFERROR(__xludf.DUMMYFUNCTION("""COMPUTED_VALUE"""),"Kovács Gábor")</f>
        <v>Kovács Gábor</v>
      </c>
      <c r="C3618" s="1"/>
      <c r="D3618" s="1" t="str">
        <f ca="1">IFERROR(__xludf.DUMMYFUNCTION("""COMPUTED_VALUE"""),"Férfi")</f>
        <v>Férfi</v>
      </c>
      <c r="E3618" s="1"/>
      <c r="F3618" s="1">
        <f ca="1">IFERROR(__xludf.DUMMYFUNCTION("""COMPUTED_VALUE"""),1986)</f>
        <v>1986</v>
      </c>
      <c r="G3618" s="1">
        <f ca="1">IFERROR(__xludf.DUMMYFUNCTION("""COMPUTED_VALUE"""),1345)</f>
        <v>1345</v>
      </c>
      <c r="H3618" s="1" t="str">
        <f ca="1">IFERROR(__xludf.DUMMYFUNCTION("""COMPUTED_VALUE"""),"MTLSZ001345A04")</f>
        <v>MTLSZ001345A04</v>
      </c>
      <c r="I3618" s="2">
        <f ca="1">IFERROR(__xludf.DUMMYFUNCTION("""COMPUTED_VALUE"""),38055)</f>
        <v>38055</v>
      </c>
      <c r="J3618" s="2">
        <f ca="1">IFERROR(__xludf.DUMMYFUNCTION("""COMPUTED_VALUE"""),38419)</f>
        <v>38419</v>
      </c>
    </row>
    <row r="3619" spans="1:10" x14ac:dyDescent="0.25">
      <c r="A3619" s="1" t="str">
        <f ca="1">IFERROR(__xludf.DUMMYFUNCTION("""COMPUTED_VALUE"""),"Danubius KSE")</f>
        <v>Danubius KSE</v>
      </c>
      <c r="B3619" s="1" t="str">
        <f ca="1">IFERROR(__xludf.DUMMYFUNCTION("""COMPUTED_VALUE"""),"Tóth Judit")</f>
        <v>Tóth Judit</v>
      </c>
      <c r="C3619" s="1"/>
      <c r="D3619" s="1" t="str">
        <f ca="1">IFERROR(__xludf.DUMMYFUNCTION("""COMPUTED_VALUE"""),"Nő")</f>
        <v>Nő</v>
      </c>
      <c r="E3619" s="1"/>
      <c r="F3619" s="1">
        <f ca="1">IFERROR(__xludf.DUMMYFUNCTION("""COMPUTED_VALUE"""),1986)</f>
        <v>1986</v>
      </c>
      <c r="G3619" s="1">
        <f ca="1">IFERROR(__xludf.DUMMYFUNCTION("""COMPUTED_VALUE"""),1348)</f>
        <v>1348</v>
      </c>
      <c r="H3619" s="1" t="str">
        <f ca="1">IFERROR(__xludf.DUMMYFUNCTION("""COMPUTED_VALUE"""),"MTLSZ001348A04")</f>
        <v>MTLSZ001348A04</v>
      </c>
      <c r="I3619" s="2">
        <f ca="1">IFERROR(__xludf.DUMMYFUNCTION("""COMPUTED_VALUE"""),38055)</f>
        <v>38055</v>
      </c>
      <c r="J3619" s="2">
        <f ca="1">IFERROR(__xludf.DUMMYFUNCTION("""COMPUTED_VALUE"""),38419)</f>
        <v>38419</v>
      </c>
    </row>
    <row r="3620" spans="1:10" x14ac:dyDescent="0.25">
      <c r="A3620" s="1" t="str">
        <f ca="1">IFERROR(__xludf.DUMMYFUNCTION("""COMPUTED_VALUE"""),"Tóparti Gimnázium Székesfehérvár")</f>
        <v>Tóparti Gimnázium Székesfehérvár</v>
      </c>
      <c r="B3620" s="1" t="str">
        <f ca="1">IFERROR(__xludf.DUMMYFUNCTION("""COMPUTED_VALUE"""),"Szirom Anna")</f>
        <v>Szirom Anna</v>
      </c>
      <c r="C3620" s="1"/>
      <c r="D3620" s="1" t="str">
        <f ca="1">IFERROR(__xludf.DUMMYFUNCTION("""COMPUTED_VALUE"""),"Nő")</f>
        <v>Nő</v>
      </c>
      <c r="E3620" s="1"/>
      <c r="F3620" s="1">
        <f ca="1">IFERROR(__xludf.DUMMYFUNCTION("""COMPUTED_VALUE"""),1986)</f>
        <v>1986</v>
      </c>
      <c r="G3620" s="1">
        <f ca="1">IFERROR(__xludf.DUMMYFUNCTION("""COMPUTED_VALUE"""),1347)</f>
        <v>1347</v>
      </c>
      <c r="H3620" s="1" t="str">
        <f ca="1">IFERROR(__xludf.DUMMYFUNCTION("""COMPUTED_VALUE"""),"MTLSZ001347A04")</f>
        <v>MTLSZ001347A04</v>
      </c>
      <c r="I3620" s="2">
        <f ca="1">IFERROR(__xludf.DUMMYFUNCTION("""COMPUTED_VALUE"""),38055)</f>
        <v>38055</v>
      </c>
      <c r="J3620" s="2">
        <f ca="1">IFERROR(__xludf.DUMMYFUNCTION("""COMPUTED_VALUE"""),38419)</f>
        <v>38419</v>
      </c>
    </row>
    <row r="3621" spans="1:10" x14ac:dyDescent="0.25">
      <c r="A3621" s="1" t="str">
        <f ca="1">IFERROR(__xludf.DUMMYFUNCTION("""COMPUTED_VALUE"""),"DSC-SI")</f>
        <v>DSC-SI</v>
      </c>
      <c r="B3621" s="1" t="str">
        <f ca="1">IFERROR(__xludf.DUMMYFUNCTION("""COMPUTED_VALUE"""),"Varga Beatrix")</f>
        <v>Varga Beatrix</v>
      </c>
      <c r="C3621" s="1"/>
      <c r="D3621" s="1" t="str">
        <f ca="1">IFERROR(__xludf.DUMMYFUNCTION("""COMPUTED_VALUE"""),"Nő")</f>
        <v>Nő</v>
      </c>
      <c r="E3621" s="1"/>
      <c r="F3621" s="1">
        <f ca="1">IFERROR(__xludf.DUMMYFUNCTION("""COMPUTED_VALUE"""),1986)</f>
        <v>1986</v>
      </c>
      <c r="G3621" s="1">
        <f ca="1">IFERROR(__xludf.DUMMYFUNCTION("""COMPUTED_VALUE"""),1087)</f>
        <v>1087</v>
      </c>
      <c r="H3621" s="1" t="str">
        <f ca="1">IFERROR(__xludf.DUMMYFUNCTION("""COMPUTED_VALUE"""),"MTLSZ001087A04")</f>
        <v>MTLSZ001087A04</v>
      </c>
      <c r="I3621" s="2">
        <f ca="1">IFERROR(__xludf.DUMMYFUNCTION("""COMPUTED_VALUE"""),38030)</f>
        <v>38030</v>
      </c>
      <c r="J3621" s="2">
        <f ca="1">IFERROR(__xludf.DUMMYFUNCTION("""COMPUTED_VALUE"""),38395)</f>
        <v>38395</v>
      </c>
    </row>
    <row r="3622" spans="1:10" x14ac:dyDescent="0.25">
      <c r="A3622" s="1" t="str">
        <f ca="1">IFERROR(__xludf.DUMMYFUNCTION("""COMPUTED_VALUE"""),"Érdi VSE")</f>
        <v>Érdi VSE</v>
      </c>
      <c r="B3622" s="1" t="str">
        <f ca="1">IFERROR(__xludf.DUMMYFUNCTION("""COMPUTED_VALUE"""),"Tárnoki Fanni")</f>
        <v>Tárnoki Fanni</v>
      </c>
      <c r="C3622" s="1"/>
      <c r="D3622" s="1" t="str">
        <f ca="1">IFERROR(__xludf.DUMMYFUNCTION("""COMPUTED_VALUE"""),"Nő")</f>
        <v>Nő</v>
      </c>
      <c r="E3622" s="1"/>
      <c r="F3622" s="1">
        <f ca="1">IFERROR(__xludf.DUMMYFUNCTION("""COMPUTED_VALUE"""),1993)</f>
        <v>1993</v>
      </c>
      <c r="G3622" s="1">
        <f ca="1">IFERROR(__xludf.DUMMYFUNCTION("""COMPUTED_VALUE"""),1483)</f>
        <v>1483</v>
      </c>
      <c r="H3622" s="1" t="str">
        <f ca="1">IFERROR(__xludf.DUMMYFUNCTION("""COMPUTED_VALUE"""),"MTLSZ001483A04")</f>
        <v>MTLSZ001483A04</v>
      </c>
      <c r="I3622" s="2">
        <f ca="1">IFERROR(__xludf.DUMMYFUNCTION("""COMPUTED_VALUE"""),38030)</f>
        <v>38030</v>
      </c>
      <c r="J3622" s="2">
        <f ca="1">IFERROR(__xludf.DUMMYFUNCTION("""COMPUTED_VALUE"""),38395)</f>
        <v>38395</v>
      </c>
    </row>
    <row r="3623" spans="1:10" x14ac:dyDescent="0.25">
      <c r="A3623" s="1" t="str">
        <f ca="1">IFERROR(__xludf.DUMMYFUNCTION("""COMPUTED_VALUE"""),"Alba-Toll SE")</f>
        <v>Alba-Toll SE</v>
      </c>
      <c r="B3623" s="1" t="str">
        <f ca="1">IFERROR(__xludf.DUMMYFUNCTION("""COMPUTED_VALUE"""),"Nagy Péter")</f>
        <v>Nagy Péter</v>
      </c>
      <c r="C3623" s="1"/>
      <c r="D3623" s="1" t="str">
        <f ca="1">IFERROR(__xludf.DUMMYFUNCTION("""COMPUTED_VALUE"""),"Férfi")</f>
        <v>Férfi</v>
      </c>
      <c r="E3623" s="1"/>
      <c r="F3623" s="1">
        <f ca="1">IFERROR(__xludf.DUMMYFUNCTION("""COMPUTED_VALUE"""),1991)</f>
        <v>1991</v>
      </c>
      <c r="G3623" s="1">
        <f ca="1">IFERROR(__xludf.DUMMYFUNCTION("""COMPUTED_VALUE"""),1479)</f>
        <v>1479</v>
      </c>
      <c r="H3623" s="1" t="str">
        <f ca="1">IFERROR(__xludf.DUMMYFUNCTION("""COMPUTED_VALUE"""),"MTLSZ001479A04")</f>
        <v>MTLSZ001479A04</v>
      </c>
      <c r="I3623" s="2">
        <f ca="1">IFERROR(__xludf.DUMMYFUNCTION("""COMPUTED_VALUE"""),38027)</f>
        <v>38027</v>
      </c>
      <c r="J3623" s="2">
        <f ca="1">IFERROR(__xludf.DUMMYFUNCTION("""COMPUTED_VALUE"""),38392)</f>
        <v>38392</v>
      </c>
    </row>
    <row r="3624" spans="1:10" x14ac:dyDescent="0.25">
      <c r="A3624" s="1" t="str">
        <f ca="1">IFERROR(__xludf.DUMMYFUNCTION("""COMPUTED_VALUE"""),"Tóparti Gimnázium Székesfehérvár")</f>
        <v>Tóparti Gimnázium Székesfehérvár</v>
      </c>
      <c r="B3624" s="1" t="str">
        <f ca="1">IFERROR(__xludf.DUMMYFUNCTION("""COMPUTED_VALUE"""),"Cseh Benjámin")</f>
        <v>Cseh Benjámin</v>
      </c>
      <c r="C3624" s="1"/>
      <c r="D3624" s="1" t="str">
        <f ca="1">IFERROR(__xludf.DUMMYFUNCTION("""COMPUTED_VALUE"""),"Férfi")</f>
        <v>Férfi</v>
      </c>
      <c r="E3624" s="1"/>
      <c r="F3624" s="1">
        <f ca="1">IFERROR(__xludf.DUMMYFUNCTION("""COMPUTED_VALUE"""),1986)</f>
        <v>1986</v>
      </c>
      <c r="G3624" s="1">
        <f ca="1">IFERROR(__xludf.DUMMYFUNCTION("""COMPUTED_VALUE"""),1480)</f>
        <v>1480</v>
      </c>
      <c r="H3624" s="1" t="str">
        <f ca="1">IFERROR(__xludf.DUMMYFUNCTION("""COMPUTED_VALUE"""),"MTLSZ001480A04")</f>
        <v>MTLSZ001480A04</v>
      </c>
      <c r="I3624" s="2">
        <f ca="1">IFERROR(__xludf.DUMMYFUNCTION("""COMPUTED_VALUE"""),38027)</f>
        <v>38027</v>
      </c>
      <c r="J3624" s="2">
        <f ca="1">IFERROR(__xludf.DUMMYFUNCTION("""COMPUTED_VALUE"""),38392)</f>
        <v>38392</v>
      </c>
    </row>
    <row r="3625" spans="1:10" x14ac:dyDescent="0.25">
      <c r="A3625" s="1" t="str">
        <f ca="1">IFERROR(__xludf.DUMMYFUNCTION("""COMPUTED_VALUE"""),"Tóparti Gimnázium Székesfehérvár")</f>
        <v>Tóparti Gimnázium Székesfehérvár</v>
      </c>
      <c r="B3625" s="1" t="str">
        <f ca="1">IFERROR(__xludf.DUMMYFUNCTION("""COMPUTED_VALUE"""),"Daróczi Áron")</f>
        <v>Daróczi Áron</v>
      </c>
      <c r="C3625" s="1"/>
      <c r="D3625" s="1" t="str">
        <f ca="1">IFERROR(__xludf.DUMMYFUNCTION("""COMPUTED_VALUE"""),"Férfi")</f>
        <v>Férfi</v>
      </c>
      <c r="E3625" s="1"/>
      <c r="F3625" s="1">
        <f ca="1">IFERROR(__xludf.DUMMYFUNCTION("""COMPUTED_VALUE"""),1987)</f>
        <v>1987</v>
      </c>
      <c r="G3625" s="1">
        <f ca="1">IFERROR(__xludf.DUMMYFUNCTION("""COMPUTED_VALUE"""),1481)</f>
        <v>1481</v>
      </c>
      <c r="H3625" s="1" t="str">
        <f ca="1">IFERROR(__xludf.DUMMYFUNCTION("""COMPUTED_VALUE"""),"MTLSZ001481A04")</f>
        <v>MTLSZ001481A04</v>
      </c>
      <c r="I3625" s="2">
        <f ca="1">IFERROR(__xludf.DUMMYFUNCTION("""COMPUTED_VALUE"""),38027)</f>
        <v>38027</v>
      </c>
      <c r="J3625" s="2">
        <f ca="1">IFERROR(__xludf.DUMMYFUNCTION("""COMPUTED_VALUE"""),38392)</f>
        <v>38392</v>
      </c>
    </row>
    <row r="3626" spans="1:10" x14ac:dyDescent="0.25">
      <c r="A3626" s="1" t="str">
        <f ca="1">IFERROR(__xludf.DUMMYFUNCTION("""COMPUTED_VALUE"""),"Tóparti Gimnázium Székesfehérvár")</f>
        <v>Tóparti Gimnázium Székesfehérvár</v>
      </c>
      <c r="B3626" s="1" t="str">
        <f ca="1">IFERROR(__xludf.DUMMYFUNCTION("""COMPUTED_VALUE"""),"Hantos Gusztáv")</f>
        <v>Hantos Gusztáv</v>
      </c>
      <c r="C3626" s="1"/>
      <c r="D3626" s="1" t="str">
        <f ca="1">IFERROR(__xludf.DUMMYFUNCTION("""COMPUTED_VALUE"""),"Férfi")</f>
        <v>Férfi</v>
      </c>
      <c r="E3626" s="1"/>
      <c r="F3626" s="1">
        <f ca="1">IFERROR(__xludf.DUMMYFUNCTION("""COMPUTED_VALUE"""),1986)</f>
        <v>1986</v>
      </c>
      <c r="G3626" s="1">
        <f ca="1">IFERROR(__xludf.DUMMYFUNCTION("""COMPUTED_VALUE"""),1482)</f>
        <v>1482</v>
      </c>
      <c r="H3626" s="1" t="str">
        <f ca="1">IFERROR(__xludf.DUMMYFUNCTION("""COMPUTED_VALUE"""),"MTLSZ001482A04")</f>
        <v>MTLSZ001482A04</v>
      </c>
      <c r="I3626" s="2">
        <f ca="1">IFERROR(__xludf.DUMMYFUNCTION("""COMPUTED_VALUE"""),38027)</f>
        <v>38027</v>
      </c>
      <c r="J3626" s="2">
        <f ca="1">IFERROR(__xludf.DUMMYFUNCTION("""COMPUTED_VALUE"""),38392)</f>
        <v>38392</v>
      </c>
    </row>
    <row r="3627" spans="1:10" x14ac:dyDescent="0.25">
      <c r="A3627" s="1" t="str">
        <f ca="1">IFERROR(__xludf.DUMMYFUNCTION("""COMPUTED_VALUE"""),"Diaboló SE")</f>
        <v>Diaboló SE</v>
      </c>
      <c r="B3627" s="1" t="str">
        <f ca="1">IFERROR(__xludf.DUMMYFUNCTION("""COMPUTED_VALUE"""),"Wágner István")</f>
        <v>Wágner István</v>
      </c>
      <c r="C3627" s="1"/>
      <c r="D3627" s="1" t="str">
        <f ca="1">IFERROR(__xludf.DUMMYFUNCTION("""COMPUTED_VALUE"""),"Férfi")</f>
        <v>Férfi</v>
      </c>
      <c r="E3627" s="1"/>
      <c r="F3627" s="1">
        <f ca="1">IFERROR(__xludf.DUMMYFUNCTION("""COMPUTED_VALUE"""),1987)</f>
        <v>1987</v>
      </c>
      <c r="G3627" s="1">
        <f ca="1">IFERROR(__xludf.DUMMYFUNCTION("""COMPUTED_VALUE"""),1477)</f>
        <v>1477</v>
      </c>
      <c r="H3627" s="1" t="str">
        <f ca="1">IFERROR(__xludf.DUMMYFUNCTION("""COMPUTED_VALUE"""),"MTLSZ001477A04")</f>
        <v>MTLSZ001477A04</v>
      </c>
      <c r="I3627" s="2">
        <f ca="1">IFERROR(__xludf.DUMMYFUNCTION("""COMPUTED_VALUE"""),38023)</f>
        <v>38023</v>
      </c>
      <c r="J3627" s="2">
        <f ca="1">IFERROR(__xludf.DUMMYFUNCTION("""COMPUTED_VALUE"""),38388)</f>
        <v>38388</v>
      </c>
    </row>
    <row r="3628" spans="1:10" x14ac:dyDescent="0.25">
      <c r="A3628" s="1" t="str">
        <f ca="1">IFERROR(__xludf.DUMMYFUNCTION("""COMPUTED_VALUE"""),"MAFC")</f>
        <v>MAFC</v>
      </c>
      <c r="B3628" s="1" t="str">
        <f ca="1">IFERROR(__xludf.DUMMYFUNCTION("""COMPUTED_VALUE"""),"Erdős Zsófia")</f>
        <v>Erdős Zsófia</v>
      </c>
      <c r="C3628" s="1"/>
      <c r="D3628" s="1" t="str">
        <f ca="1">IFERROR(__xludf.DUMMYFUNCTION("""COMPUTED_VALUE"""),"Nő")</f>
        <v>Nő</v>
      </c>
      <c r="E3628" s="1"/>
      <c r="F3628" s="1">
        <f ca="1">IFERROR(__xludf.DUMMYFUNCTION("""COMPUTED_VALUE"""),1993)</f>
        <v>1993</v>
      </c>
      <c r="G3628" s="1">
        <f ca="1">IFERROR(__xludf.DUMMYFUNCTION("""COMPUTED_VALUE"""),1449)</f>
        <v>1449</v>
      </c>
      <c r="H3628" s="1" t="str">
        <f ca="1">IFERROR(__xludf.DUMMYFUNCTION("""COMPUTED_VALUE"""),"MTLSZ001449A04")</f>
        <v>MTLSZ001449A04</v>
      </c>
      <c r="I3628" s="2">
        <f ca="1">IFERROR(__xludf.DUMMYFUNCTION("""COMPUTED_VALUE"""),38023)</f>
        <v>38023</v>
      </c>
      <c r="J3628" s="2">
        <f ca="1">IFERROR(__xludf.DUMMYFUNCTION("""COMPUTED_VALUE"""),38388)</f>
        <v>38388</v>
      </c>
    </row>
    <row r="3629" spans="1:10" x14ac:dyDescent="0.25">
      <c r="A3629" s="1" t="str">
        <f ca="1">IFERROR(__xludf.DUMMYFUNCTION("""COMPUTED_VALUE"""),"Klébi DSE")</f>
        <v>Klébi DSE</v>
      </c>
      <c r="B3629" s="1" t="str">
        <f ca="1">IFERROR(__xludf.DUMMYFUNCTION("""COMPUTED_VALUE"""),"Titkos Ádám")</f>
        <v>Titkos Ádám</v>
      </c>
      <c r="C3629" s="1"/>
      <c r="D3629" s="1" t="str">
        <f ca="1">IFERROR(__xludf.DUMMYFUNCTION("""COMPUTED_VALUE"""),"Férfi")</f>
        <v>Férfi</v>
      </c>
      <c r="E3629" s="1"/>
      <c r="F3629" s="1">
        <f ca="1">IFERROR(__xludf.DUMMYFUNCTION("""COMPUTED_VALUE"""),1988)</f>
        <v>1988</v>
      </c>
      <c r="G3629" s="1">
        <f ca="1">IFERROR(__xludf.DUMMYFUNCTION("""COMPUTED_VALUE"""),1009)</f>
        <v>1009</v>
      </c>
      <c r="H3629" s="1" t="str">
        <f ca="1">IFERROR(__xludf.DUMMYFUNCTION("""COMPUTED_VALUE"""),"MTLSZ001009A04")</f>
        <v>MTLSZ001009A04</v>
      </c>
      <c r="I3629" s="2">
        <f ca="1">IFERROR(__xludf.DUMMYFUNCTION("""COMPUTED_VALUE"""),38021)</f>
        <v>38021</v>
      </c>
      <c r="J3629" s="2">
        <f ca="1">IFERROR(__xludf.DUMMYFUNCTION("""COMPUTED_VALUE"""),38386)</f>
        <v>38386</v>
      </c>
    </row>
    <row r="3630" spans="1:10" x14ac:dyDescent="0.25">
      <c r="A3630" s="1" t="str">
        <f ca="1">IFERROR(__xludf.DUMMYFUNCTION("""COMPUTED_VALUE"""),"MAFC")</f>
        <v>MAFC</v>
      </c>
      <c r="B3630" s="1" t="str">
        <f ca="1">IFERROR(__xludf.DUMMYFUNCTION("""COMPUTED_VALUE"""),"Dobránszky Julianna")</f>
        <v>Dobránszky Julianna</v>
      </c>
      <c r="C3630" s="1"/>
      <c r="D3630" s="1" t="str">
        <f ca="1">IFERROR(__xludf.DUMMYFUNCTION("""COMPUTED_VALUE"""),"Nő")</f>
        <v>Nő</v>
      </c>
      <c r="E3630" s="1"/>
      <c r="F3630" s="1">
        <f ca="1">IFERROR(__xludf.DUMMYFUNCTION("""COMPUTED_VALUE"""),1988)</f>
        <v>1988</v>
      </c>
      <c r="G3630" s="1">
        <f ca="1">IFERROR(__xludf.DUMMYFUNCTION("""COMPUTED_VALUE"""),1250)</f>
        <v>1250</v>
      </c>
      <c r="H3630" s="1" t="str">
        <f ca="1">IFERROR(__xludf.DUMMYFUNCTION("""COMPUTED_VALUE"""),"MTLSZ001250A04")</f>
        <v>MTLSZ001250A04</v>
      </c>
      <c r="I3630" s="2">
        <f ca="1">IFERROR(__xludf.DUMMYFUNCTION("""COMPUTED_VALUE"""),38021)</f>
        <v>38021</v>
      </c>
      <c r="J3630" s="2">
        <f ca="1">IFERROR(__xludf.DUMMYFUNCTION("""COMPUTED_VALUE"""),38386)</f>
        <v>38386</v>
      </c>
    </row>
    <row r="3631" spans="1:10" x14ac:dyDescent="0.25">
      <c r="A3631" s="1" t="str">
        <f ca="1">IFERROR(__xludf.DUMMYFUNCTION("""COMPUTED_VALUE"""),"Pedagógus Fáklya SE")</f>
        <v>Pedagógus Fáklya SE</v>
      </c>
      <c r="B3631" s="1" t="str">
        <f ca="1">IFERROR(__xludf.DUMMYFUNCTION("""COMPUTED_VALUE"""),"Papp Tamara")</f>
        <v>Papp Tamara</v>
      </c>
      <c r="C3631" s="1"/>
      <c r="D3631" s="1" t="str">
        <f ca="1">IFERROR(__xludf.DUMMYFUNCTION("""COMPUTED_VALUE"""),"Nő")</f>
        <v>Nő</v>
      </c>
      <c r="E3631" s="1"/>
      <c r="F3631" s="1">
        <f ca="1">IFERROR(__xludf.DUMMYFUNCTION("""COMPUTED_VALUE"""),1991)</f>
        <v>1991</v>
      </c>
      <c r="G3631" s="1">
        <f ca="1">IFERROR(__xludf.DUMMYFUNCTION("""COMPUTED_VALUE"""),1476)</f>
        <v>1476</v>
      </c>
      <c r="H3631" s="1" t="str">
        <f ca="1">IFERROR(__xludf.DUMMYFUNCTION("""COMPUTED_VALUE"""),"MTLSZ001476A04")</f>
        <v>MTLSZ001476A04</v>
      </c>
      <c r="I3631" s="2">
        <f ca="1">IFERROR(__xludf.DUMMYFUNCTION("""COMPUTED_VALUE"""),38020)</f>
        <v>38020</v>
      </c>
      <c r="J3631" s="2">
        <f ca="1">IFERROR(__xludf.DUMMYFUNCTION("""COMPUTED_VALUE"""),38385)</f>
        <v>38385</v>
      </c>
    </row>
    <row r="3632" spans="1:10" x14ac:dyDescent="0.25">
      <c r="A3632" s="1" t="str">
        <f ca="1">IFERROR(__xludf.DUMMYFUNCTION("""COMPUTED_VALUE"""),"HZSE")</f>
        <v>HZSE</v>
      </c>
      <c r="B3632" s="1" t="str">
        <f ca="1">IFERROR(__xludf.DUMMYFUNCTION("""COMPUTED_VALUE"""),"Pap Zsófia")</f>
        <v>Pap Zsófia</v>
      </c>
      <c r="C3632" s="1"/>
      <c r="D3632" s="1" t="str">
        <f ca="1">IFERROR(__xludf.DUMMYFUNCTION("""COMPUTED_VALUE"""),"Nő")</f>
        <v>Nő</v>
      </c>
      <c r="E3632" s="1"/>
      <c r="F3632" s="1">
        <f ca="1">IFERROR(__xludf.DUMMYFUNCTION("""COMPUTED_VALUE"""),1993)</f>
        <v>1993</v>
      </c>
      <c r="G3632" s="1">
        <f ca="1">IFERROR(__xludf.DUMMYFUNCTION("""COMPUTED_VALUE"""),1474)</f>
        <v>1474</v>
      </c>
      <c r="H3632" s="1" t="str">
        <f ca="1">IFERROR(__xludf.DUMMYFUNCTION("""COMPUTED_VALUE"""),"MTLSZ001474A04")</f>
        <v>MTLSZ001474A04</v>
      </c>
      <c r="I3632" s="2">
        <f ca="1">IFERROR(__xludf.DUMMYFUNCTION("""COMPUTED_VALUE"""),38015)</f>
        <v>38015</v>
      </c>
      <c r="J3632" s="2">
        <f ca="1">IFERROR(__xludf.DUMMYFUNCTION("""COMPUTED_VALUE"""),38380)</f>
        <v>38380</v>
      </c>
    </row>
    <row r="3633" spans="1:10" x14ac:dyDescent="0.25">
      <c r="A3633" s="1" t="str">
        <f ca="1">IFERROR(__xludf.DUMMYFUNCTION("""COMPUTED_VALUE"""),"HZSE")</f>
        <v>HZSE</v>
      </c>
      <c r="B3633" s="1" t="str">
        <f ca="1">IFERROR(__xludf.DUMMYFUNCTION("""COMPUTED_VALUE"""),"Sinkó Ágnes")</f>
        <v>Sinkó Ágnes</v>
      </c>
      <c r="C3633" s="1"/>
      <c r="D3633" s="1" t="str">
        <f ca="1">IFERROR(__xludf.DUMMYFUNCTION("""COMPUTED_VALUE"""),"Nő")</f>
        <v>Nő</v>
      </c>
      <c r="E3633" s="1"/>
      <c r="F3633" s="1">
        <f ca="1">IFERROR(__xludf.DUMMYFUNCTION("""COMPUTED_VALUE"""),1980)</f>
        <v>1980</v>
      </c>
      <c r="G3633" s="1">
        <f ca="1">IFERROR(__xludf.DUMMYFUNCTION("""COMPUTED_VALUE"""),1471)</f>
        <v>1471</v>
      </c>
      <c r="H3633" s="1" t="str">
        <f ca="1">IFERROR(__xludf.DUMMYFUNCTION("""COMPUTED_VALUE"""),"MTLSZ001471A04")</f>
        <v>MTLSZ001471A04</v>
      </c>
      <c r="I3633" s="2">
        <f ca="1">IFERROR(__xludf.DUMMYFUNCTION("""COMPUTED_VALUE"""),38009)</f>
        <v>38009</v>
      </c>
      <c r="J3633" s="2">
        <f ca="1">IFERROR(__xludf.DUMMYFUNCTION("""COMPUTED_VALUE"""),38374)</f>
        <v>38374</v>
      </c>
    </row>
    <row r="3634" spans="1:10" x14ac:dyDescent="0.25">
      <c r="A3634" s="1" t="str">
        <f ca="1">IFERROR(__xludf.DUMMYFUNCTION("""COMPUTED_VALUE"""),"MAFC")</f>
        <v>MAFC</v>
      </c>
      <c r="B3634" s="1" t="str">
        <f ca="1">IFERROR(__xludf.DUMMYFUNCTION("""COMPUTED_VALUE"""),"Borostyáni Márta")</f>
        <v>Borostyáni Márta</v>
      </c>
      <c r="C3634" s="1"/>
      <c r="D3634" s="1" t="str">
        <f ca="1">IFERROR(__xludf.DUMMYFUNCTION("""COMPUTED_VALUE"""),"Nő")</f>
        <v>Nő</v>
      </c>
      <c r="E3634" s="1"/>
      <c r="F3634" s="1">
        <f ca="1">IFERROR(__xludf.DUMMYFUNCTION("""COMPUTED_VALUE"""),1989)</f>
        <v>1989</v>
      </c>
      <c r="G3634" s="1">
        <f ca="1">IFERROR(__xludf.DUMMYFUNCTION("""COMPUTED_VALUE"""),1248)</f>
        <v>1248</v>
      </c>
      <c r="H3634" s="1" t="str">
        <f ca="1">IFERROR(__xludf.DUMMYFUNCTION("""COMPUTED_VALUE"""),"MTLSZ001248A04")</f>
        <v>MTLSZ001248A04</v>
      </c>
      <c r="I3634" s="2">
        <f ca="1">IFERROR(__xludf.DUMMYFUNCTION("""COMPUTED_VALUE"""),37993)</f>
        <v>37993</v>
      </c>
      <c r="J3634" s="2">
        <f ca="1">IFERROR(__xludf.DUMMYFUNCTION("""COMPUTED_VALUE"""),38358)</f>
        <v>38358</v>
      </c>
    </row>
    <row r="3635" spans="1:10" x14ac:dyDescent="0.25">
      <c r="A3635" s="1" t="str">
        <f ca="1">IFERROR(__xludf.DUMMYFUNCTION("""COMPUTED_VALUE"""),"#N/A")</f>
        <v>#N/A</v>
      </c>
      <c r="B3635" s="1" t="str">
        <f ca="1">IFERROR(__xludf.DUMMYFUNCTION("""COMPUTED_VALUE"""),"Egerszegi Dorottya")</f>
        <v>Egerszegi Dorottya</v>
      </c>
      <c r="C3635" s="1"/>
      <c r="D3635" s="1" t="str">
        <f ca="1">IFERROR(__xludf.DUMMYFUNCTION("""COMPUTED_VALUE"""),"Nő")</f>
        <v>Nő</v>
      </c>
      <c r="E3635" s="1"/>
      <c r="F3635" s="1">
        <f ca="1">IFERROR(__xludf.DUMMYFUNCTION("""COMPUTED_VALUE"""),1982)</f>
        <v>1982</v>
      </c>
      <c r="G3635" s="1">
        <f ca="1">IFERROR(__xludf.DUMMYFUNCTION("""COMPUTED_VALUE"""),210)</f>
        <v>210</v>
      </c>
      <c r="H3635" s="1" t="str">
        <f ca="1">IFERROR(__xludf.DUMMYFUNCTION("""COMPUTED_VALUE"""),"MTLSZ000210A04")</f>
        <v>MTLSZ000210A04</v>
      </c>
      <c r="I3635" s="2">
        <f ca="1">IFERROR(__xludf.DUMMYFUNCTION("""COMPUTED_VALUE"""),37992)</f>
        <v>37992</v>
      </c>
      <c r="J3635" s="2">
        <f ca="1">IFERROR(__xludf.DUMMYFUNCTION("""COMPUTED_VALUE"""),38357)</f>
        <v>38357</v>
      </c>
    </row>
    <row r="3636" spans="1:10" x14ac:dyDescent="0.25">
      <c r="A3636" s="1" t="str">
        <f ca="1">IFERROR(__xludf.DUMMYFUNCTION("""COMPUTED_VALUE"""),"MAFC")</f>
        <v>MAFC</v>
      </c>
      <c r="B3636" s="1" t="str">
        <f ca="1">IFERROR(__xludf.DUMMYFUNCTION("""COMPUTED_VALUE"""),"Lakatos Gréta Gwendoline")</f>
        <v>Lakatos Gréta Gwendoline</v>
      </c>
      <c r="C3636" s="1"/>
      <c r="D3636" s="1" t="str">
        <f ca="1">IFERROR(__xludf.DUMMYFUNCTION("""COMPUTED_VALUE"""),"Nő")</f>
        <v>Nő</v>
      </c>
      <c r="E3636" s="1"/>
      <c r="F3636" s="1">
        <f ca="1">IFERROR(__xludf.DUMMYFUNCTION("""COMPUTED_VALUE"""),1990)</f>
        <v>1990</v>
      </c>
      <c r="G3636" s="1">
        <f ca="1">IFERROR(__xludf.DUMMYFUNCTION("""COMPUTED_VALUE"""),1236)</f>
        <v>1236</v>
      </c>
      <c r="H3636" s="1" t="str">
        <f ca="1">IFERROR(__xludf.DUMMYFUNCTION("""COMPUTED_VALUE"""),"MTLSZ001236A03")</f>
        <v>MTLSZ001236A03</v>
      </c>
      <c r="I3636" s="2">
        <f ca="1">IFERROR(__xludf.DUMMYFUNCTION("""COMPUTED_VALUE"""),37960)</f>
        <v>37960</v>
      </c>
      <c r="J3636" s="2">
        <f ca="1">IFERROR(__xludf.DUMMYFUNCTION("""COMPUTED_VALUE"""),38325)</f>
        <v>38325</v>
      </c>
    </row>
    <row r="3637" spans="1:10" x14ac:dyDescent="0.25">
      <c r="A3637" s="1" t="str">
        <f ca="1">IFERROR(__xludf.DUMMYFUNCTION("""COMPUTED_VALUE"""),"Érdi VSE")</f>
        <v>Érdi VSE</v>
      </c>
      <c r="B3637" s="1" t="str">
        <f ca="1">IFERROR(__xludf.DUMMYFUNCTION("""COMPUTED_VALUE"""),"Bugyenszky Tímea")</f>
        <v>Bugyenszky Tímea</v>
      </c>
      <c r="C3637" s="1"/>
      <c r="D3637" s="1" t="str">
        <f ca="1">IFERROR(__xludf.DUMMYFUNCTION("""COMPUTED_VALUE"""),"Nő")</f>
        <v>Nő</v>
      </c>
      <c r="E3637" s="1"/>
      <c r="F3637" s="1">
        <f ca="1">IFERROR(__xludf.DUMMYFUNCTION("""COMPUTED_VALUE"""),1993)</f>
        <v>1993</v>
      </c>
      <c r="G3637" s="1">
        <f ca="1">IFERROR(__xludf.DUMMYFUNCTION("""COMPUTED_VALUE"""),1462)</f>
        <v>1462</v>
      </c>
      <c r="H3637" s="1" t="str">
        <f ca="1">IFERROR(__xludf.DUMMYFUNCTION("""COMPUTED_VALUE"""),"MTLSZ001462A03")</f>
        <v>MTLSZ001462A03</v>
      </c>
      <c r="I3637" s="2">
        <f ca="1">IFERROR(__xludf.DUMMYFUNCTION("""COMPUTED_VALUE"""),37949)</f>
        <v>37949</v>
      </c>
      <c r="J3637" s="2">
        <f ca="1">IFERROR(__xludf.DUMMYFUNCTION("""COMPUTED_VALUE"""),38314)</f>
        <v>38314</v>
      </c>
    </row>
    <row r="3638" spans="1:10" x14ac:dyDescent="0.25">
      <c r="A3638" s="1" t="str">
        <f ca="1">IFERROR(__xludf.DUMMYFUNCTION("""COMPUTED_VALUE"""),"HZSE")</f>
        <v>HZSE</v>
      </c>
      <c r="B3638" s="1" t="str">
        <f ca="1">IFERROR(__xludf.DUMMYFUNCTION("""COMPUTED_VALUE"""),"Pilissy Dóra")</f>
        <v>Pilissy Dóra</v>
      </c>
      <c r="C3638" s="1"/>
      <c r="D3638" s="1" t="str">
        <f ca="1">IFERROR(__xludf.DUMMYFUNCTION("""COMPUTED_VALUE"""),"Nő")</f>
        <v>Nő</v>
      </c>
      <c r="E3638" s="1"/>
      <c r="F3638" s="1">
        <f ca="1">IFERROR(__xludf.DUMMYFUNCTION("""COMPUTED_VALUE"""),1985)</f>
        <v>1985</v>
      </c>
      <c r="G3638" s="1">
        <f ca="1">IFERROR(__xludf.DUMMYFUNCTION("""COMPUTED_VALUE"""),1352)</f>
        <v>1352</v>
      </c>
      <c r="H3638" s="1" t="str">
        <f ca="1">IFERROR(__xludf.DUMMYFUNCTION("""COMPUTED_VALUE"""),"MTLSZ001352A03")</f>
        <v>MTLSZ001352A03</v>
      </c>
      <c r="I3638" s="2">
        <f ca="1">IFERROR(__xludf.DUMMYFUNCTION("""COMPUTED_VALUE"""),37946)</f>
        <v>37946</v>
      </c>
      <c r="J3638" s="2">
        <f ca="1">IFERROR(__xludf.DUMMYFUNCTION("""COMPUTED_VALUE"""),38311)</f>
        <v>38311</v>
      </c>
    </row>
    <row r="3639" spans="1:10" x14ac:dyDescent="0.25">
      <c r="A3639" s="1" t="str">
        <f ca="1">IFERROR(__xludf.DUMMYFUNCTION("""COMPUTED_VALUE"""),"MAFC")</f>
        <v>MAFC</v>
      </c>
      <c r="B3639" s="1" t="str">
        <f ca="1">IFERROR(__xludf.DUMMYFUNCTION("""COMPUTED_VALUE"""),"Csernák András")</f>
        <v>Csernák András</v>
      </c>
      <c r="C3639" s="1"/>
      <c r="D3639" s="1" t="str">
        <f ca="1">IFERROR(__xludf.DUMMYFUNCTION("""COMPUTED_VALUE"""),"Férfi")</f>
        <v>Férfi</v>
      </c>
      <c r="E3639" s="1"/>
      <c r="F3639" s="1">
        <f ca="1">IFERROR(__xludf.DUMMYFUNCTION("""COMPUTED_VALUE"""),1988)</f>
        <v>1988</v>
      </c>
      <c r="G3639" s="1">
        <f ca="1">IFERROR(__xludf.DUMMYFUNCTION("""COMPUTED_VALUE"""),1377)</f>
        <v>1377</v>
      </c>
      <c r="H3639" s="1" t="str">
        <f ca="1">IFERROR(__xludf.DUMMYFUNCTION("""COMPUTED_VALUE"""),"MTLSZ001377A03")</f>
        <v>MTLSZ001377A03</v>
      </c>
      <c r="I3639" s="2">
        <f ca="1">IFERROR(__xludf.DUMMYFUNCTION("""COMPUTED_VALUE"""),37946)</f>
        <v>37946</v>
      </c>
      <c r="J3639" s="2">
        <f ca="1">IFERROR(__xludf.DUMMYFUNCTION("""COMPUTED_VALUE"""),38311)</f>
        <v>38311</v>
      </c>
    </row>
    <row r="3640" spans="1:10" x14ac:dyDescent="0.25">
      <c r="A3640" s="1" t="str">
        <f ca="1">IFERROR(__xludf.DUMMYFUNCTION("""COMPUTED_VALUE"""),"MAFC")</f>
        <v>MAFC</v>
      </c>
      <c r="B3640" s="1" t="str">
        <f ca="1">IFERROR(__xludf.DUMMYFUNCTION("""COMPUTED_VALUE"""),"Tóth Judit Nóra")</f>
        <v>Tóth Judit Nóra</v>
      </c>
      <c r="C3640" s="1"/>
      <c r="D3640" s="1" t="str">
        <f ca="1">IFERROR(__xludf.DUMMYFUNCTION("""COMPUTED_VALUE"""),"Nő")</f>
        <v>Nő</v>
      </c>
      <c r="E3640" s="1"/>
      <c r="F3640" s="1">
        <f ca="1">IFERROR(__xludf.DUMMYFUNCTION("""COMPUTED_VALUE"""),1982)</f>
        <v>1982</v>
      </c>
      <c r="G3640" s="1">
        <f ca="1">IFERROR(__xludf.DUMMYFUNCTION("""COMPUTED_VALUE"""),1036)</f>
        <v>1036</v>
      </c>
      <c r="H3640" s="1" t="str">
        <f ca="1">IFERROR(__xludf.DUMMYFUNCTION("""COMPUTED_VALUE"""),"MTLSZ001036A03")</f>
        <v>MTLSZ001036A03</v>
      </c>
      <c r="I3640" s="2">
        <f ca="1">IFERROR(__xludf.DUMMYFUNCTION("""COMPUTED_VALUE"""),37946)</f>
        <v>37946</v>
      </c>
      <c r="J3640" s="2">
        <f ca="1">IFERROR(__xludf.DUMMYFUNCTION("""COMPUTED_VALUE"""),38311)</f>
        <v>38311</v>
      </c>
    </row>
    <row r="3641" spans="1:10" x14ac:dyDescent="0.25">
      <c r="A3641" s="1" t="str">
        <f ca="1">IFERROR(__xludf.DUMMYFUNCTION("""COMPUTED_VALUE"""),"Érdi VSE")</f>
        <v>Érdi VSE</v>
      </c>
      <c r="B3641" s="1" t="str">
        <f ca="1">IFERROR(__xludf.DUMMYFUNCTION("""COMPUTED_VALUE"""),"Virlics Bettina")</f>
        <v>Virlics Bettina</v>
      </c>
      <c r="C3641" s="1"/>
      <c r="D3641" s="1" t="str">
        <f ca="1">IFERROR(__xludf.DUMMYFUNCTION("""COMPUTED_VALUE"""),"Nő")</f>
        <v>Nő</v>
      </c>
      <c r="E3641" s="1"/>
      <c r="F3641" s="1">
        <f ca="1">IFERROR(__xludf.DUMMYFUNCTION("""COMPUTED_VALUE"""),1992)</f>
        <v>1992</v>
      </c>
      <c r="G3641" s="1">
        <f ca="1">IFERROR(__xludf.DUMMYFUNCTION("""COMPUTED_VALUE"""),1453)</f>
        <v>1453</v>
      </c>
      <c r="H3641" s="1" t="str">
        <f ca="1">IFERROR(__xludf.DUMMYFUNCTION("""COMPUTED_VALUE"""),"MTLSZ001453A03")</f>
        <v>MTLSZ001453A03</v>
      </c>
      <c r="I3641" s="2">
        <f ca="1">IFERROR(__xludf.DUMMYFUNCTION("""COMPUTED_VALUE"""),37939)</f>
        <v>37939</v>
      </c>
      <c r="J3641" s="2">
        <f ca="1">IFERROR(__xludf.DUMMYFUNCTION("""COMPUTED_VALUE"""),38304)</f>
        <v>38304</v>
      </c>
    </row>
    <row r="3642" spans="1:10" x14ac:dyDescent="0.25">
      <c r="A3642" s="1" t="str">
        <f ca="1">IFERROR(__xludf.DUMMYFUNCTION("""COMPUTED_VALUE"""),"ZKSE")</f>
        <v>ZKSE</v>
      </c>
      <c r="B3642" s="1" t="str">
        <f ca="1">IFERROR(__xludf.DUMMYFUNCTION("""COMPUTED_VALUE"""),"Szőllősiné Farkas Katalin")</f>
        <v>Szőllősiné Farkas Katalin</v>
      </c>
      <c r="C3642" s="1"/>
      <c r="D3642" s="1" t="str">
        <f ca="1">IFERROR(__xludf.DUMMYFUNCTION("""COMPUTED_VALUE"""),"Nő")</f>
        <v>Nő</v>
      </c>
      <c r="E3642" s="1"/>
      <c r="F3642" s="1">
        <f ca="1">IFERROR(__xludf.DUMMYFUNCTION("""COMPUTED_VALUE"""),1961)</f>
        <v>1961</v>
      </c>
      <c r="G3642" s="1">
        <f ca="1">IFERROR(__xludf.DUMMYFUNCTION("""COMPUTED_VALUE"""),1303)</f>
        <v>1303</v>
      </c>
      <c r="H3642" s="1" t="str">
        <f ca="1">IFERROR(__xludf.DUMMYFUNCTION("""COMPUTED_VALUE"""),"MTLSZ001303A03")</f>
        <v>MTLSZ001303A03</v>
      </c>
      <c r="I3642" s="2">
        <f ca="1">IFERROR(__xludf.DUMMYFUNCTION("""COMPUTED_VALUE"""),37939)</f>
        <v>37939</v>
      </c>
      <c r="J3642" s="2">
        <f ca="1">IFERROR(__xludf.DUMMYFUNCTION("""COMPUTED_VALUE"""),38304)</f>
        <v>38304</v>
      </c>
    </row>
    <row r="3643" spans="1:10" x14ac:dyDescent="0.25">
      <c r="A3643" s="1" t="str">
        <f ca="1">IFERROR(__xludf.DUMMYFUNCTION("""COMPUTED_VALUE"""),"MAFC")</f>
        <v>MAFC</v>
      </c>
      <c r="B3643" s="1" t="str">
        <f ca="1">IFERROR(__xludf.DUMMYFUNCTION("""COMPUTED_VALUE"""),"Borbás Tünde")</f>
        <v>Borbás Tünde</v>
      </c>
      <c r="C3643" s="1"/>
      <c r="D3643" s="1" t="str">
        <f ca="1">IFERROR(__xludf.DUMMYFUNCTION("""COMPUTED_VALUE"""),"Nő")</f>
        <v>Nő</v>
      </c>
      <c r="E3643" s="1"/>
      <c r="F3643" s="1">
        <f ca="1">IFERROR(__xludf.DUMMYFUNCTION("""COMPUTED_VALUE"""),1989)</f>
        <v>1989</v>
      </c>
      <c r="G3643" s="1">
        <f ca="1">IFERROR(__xludf.DUMMYFUNCTION("""COMPUTED_VALUE"""),1247)</f>
        <v>1247</v>
      </c>
      <c r="H3643" s="1" t="str">
        <f ca="1">IFERROR(__xludf.DUMMYFUNCTION("""COMPUTED_VALUE"""),"MTLSZ001247A03")</f>
        <v>MTLSZ001247A03</v>
      </c>
      <c r="I3643" s="2">
        <f ca="1">IFERROR(__xludf.DUMMYFUNCTION("""COMPUTED_VALUE"""),37938)</f>
        <v>37938</v>
      </c>
      <c r="J3643" s="2">
        <f ca="1">IFERROR(__xludf.DUMMYFUNCTION("""COMPUTED_VALUE"""),38303)</f>
        <v>38303</v>
      </c>
    </row>
    <row r="3644" spans="1:10" x14ac:dyDescent="0.25">
      <c r="A3644" s="1" t="str">
        <f ca="1">IFERROR(__xludf.DUMMYFUNCTION("""COMPUTED_VALUE"""),"MAFC")</f>
        <v>MAFC</v>
      </c>
      <c r="B3644" s="1" t="str">
        <f ca="1">IFERROR(__xludf.DUMMYFUNCTION("""COMPUTED_VALUE"""),"Krainik Fatima")</f>
        <v>Krainik Fatima</v>
      </c>
      <c r="C3644" s="1"/>
      <c r="D3644" s="1" t="str">
        <f ca="1">IFERROR(__xludf.DUMMYFUNCTION("""COMPUTED_VALUE"""),"Nő")</f>
        <v>Nő</v>
      </c>
      <c r="E3644" s="1"/>
      <c r="F3644" s="1">
        <f ca="1">IFERROR(__xludf.DUMMYFUNCTION("""COMPUTED_VALUE"""),1987)</f>
        <v>1987</v>
      </c>
      <c r="G3644" s="1">
        <f ca="1">IFERROR(__xludf.DUMMYFUNCTION("""COMPUTED_VALUE"""),1451)</f>
        <v>1451</v>
      </c>
      <c r="H3644" s="1" t="str">
        <f ca="1">IFERROR(__xludf.DUMMYFUNCTION("""COMPUTED_VALUE"""),"MTLSZ001451A03")</f>
        <v>MTLSZ001451A03</v>
      </c>
      <c r="I3644" s="2">
        <f ca="1">IFERROR(__xludf.DUMMYFUNCTION("""COMPUTED_VALUE"""),37938)</f>
        <v>37938</v>
      </c>
      <c r="J3644" s="2">
        <f ca="1">IFERROR(__xludf.DUMMYFUNCTION("""COMPUTED_VALUE"""),38303)</f>
        <v>38303</v>
      </c>
    </row>
    <row r="3645" spans="1:10" x14ac:dyDescent="0.25">
      <c r="A3645" s="1" t="str">
        <f ca="1">IFERROR(__xludf.DUMMYFUNCTION("""COMPUTED_VALUE"""),"MAFC")</f>
        <v>MAFC</v>
      </c>
      <c r="B3645" s="1" t="str">
        <f ca="1">IFERROR(__xludf.DUMMYFUNCTION("""COMPUTED_VALUE"""),"Nagy Dénes")</f>
        <v>Nagy Dénes</v>
      </c>
      <c r="C3645" s="1"/>
      <c r="D3645" s="1" t="str">
        <f ca="1">IFERROR(__xludf.DUMMYFUNCTION("""COMPUTED_VALUE"""),"Férfi")</f>
        <v>Férfi</v>
      </c>
      <c r="E3645" s="1"/>
      <c r="F3645" s="1">
        <f ca="1">IFERROR(__xludf.DUMMYFUNCTION("""COMPUTED_VALUE"""),1989)</f>
        <v>1989</v>
      </c>
      <c r="G3645" s="1">
        <f ca="1">IFERROR(__xludf.DUMMYFUNCTION("""COMPUTED_VALUE"""),1281)</f>
        <v>1281</v>
      </c>
      <c r="H3645" s="1" t="str">
        <f ca="1">IFERROR(__xludf.DUMMYFUNCTION("""COMPUTED_VALUE"""),"MTLSZ001281A03")</f>
        <v>MTLSZ001281A03</v>
      </c>
      <c r="I3645" s="2">
        <f ca="1">IFERROR(__xludf.DUMMYFUNCTION("""COMPUTED_VALUE"""),37938)</f>
        <v>37938</v>
      </c>
      <c r="J3645" s="2">
        <f ca="1">IFERROR(__xludf.DUMMYFUNCTION("""COMPUTED_VALUE"""),38303)</f>
        <v>38303</v>
      </c>
    </row>
    <row r="3646" spans="1:10" x14ac:dyDescent="0.25">
      <c r="A3646" s="1" t="str">
        <f ca="1">IFERROR(__xludf.DUMMYFUNCTION("""COMPUTED_VALUE"""),"DSC-SI")</f>
        <v>DSC-SI</v>
      </c>
      <c r="B3646" s="1" t="str">
        <f ca="1">IFERROR(__xludf.DUMMYFUNCTION("""COMPUTED_VALUE"""),"Tóth Katinka")</f>
        <v>Tóth Katinka</v>
      </c>
      <c r="C3646" s="1"/>
      <c r="D3646" s="1" t="str">
        <f ca="1">IFERROR(__xludf.DUMMYFUNCTION("""COMPUTED_VALUE"""),"Nő")</f>
        <v>Nő</v>
      </c>
      <c r="E3646" s="1"/>
      <c r="F3646" s="1">
        <f ca="1">IFERROR(__xludf.DUMMYFUNCTION("""COMPUTED_VALUE"""),1995)</f>
        <v>1995</v>
      </c>
      <c r="G3646" s="1">
        <f ca="1">IFERROR(__xludf.DUMMYFUNCTION("""COMPUTED_VALUE"""),1446)</f>
        <v>1446</v>
      </c>
      <c r="H3646" s="1" t="str">
        <f ca="1">IFERROR(__xludf.DUMMYFUNCTION("""COMPUTED_VALUE"""),"MTLSZ001446A03")</f>
        <v>MTLSZ001446A03</v>
      </c>
      <c r="I3646" s="2">
        <f ca="1">IFERROR(__xludf.DUMMYFUNCTION("""COMPUTED_VALUE"""),37935)</f>
        <v>37935</v>
      </c>
      <c r="J3646" s="2">
        <f ca="1">IFERROR(__xludf.DUMMYFUNCTION("""COMPUTED_VALUE"""),38300)</f>
        <v>38300</v>
      </c>
    </row>
    <row r="3647" spans="1:10" x14ac:dyDescent="0.25">
      <c r="A3647" s="1" t="str">
        <f ca="1">IFERROR(__xludf.DUMMYFUNCTION("""COMPUTED_VALUE"""),"MAFC")</f>
        <v>MAFC</v>
      </c>
      <c r="B3647" s="1" t="str">
        <f ca="1">IFERROR(__xludf.DUMMYFUNCTION("""COMPUTED_VALUE"""),"Dragonya Dóra")</f>
        <v>Dragonya Dóra</v>
      </c>
      <c r="C3647" s="1"/>
      <c r="D3647" s="1" t="str">
        <f ca="1">IFERROR(__xludf.DUMMYFUNCTION("""COMPUTED_VALUE"""),"Nő")</f>
        <v>Nő</v>
      </c>
      <c r="E3647" s="1"/>
      <c r="F3647" s="1">
        <f ca="1">IFERROR(__xludf.DUMMYFUNCTION("""COMPUTED_VALUE"""),1980)</f>
        <v>1980</v>
      </c>
      <c r="G3647" s="1">
        <f ca="1">IFERROR(__xludf.DUMMYFUNCTION("""COMPUTED_VALUE"""),1447)</f>
        <v>1447</v>
      </c>
      <c r="H3647" s="1" t="str">
        <f ca="1">IFERROR(__xludf.DUMMYFUNCTION("""COMPUTED_VALUE"""),"MTLSZ001447A03")</f>
        <v>MTLSZ001447A03</v>
      </c>
      <c r="I3647" s="2">
        <f ca="1">IFERROR(__xludf.DUMMYFUNCTION("""COMPUTED_VALUE"""),37935)</f>
        <v>37935</v>
      </c>
      <c r="J3647" s="2">
        <f ca="1">IFERROR(__xludf.DUMMYFUNCTION("""COMPUTED_VALUE"""),38300)</f>
        <v>38300</v>
      </c>
    </row>
    <row r="3648" spans="1:10" x14ac:dyDescent="0.25">
      <c r="A3648" s="1" t="str">
        <f ca="1">IFERROR(__xludf.DUMMYFUNCTION("""COMPUTED_VALUE"""),"MAFC")</f>
        <v>MAFC</v>
      </c>
      <c r="B3648" s="1" t="str">
        <f ca="1">IFERROR(__xludf.DUMMYFUNCTION("""COMPUTED_VALUE"""),"Kókai Lili")</f>
        <v>Kókai Lili</v>
      </c>
      <c r="C3648" s="1"/>
      <c r="D3648" s="1" t="str">
        <f ca="1">IFERROR(__xludf.DUMMYFUNCTION("""COMPUTED_VALUE"""),"Nő")</f>
        <v>Nő</v>
      </c>
      <c r="E3648" s="1"/>
      <c r="F3648" s="1">
        <f ca="1">IFERROR(__xludf.DUMMYFUNCTION("""COMPUTED_VALUE"""),1993)</f>
        <v>1993</v>
      </c>
      <c r="G3648" s="1">
        <f ca="1">IFERROR(__xludf.DUMMYFUNCTION("""COMPUTED_VALUE"""),1448)</f>
        <v>1448</v>
      </c>
      <c r="H3648" s="1" t="str">
        <f ca="1">IFERROR(__xludf.DUMMYFUNCTION("""COMPUTED_VALUE"""),"MTLSZ001448A03")</f>
        <v>MTLSZ001448A03</v>
      </c>
      <c r="I3648" s="2">
        <f ca="1">IFERROR(__xludf.DUMMYFUNCTION("""COMPUTED_VALUE"""),37935)</f>
        <v>37935</v>
      </c>
      <c r="J3648" s="2">
        <f ca="1">IFERROR(__xludf.DUMMYFUNCTION("""COMPUTED_VALUE"""),38300)</f>
        <v>38300</v>
      </c>
    </row>
    <row r="3649" spans="1:10" x14ac:dyDescent="0.25">
      <c r="A3649" s="1" t="str">
        <f ca="1">IFERROR(__xludf.DUMMYFUNCTION("""COMPUTED_VALUE"""),"BTBK")</f>
        <v>BTBK</v>
      </c>
      <c r="B3649" s="1" t="str">
        <f ca="1">IFERROR(__xludf.DUMMYFUNCTION("""COMPUTED_VALUE"""),"Kosiba Gergely")</f>
        <v>Kosiba Gergely</v>
      </c>
      <c r="C3649" s="1"/>
      <c r="D3649" s="1" t="str">
        <f ca="1">IFERROR(__xludf.DUMMYFUNCTION("""COMPUTED_VALUE"""),"Férfi")</f>
        <v>Férfi</v>
      </c>
      <c r="E3649" s="1"/>
      <c r="F3649" s="1">
        <f ca="1">IFERROR(__xludf.DUMMYFUNCTION("""COMPUTED_VALUE"""),1990)</f>
        <v>1990</v>
      </c>
      <c r="G3649" s="1">
        <f ca="1">IFERROR(__xludf.DUMMYFUNCTION("""COMPUTED_VALUE"""),525)</f>
        <v>525</v>
      </c>
      <c r="H3649" s="1" t="str">
        <f ca="1">IFERROR(__xludf.DUMMYFUNCTION("""COMPUTED_VALUE"""),"MTLSZ000525A03")</f>
        <v>MTLSZ000525A03</v>
      </c>
      <c r="I3649" s="2">
        <f ca="1">IFERROR(__xludf.DUMMYFUNCTION("""COMPUTED_VALUE"""),37931)</f>
        <v>37931</v>
      </c>
      <c r="J3649" s="2">
        <f ca="1">IFERROR(__xludf.DUMMYFUNCTION("""COMPUTED_VALUE"""),38296)</f>
        <v>38296</v>
      </c>
    </row>
    <row r="3650" spans="1:10" x14ac:dyDescent="0.25">
      <c r="A3650" s="1" t="str">
        <f ca="1">IFERROR(__xludf.DUMMYFUNCTION("""COMPUTED_VALUE"""),"Pedagógus Fáklya SE")</f>
        <v>Pedagógus Fáklya SE</v>
      </c>
      <c r="B3650" s="1" t="str">
        <f ca="1">IFERROR(__xludf.DUMMYFUNCTION("""COMPUTED_VALUE"""),"Kocsis Andrea")</f>
        <v>Kocsis Andrea</v>
      </c>
      <c r="C3650" s="1"/>
      <c r="D3650" s="1" t="str">
        <f ca="1">IFERROR(__xludf.DUMMYFUNCTION("""COMPUTED_VALUE"""),"Nő")</f>
        <v>Nő</v>
      </c>
      <c r="E3650" s="1"/>
      <c r="F3650" s="1">
        <f ca="1">IFERROR(__xludf.DUMMYFUNCTION("""COMPUTED_VALUE"""),1982)</f>
        <v>1982</v>
      </c>
      <c r="G3650" s="1">
        <f ca="1">IFERROR(__xludf.DUMMYFUNCTION("""COMPUTED_VALUE"""),1243)</f>
        <v>1243</v>
      </c>
      <c r="H3650" s="1" t="str">
        <f ca="1">IFERROR(__xludf.DUMMYFUNCTION("""COMPUTED_VALUE"""),"MTLSZ001243A03")</f>
        <v>MTLSZ001243A03</v>
      </c>
      <c r="I3650" s="2">
        <f ca="1">IFERROR(__xludf.DUMMYFUNCTION("""COMPUTED_VALUE"""),37929)</f>
        <v>37929</v>
      </c>
      <c r="J3650" s="2">
        <f ca="1">IFERROR(__xludf.DUMMYFUNCTION("""COMPUTED_VALUE"""),38294)</f>
        <v>38294</v>
      </c>
    </row>
    <row r="3651" spans="1:10" x14ac:dyDescent="0.25">
      <c r="A3651" s="1" t="str">
        <f ca="1">IFERROR(__xludf.DUMMYFUNCTION("""COMPUTED_VALUE"""),"Pedagógus Fáklya SE")</f>
        <v>Pedagógus Fáklya SE</v>
      </c>
      <c r="B3651" s="1" t="str">
        <f ca="1">IFERROR(__xludf.DUMMYFUNCTION("""COMPUTED_VALUE"""),"Posteuca Florin-Eugen")</f>
        <v>Posteuca Florin-Eugen</v>
      </c>
      <c r="C3651" s="1"/>
      <c r="D3651" s="1" t="str">
        <f ca="1">IFERROR(__xludf.DUMMYFUNCTION("""COMPUTED_VALUE"""),"Férfi")</f>
        <v>Férfi</v>
      </c>
      <c r="E3651" s="1"/>
      <c r="F3651" s="1">
        <f ca="1">IFERROR(__xludf.DUMMYFUNCTION("""COMPUTED_VALUE"""),1976)</f>
        <v>1976</v>
      </c>
      <c r="G3651" s="1">
        <f ca="1">IFERROR(__xludf.DUMMYFUNCTION("""COMPUTED_VALUE"""),783)</f>
        <v>783</v>
      </c>
      <c r="H3651" s="1" t="str">
        <f ca="1">IFERROR(__xludf.DUMMYFUNCTION("""COMPUTED_VALUE"""),"MTLSZ000783A03")</f>
        <v>MTLSZ000783A03</v>
      </c>
      <c r="I3651" s="2">
        <f ca="1">IFERROR(__xludf.DUMMYFUNCTION("""COMPUTED_VALUE"""),37929)</f>
        <v>37929</v>
      </c>
      <c r="J3651" s="2">
        <f ca="1">IFERROR(__xludf.DUMMYFUNCTION("""COMPUTED_VALUE"""),38294)</f>
        <v>38294</v>
      </c>
    </row>
    <row r="3652" spans="1:10" x14ac:dyDescent="0.25">
      <c r="A3652" s="1" t="str">
        <f ca="1">IFERROR(__xludf.DUMMYFUNCTION("""COMPUTED_VALUE"""),"Universitas SC")</f>
        <v>Universitas SC</v>
      </c>
      <c r="B3652" s="1" t="str">
        <f ca="1">IFERROR(__xludf.DUMMYFUNCTION("""COMPUTED_VALUE"""),"Szenzenstein Judit")</f>
        <v>Szenzenstein Judit</v>
      </c>
      <c r="C3652" s="1"/>
      <c r="D3652" s="1" t="str">
        <f ca="1">IFERROR(__xludf.DUMMYFUNCTION("""COMPUTED_VALUE"""),"Nő")</f>
        <v>Nő</v>
      </c>
      <c r="E3652" s="1"/>
      <c r="F3652" s="1">
        <f ca="1">IFERROR(__xludf.DUMMYFUNCTION("""COMPUTED_VALUE"""),1985)</f>
        <v>1985</v>
      </c>
      <c r="G3652" s="1">
        <f ca="1">IFERROR(__xludf.DUMMYFUNCTION("""COMPUTED_VALUE"""),941)</f>
        <v>941</v>
      </c>
      <c r="H3652" s="1" t="str">
        <f ca="1">IFERROR(__xludf.DUMMYFUNCTION("""COMPUTED_VALUE"""),"MTLSZ000941A03")</f>
        <v>MTLSZ000941A03</v>
      </c>
      <c r="I3652" s="2">
        <f ca="1">IFERROR(__xludf.DUMMYFUNCTION("""COMPUTED_VALUE"""),37929)</f>
        <v>37929</v>
      </c>
      <c r="J3652" s="2">
        <f ca="1">IFERROR(__xludf.DUMMYFUNCTION("""COMPUTED_VALUE"""),38294)</f>
        <v>38294</v>
      </c>
    </row>
    <row r="3653" spans="1:10" x14ac:dyDescent="0.25">
      <c r="A3653" s="1" t="str">
        <f ca="1">IFERROR(__xludf.DUMMYFUNCTION("""COMPUTED_VALUE"""),"MAFC")</f>
        <v>MAFC</v>
      </c>
      <c r="B3653" s="1" t="str">
        <f ca="1">IFERROR(__xludf.DUMMYFUNCTION("""COMPUTED_VALUE"""),"Jánosi Ágoston")</f>
        <v>Jánosi Ágoston</v>
      </c>
      <c r="C3653" s="1"/>
      <c r="D3653" s="1" t="str">
        <f ca="1">IFERROR(__xludf.DUMMYFUNCTION("""COMPUTED_VALUE"""),"Férfi")</f>
        <v>Férfi</v>
      </c>
      <c r="E3653" s="1"/>
      <c r="F3653" s="1">
        <f ca="1">IFERROR(__xludf.DUMMYFUNCTION("""COMPUTED_VALUE"""),1994)</f>
        <v>1994</v>
      </c>
      <c r="G3653" s="1">
        <f ca="1">IFERROR(__xludf.DUMMYFUNCTION("""COMPUTED_VALUE"""),1434)</f>
        <v>1434</v>
      </c>
      <c r="H3653" s="1" t="str">
        <f ca="1">IFERROR(__xludf.DUMMYFUNCTION("""COMPUTED_VALUE"""),"MTLSZ001434A03")</f>
        <v>MTLSZ001434A03</v>
      </c>
      <c r="I3653" s="2">
        <f ca="1">IFERROR(__xludf.DUMMYFUNCTION("""COMPUTED_VALUE"""),37918)</f>
        <v>37918</v>
      </c>
      <c r="J3653" s="2">
        <f ca="1">IFERROR(__xludf.DUMMYFUNCTION("""COMPUTED_VALUE"""),38283)</f>
        <v>38283</v>
      </c>
    </row>
    <row r="3654" spans="1:10" x14ac:dyDescent="0.25">
      <c r="A3654" s="1" t="str">
        <f ca="1">IFERROR(__xludf.DUMMYFUNCTION("""COMPUTED_VALUE"""),"MAFC")</f>
        <v>MAFC</v>
      </c>
      <c r="B3654" s="1" t="str">
        <f ca="1">IFERROR(__xludf.DUMMYFUNCTION("""COMPUTED_VALUE"""),"Jánosi Ákos")</f>
        <v>Jánosi Ákos</v>
      </c>
      <c r="C3654" s="1"/>
      <c r="D3654" s="1" t="str">
        <f ca="1">IFERROR(__xludf.DUMMYFUNCTION("""COMPUTED_VALUE"""),"Férfi")</f>
        <v>Férfi</v>
      </c>
      <c r="E3654" s="1"/>
      <c r="F3654" s="1">
        <f ca="1">IFERROR(__xludf.DUMMYFUNCTION("""COMPUTED_VALUE"""),1992)</f>
        <v>1992</v>
      </c>
      <c r="G3654" s="1">
        <f ca="1">IFERROR(__xludf.DUMMYFUNCTION("""COMPUTED_VALUE"""),1435)</f>
        <v>1435</v>
      </c>
      <c r="H3654" s="1" t="str">
        <f ca="1">IFERROR(__xludf.DUMMYFUNCTION("""COMPUTED_VALUE"""),"MTLSZ001435A03")</f>
        <v>MTLSZ001435A03</v>
      </c>
      <c r="I3654" s="2">
        <f ca="1">IFERROR(__xludf.DUMMYFUNCTION("""COMPUTED_VALUE"""),37918)</f>
        <v>37918</v>
      </c>
      <c r="J3654" s="2">
        <f ca="1">IFERROR(__xludf.DUMMYFUNCTION("""COMPUTED_VALUE"""),38283)</f>
        <v>38283</v>
      </c>
    </row>
    <row r="3655" spans="1:10" x14ac:dyDescent="0.25">
      <c r="A3655" s="1" t="str">
        <f ca="1">IFERROR(__xludf.DUMMYFUNCTION("""COMPUTED_VALUE"""),"MAFC")</f>
        <v>MAFC</v>
      </c>
      <c r="B3655" s="1" t="str">
        <f ca="1">IFERROR(__xludf.DUMMYFUNCTION("""COMPUTED_VALUE"""),"Szántai Szilvia")</f>
        <v>Szántai Szilvia</v>
      </c>
      <c r="C3655" s="1"/>
      <c r="D3655" s="1" t="str">
        <f ca="1">IFERROR(__xludf.DUMMYFUNCTION("""COMPUTED_VALUE"""),"Nő")</f>
        <v>Nő</v>
      </c>
      <c r="E3655" s="1"/>
      <c r="F3655" s="1">
        <f ca="1">IFERROR(__xludf.DUMMYFUNCTION("""COMPUTED_VALUE"""),1986)</f>
        <v>1986</v>
      </c>
      <c r="G3655" s="1">
        <f ca="1">IFERROR(__xludf.DUMMYFUNCTION("""COMPUTED_VALUE"""),1436)</f>
        <v>1436</v>
      </c>
      <c r="H3655" s="1" t="str">
        <f ca="1">IFERROR(__xludf.DUMMYFUNCTION("""COMPUTED_VALUE"""),"MTLSZ001436A03")</f>
        <v>MTLSZ001436A03</v>
      </c>
      <c r="I3655" s="2">
        <f ca="1">IFERROR(__xludf.DUMMYFUNCTION("""COMPUTED_VALUE"""),37918)</f>
        <v>37918</v>
      </c>
      <c r="J3655" s="2">
        <f ca="1">IFERROR(__xludf.DUMMYFUNCTION("""COMPUTED_VALUE"""),38283)</f>
        <v>38283</v>
      </c>
    </row>
    <row r="3656" spans="1:10" x14ac:dyDescent="0.25">
      <c r="A3656" s="1" t="str">
        <f ca="1">IFERROR(__xludf.DUMMYFUNCTION("""COMPUTED_VALUE"""),"Diaboló SE")</f>
        <v>Diaboló SE</v>
      </c>
      <c r="B3656" s="1" t="str">
        <f ca="1">IFERROR(__xludf.DUMMYFUNCTION("""COMPUTED_VALUE"""),"Horváth Zoltán")</f>
        <v>Horváth Zoltán</v>
      </c>
      <c r="C3656" s="1"/>
      <c r="D3656" s="1" t="str">
        <f ca="1">IFERROR(__xludf.DUMMYFUNCTION("""COMPUTED_VALUE"""),"Férfi")</f>
        <v>Férfi</v>
      </c>
      <c r="E3656" s="1"/>
      <c r="F3656" s="1">
        <f ca="1">IFERROR(__xludf.DUMMYFUNCTION("""COMPUTED_VALUE"""),1974)</f>
        <v>1974</v>
      </c>
      <c r="G3656" s="1">
        <f ca="1">IFERROR(__xludf.DUMMYFUNCTION("""COMPUTED_VALUE"""),1432)</f>
        <v>1432</v>
      </c>
      <c r="H3656" s="1" t="str">
        <f ca="1">IFERROR(__xludf.DUMMYFUNCTION("""COMPUTED_VALUE"""),"MTLSZ001432A03")</f>
        <v>MTLSZ001432A03</v>
      </c>
      <c r="I3656" s="2">
        <f ca="1">IFERROR(__xludf.DUMMYFUNCTION("""COMPUTED_VALUE"""),37915)</f>
        <v>37915</v>
      </c>
      <c r="J3656" s="2">
        <f ca="1">IFERROR(__xludf.DUMMYFUNCTION("""COMPUTED_VALUE"""),38280)</f>
        <v>38280</v>
      </c>
    </row>
    <row r="3657" spans="1:10" x14ac:dyDescent="0.25">
      <c r="A3657" s="1" t="str">
        <f ca="1">IFERROR(__xludf.DUMMYFUNCTION("""COMPUTED_VALUE"""),"MAFC")</f>
        <v>MAFC</v>
      </c>
      <c r="B3657" s="1" t="str">
        <f ca="1">IFERROR(__xludf.DUMMYFUNCTION("""COMPUTED_VALUE"""),"Györkös Dorottya")</f>
        <v>Györkös Dorottya</v>
      </c>
      <c r="C3657" s="1"/>
      <c r="D3657" s="1" t="str">
        <f ca="1">IFERROR(__xludf.DUMMYFUNCTION("""COMPUTED_VALUE"""),"Nő")</f>
        <v>Nő</v>
      </c>
      <c r="E3657" s="1"/>
      <c r="F3657" s="1">
        <f ca="1">IFERROR(__xludf.DUMMYFUNCTION("""COMPUTED_VALUE"""),1989)</f>
        <v>1989</v>
      </c>
      <c r="G3657" s="1">
        <f ca="1">IFERROR(__xludf.DUMMYFUNCTION("""COMPUTED_VALUE"""),1419)</f>
        <v>1419</v>
      </c>
      <c r="H3657" s="1" t="str">
        <f ca="1">IFERROR(__xludf.DUMMYFUNCTION("""COMPUTED_VALUE"""),"MTLSZ001419A03")</f>
        <v>MTLSZ001419A03</v>
      </c>
      <c r="I3657" s="2">
        <f ca="1">IFERROR(__xludf.DUMMYFUNCTION("""COMPUTED_VALUE"""),37912)</f>
        <v>37912</v>
      </c>
      <c r="J3657" s="2">
        <f ca="1">IFERROR(__xludf.DUMMYFUNCTION("""COMPUTED_VALUE"""),38277)</f>
        <v>38277</v>
      </c>
    </row>
    <row r="3658" spans="1:10" x14ac:dyDescent="0.25">
      <c r="A3658" s="1" t="str">
        <f ca="1">IFERROR(__xludf.DUMMYFUNCTION("""COMPUTED_VALUE"""),"MAFC")</f>
        <v>MAFC</v>
      </c>
      <c r="B3658" s="1" t="str">
        <f ca="1">IFERROR(__xludf.DUMMYFUNCTION("""COMPUTED_VALUE"""),"Heidrich Gabriella")</f>
        <v>Heidrich Gabriella</v>
      </c>
      <c r="C3658" s="1"/>
      <c r="D3658" s="1" t="str">
        <f ca="1">IFERROR(__xludf.DUMMYFUNCTION("""COMPUTED_VALUE"""),"Nő")</f>
        <v>Nő</v>
      </c>
      <c r="E3658" s="1"/>
      <c r="F3658" s="1">
        <f ca="1">IFERROR(__xludf.DUMMYFUNCTION("""COMPUTED_VALUE"""),1995)</f>
        <v>1995</v>
      </c>
      <c r="G3658" s="1">
        <f ca="1">IFERROR(__xludf.DUMMYFUNCTION("""COMPUTED_VALUE"""),1421)</f>
        <v>1421</v>
      </c>
      <c r="H3658" s="1" t="str">
        <f ca="1">IFERROR(__xludf.DUMMYFUNCTION("""COMPUTED_VALUE"""),"MTLSZ001421A03")</f>
        <v>MTLSZ001421A03</v>
      </c>
      <c r="I3658" s="2">
        <f ca="1">IFERROR(__xludf.DUMMYFUNCTION("""COMPUTED_VALUE"""),37912)</f>
        <v>37912</v>
      </c>
      <c r="J3658" s="2">
        <f ca="1">IFERROR(__xludf.DUMMYFUNCTION("""COMPUTED_VALUE"""),38277)</f>
        <v>38277</v>
      </c>
    </row>
    <row r="3659" spans="1:10" x14ac:dyDescent="0.25">
      <c r="A3659" s="1" t="str">
        <f ca="1">IFERROR(__xludf.DUMMYFUNCTION("""COMPUTED_VALUE"""),"MAFC")</f>
        <v>MAFC</v>
      </c>
      <c r="B3659" s="1" t="str">
        <f ca="1">IFERROR(__xludf.DUMMYFUNCTION("""COMPUTED_VALUE"""),"Keszthelyi Zoltán")</f>
        <v>Keszthelyi Zoltán</v>
      </c>
      <c r="C3659" s="1"/>
      <c r="D3659" s="1" t="str">
        <f ca="1">IFERROR(__xludf.DUMMYFUNCTION("""COMPUTED_VALUE"""),"Férfi")</f>
        <v>Férfi</v>
      </c>
      <c r="E3659" s="1"/>
      <c r="F3659" s="1">
        <f ca="1">IFERROR(__xludf.DUMMYFUNCTION("""COMPUTED_VALUE"""),1989)</f>
        <v>1989</v>
      </c>
      <c r="G3659" s="1">
        <f ca="1">IFERROR(__xludf.DUMMYFUNCTION("""COMPUTED_VALUE"""),1420)</f>
        <v>1420</v>
      </c>
      <c r="H3659" s="1" t="str">
        <f ca="1">IFERROR(__xludf.DUMMYFUNCTION("""COMPUTED_VALUE"""),"MTLSZ001420A03")</f>
        <v>MTLSZ001420A03</v>
      </c>
      <c r="I3659" s="2">
        <f ca="1">IFERROR(__xludf.DUMMYFUNCTION("""COMPUTED_VALUE"""),37912)</f>
        <v>37912</v>
      </c>
      <c r="J3659" s="2">
        <f ca="1">IFERROR(__xludf.DUMMYFUNCTION("""COMPUTED_VALUE"""),38277)</f>
        <v>38277</v>
      </c>
    </row>
    <row r="3660" spans="1:10" x14ac:dyDescent="0.25">
      <c r="A3660" s="1" t="str">
        <f ca="1">IFERROR(__xludf.DUMMYFUNCTION("""COMPUTED_VALUE"""),"Pedagógus Fáklya SE")</f>
        <v>Pedagógus Fáklya SE</v>
      </c>
      <c r="B3660" s="1" t="str">
        <f ca="1">IFERROR(__xludf.DUMMYFUNCTION("""COMPUTED_VALUE"""),"Dihen Réka")</f>
        <v>Dihen Réka</v>
      </c>
      <c r="C3660" s="1"/>
      <c r="D3660" s="1" t="str">
        <f ca="1">IFERROR(__xludf.DUMMYFUNCTION("""COMPUTED_VALUE"""),"Nő")</f>
        <v>Nő</v>
      </c>
      <c r="E3660" s="1"/>
      <c r="F3660" s="1">
        <f ca="1">IFERROR(__xludf.DUMMYFUNCTION("""COMPUTED_VALUE"""),1991)</f>
        <v>1991</v>
      </c>
      <c r="G3660" s="1">
        <f ca="1">IFERROR(__xludf.DUMMYFUNCTION("""COMPUTED_VALUE"""),1422)</f>
        <v>1422</v>
      </c>
      <c r="H3660" s="1" t="str">
        <f ca="1">IFERROR(__xludf.DUMMYFUNCTION("""COMPUTED_VALUE"""),"MTLSZ001422A03")</f>
        <v>MTLSZ001422A03</v>
      </c>
      <c r="I3660" s="2">
        <f ca="1">IFERROR(__xludf.DUMMYFUNCTION("""COMPUTED_VALUE"""),37912)</f>
        <v>37912</v>
      </c>
      <c r="J3660" s="2">
        <f ca="1">IFERROR(__xludf.DUMMYFUNCTION("""COMPUTED_VALUE"""),38277)</f>
        <v>38277</v>
      </c>
    </row>
    <row r="3661" spans="1:10" x14ac:dyDescent="0.25">
      <c r="A3661" s="1" t="str">
        <f ca="1">IFERROR(__xludf.DUMMYFUNCTION("""COMPUTED_VALUE"""),"Klébi DSE")</f>
        <v>Klébi DSE</v>
      </c>
      <c r="B3661" s="1" t="str">
        <f ca="1">IFERROR(__xludf.DUMMYFUNCTION("""COMPUTED_VALUE"""),"Csatai Döme")</f>
        <v>Csatai Döme</v>
      </c>
      <c r="C3661" s="1"/>
      <c r="D3661" s="1" t="str">
        <f ca="1">IFERROR(__xludf.DUMMYFUNCTION("""COMPUTED_VALUE"""),"Férfi")</f>
        <v>Férfi</v>
      </c>
      <c r="E3661" s="1"/>
      <c r="F3661" s="1">
        <f ca="1">IFERROR(__xludf.DUMMYFUNCTION("""COMPUTED_VALUE"""),1992)</f>
        <v>1992</v>
      </c>
      <c r="G3661" s="1">
        <f ca="1">IFERROR(__xludf.DUMMYFUNCTION("""COMPUTED_VALUE"""),1409)</f>
        <v>1409</v>
      </c>
      <c r="H3661" s="1" t="str">
        <f ca="1">IFERROR(__xludf.DUMMYFUNCTION("""COMPUTED_VALUE"""),"MTLSZ001409A03")</f>
        <v>MTLSZ001409A03</v>
      </c>
      <c r="I3661" s="2">
        <f ca="1">IFERROR(__xludf.DUMMYFUNCTION("""COMPUTED_VALUE"""),37903)</f>
        <v>37903</v>
      </c>
      <c r="J3661" s="2">
        <f ca="1">IFERROR(__xludf.DUMMYFUNCTION("""COMPUTED_VALUE"""),38268)</f>
        <v>38268</v>
      </c>
    </row>
    <row r="3662" spans="1:10" x14ac:dyDescent="0.25">
      <c r="A3662" s="1" t="str">
        <f ca="1">IFERROR(__xludf.DUMMYFUNCTION("""COMPUTED_VALUE"""),"Pedagógus Fáklya SE")</f>
        <v>Pedagógus Fáklya SE</v>
      </c>
      <c r="B3662" s="1" t="str">
        <f ca="1">IFERROR(__xludf.DUMMYFUNCTION("""COMPUTED_VALUE"""),"Szőke Melinda Viktória")</f>
        <v>Szőke Melinda Viktória</v>
      </c>
      <c r="C3662" s="1"/>
      <c r="D3662" s="1" t="str">
        <f ca="1">IFERROR(__xludf.DUMMYFUNCTION("""COMPUTED_VALUE"""),"Nő")</f>
        <v>Nő</v>
      </c>
      <c r="E3662" s="1"/>
      <c r="F3662" s="1">
        <f ca="1">IFERROR(__xludf.DUMMYFUNCTION("""COMPUTED_VALUE"""),1980)</f>
        <v>1980</v>
      </c>
      <c r="G3662" s="1">
        <f ca="1">IFERROR(__xludf.DUMMYFUNCTION("""COMPUTED_VALUE"""),967)</f>
        <v>967</v>
      </c>
      <c r="H3662" s="1" t="str">
        <f ca="1">IFERROR(__xludf.DUMMYFUNCTION("""COMPUTED_VALUE"""),"MTLSZ000967A03")</f>
        <v>MTLSZ000967A03</v>
      </c>
      <c r="I3662" s="2">
        <f ca="1">IFERROR(__xludf.DUMMYFUNCTION("""COMPUTED_VALUE"""),37893)</f>
        <v>37893</v>
      </c>
      <c r="J3662" s="2">
        <f ca="1">IFERROR(__xludf.DUMMYFUNCTION("""COMPUTED_VALUE"""),38258)</f>
        <v>38258</v>
      </c>
    </row>
    <row r="3663" spans="1:10" x14ac:dyDescent="0.25">
      <c r="A3663" s="1" t="str">
        <f ca="1">IFERROR(__xludf.DUMMYFUNCTION("""COMPUTED_VALUE"""),"Bagodi ISK")</f>
        <v>Bagodi ISK</v>
      </c>
      <c r="B3663" s="1" t="str">
        <f ca="1">IFERROR(__xludf.DUMMYFUNCTION("""COMPUTED_VALUE"""),"Bálint Szilveszter")</f>
        <v>Bálint Szilveszter</v>
      </c>
      <c r="C3663" s="1"/>
      <c r="D3663" s="1" t="str">
        <f ca="1">IFERROR(__xludf.DUMMYFUNCTION("""COMPUTED_VALUE"""),"Férfi")</f>
        <v>Férfi</v>
      </c>
      <c r="E3663" s="1"/>
      <c r="F3663" s="1">
        <f ca="1">IFERROR(__xludf.DUMMYFUNCTION("""COMPUTED_VALUE"""),1990)</f>
        <v>1990</v>
      </c>
      <c r="G3663" s="1">
        <f ca="1">IFERROR(__xludf.DUMMYFUNCTION("""COMPUTED_VALUE"""),34)</f>
        <v>34</v>
      </c>
      <c r="H3663" s="1" t="str">
        <f ca="1">IFERROR(__xludf.DUMMYFUNCTION("""COMPUTED_VALUE"""),"MTLSZ000034A03")</f>
        <v>MTLSZ000034A03</v>
      </c>
      <c r="I3663" s="2">
        <f ca="1">IFERROR(__xludf.DUMMYFUNCTION("""COMPUTED_VALUE"""),37887)</f>
        <v>37887</v>
      </c>
      <c r="J3663" s="2">
        <f ca="1">IFERROR(__xludf.DUMMYFUNCTION("""COMPUTED_VALUE"""),38252)</f>
        <v>38252</v>
      </c>
    </row>
    <row r="3664" spans="1:10" x14ac:dyDescent="0.25">
      <c r="A3664" s="1" t="str">
        <f ca="1">IFERROR(__xludf.DUMMYFUNCTION("""COMPUTED_VALUE"""),"Bagodi ISK")</f>
        <v>Bagodi ISK</v>
      </c>
      <c r="B3664" s="1" t="str">
        <f ca="1">IFERROR(__xludf.DUMMYFUNCTION("""COMPUTED_VALUE"""),"Orbán Ádám")</f>
        <v>Orbán Ádám</v>
      </c>
      <c r="C3664" s="1"/>
      <c r="D3664" s="1" t="str">
        <f ca="1">IFERROR(__xludf.DUMMYFUNCTION("""COMPUTED_VALUE"""),"Férfi")</f>
        <v>Férfi</v>
      </c>
      <c r="E3664" s="1"/>
      <c r="F3664" s="1">
        <f ca="1">IFERROR(__xludf.DUMMYFUNCTION("""COMPUTED_VALUE"""),1989)</f>
        <v>1989</v>
      </c>
      <c r="G3664" s="1">
        <f ca="1">IFERROR(__xludf.DUMMYFUNCTION("""COMPUTED_VALUE"""),718)</f>
        <v>718</v>
      </c>
      <c r="H3664" s="1" t="str">
        <f ca="1">IFERROR(__xludf.DUMMYFUNCTION("""COMPUTED_VALUE"""),"MTLSZ000718A03")</f>
        <v>MTLSZ000718A03</v>
      </c>
      <c r="I3664" s="2">
        <f ca="1">IFERROR(__xludf.DUMMYFUNCTION("""COMPUTED_VALUE"""),37887)</f>
        <v>37887</v>
      </c>
      <c r="J3664" s="2">
        <f ca="1">IFERROR(__xludf.DUMMYFUNCTION("""COMPUTED_VALUE"""),38252)</f>
        <v>38252</v>
      </c>
    </row>
    <row r="3665" spans="1:10" x14ac:dyDescent="0.25">
      <c r="A3665" s="1" t="str">
        <f ca="1">IFERROR(__xludf.DUMMYFUNCTION("""COMPUTED_VALUE"""),"Bagodi ISK")</f>
        <v>Bagodi ISK</v>
      </c>
      <c r="B3665" s="1" t="str">
        <f ca="1">IFERROR(__xludf.DUMMYFUNCTION("""COMPUTED_VALUE"""),"Orsós Ferenc")</f>
        <v>Orsós Ferenc</v>
      </c>
      <c r="C3665" s="1"/>
      <c r="D3665" s="1" t="str">
        <f ca="1">IFERROR(__xludf.DUMMYFUNCTION("""COMPUTED_VALUE"""),"Férfi")</f>
        <v>Férfi</v>
      </c>
      <c r="E3665" s="1"/>
      <c r="F3665" s="1">
        <f ca="1">IFERROR(__xludf.DUMMYFUNCTION("""COMPUTED_VALUE"""),1990)</f>
        <v>1990</v>
      </c>
      <c r="G3665" s="1">
        <f ca="1">IFERROR(__xludf.DUMMYFUNCTION("""COMPUTED_VALUE"""),1305)</f>
        <v>1305</v>
      </c>
      <c r="H3665" s="1" t="str">
        <f ca="1">IFERROR(__xludf.DUMMYFUNCTION("""COMPUTED_VALUE"""),"MTLSZ001305A03")</f>
        <v>MTLSZ001305A03</v>
      </c>
      <c r="I3665" s="2">
        <f ca="1">IFERROR(__xludf.DUMMYFUNCTION("""COMPUTED_VALUE"""),37887)</f>
        <v>37887</v>
      </c>
      <c r="J3665" s="2">
        <f ca="1">IFERROR(__xludf.DUMMYFUNCTION("""COMPUTED_VALUE"""),38252)</f>
        <v>38252</v>
      </c>
    </row>
    <row r="3666" spans="1:10" x14ac:dyDescent="0.25">
      <c r="A3666" s="1" t="str">
        <f ca="1">IFERROR(__xludf.DUMMYFUNCTION("""COMPUTED_VALUE"""),"Bagodi ISK")</f>
        <v>Bagodi ISK</v>
      </c>
      <c r="B3666" s="1" t="str">
        <f ca="1">IFERROR(__xludf.DUMMYFUNCTION("""COMPUTED_VALUE"""),"Samu Péter")</f>
        <v>Samu Péter</v>
      </c>
      <c r="C3666" s="1"/>
      <c r="D3666" s="1" t="str">
        <f ca="1">IFERROR(__xludf.DUMMYFUNCTION("""COMPUTED_VALUE"""),"Férfi")</f>
        <v>Férfi</v>
      </c>
      <c r="E3666" s="1"/>
      <c r="F3666" s="1">
        <f ca="1">IFERROR(__xludf.DUMMYFUNCTION("""COMPUTED_VALUE"""),1990)</f>
        <v>1990</v>
      </c>
      <c r="G3666" s="1">
        <f ca="1">IFERROR(__xludf.DUMMYFUNCTION("""COMPUTED_VALUE"""),827)</f>
        <v>827</v>
      </c>
      <c r="H3666" s="1" t="str">
        <f ca="1">IFERROR(__xludf.DUMMYFUNCTION("""COMPUTED_VALUE"""),"MTLSZ000827A03")</f>
        <v>MTLSZ000827A03</v>
      </c>
      <c r="I3666" s="2">
        <f ca="1">IFERROR(__xludf.DUMMYFUNCTION("""COMPUTED_VALUE"""),37887)</f>
        <v>37887</v>
      </c>
      <c r="J3666" s="2">
        <f ca="1">IFERROR(__xludf.DUMMYFUNCTION("""COMPUTED_VALUE"""),38252)</f>
        <v>38252</v>
      </c>
    </row>
    <row r="3667" spans="1:10" x14ac:dyDescent="0.25">
      <c r="A3667" s="1" t="str">
        <f ca="1">IFERROR(__xludf.DUMMYFUNCTION("""COMPUTED_VALUE"""),"Bagodi ISK")</f>
        <v>Bagodi ISK</v>
      </c>
      <c r="B3667" s="1" t="str">
        <f ca="1">IFERROR(__xludf.DUMMYFUNCTION("""COMPUTED_VALUE"""),"Szekér Gábor")</f>
        <v>Szekér Gábor</v>
      </c>
      <c r="C3667" s="1"/>
      <c r="D3667" s="1" t="str">
        <f ca="1">IFERROR(__xludf.DUMMYFUNCTION("""COMPUTED_VALUE"""),"Férfi")</f>
        <v>Férfi</v>
      </c>
      <c r="E3667" s="1"/>
      <c r="F3667" s="1">
        <f ca="1">IFERROR(__xludf.DUMMYFUNCTION("""COMPUTED_VALUE"""),1989)</f>
        <v>1989</v>
      </c>
      <c r="G3667" s="1">
        <f ca="1">IFERROR(__xludf.DUMMYFUNCTION("""COMPUTED_VALUE"""),929)</f>
        <v>929</v>
      </c>
      <c r="H3667" s="1" t="str">
        <f ca="1">IFERROR(__xludf.DUMMYFUNCTION("""COMPUTED_VALUE"""),"MTLSZ000929A03")</f>
        <v>MTLSZ000929A03</v>
      </c>
      <c r="I3667" s="2">
        <f ca="1">IFERROR(__xludf.DUMMYFUNCTION("""COMPUTED_VALUE"""),37887)</f>
        <v>37887</v>
      </c>
      <c r="J3667" s="2">
        <f ca="1">IFERROR(__xludf.DUMMYFUNCTION("""COMPUTED_VALUE"""),38252)</f>
        <v>38252</v>
      </c>
    </row>
    <row r="3668" spans="1:10" x14ac:dyDescent="0.25">
      <c r="A3668" s="1" t="str">
        <f ca="1">IFERROR(__xludf.DUMMYFUNCTION("""COMPUTED_VALUE"""),"DSC-SI")</f>
        <v>DSC-SI</v>
      </c>
      <c r="B3668" s="1" t="str">
        <f ca="1">IFERROR(__xludf.DUMMYFUNCTION("""COMPUTED_VALUE"""),"Tabaka József")</f>
        <v>Tabaka József</v>
      </c>
      <c r="C3668" s="1"/>
      <c r="D3668" s="1" t="str">
        <f ca="1">IFERROR(__xludf.DUMMYFUNCTION("""COMPUTED_VALUE"""),"Férfi")</f>
        <v>Férfi</v>
      </c>
      <c r="E3668" s="1"/>
      <c r="F3668" s="1">
        <f ca="1">IFERROR(__xludf.DUMMYFUNCTION("""COMPUTED_VALUE"""),1989)</f>
        <v>1989</v>
      </c>
      <c r="G3668" s="1">
        <f ca="1">IFERROR(__xludf.DUMMYFUNCTION("""COMPUTED_VALUE"""),983)</f>
        <v>983</v>
      </c>
      <c r="H3668" s="1" t="str">
        <f ca="1">IFERROR(__xludf.DUMMYFUNCTION("""COMPUTED_VALUE"""),"MTLSZ000983A03")</f>
        <v>MTLSZ000983A03</v>
      </c>
      <c r="I3668" s="2">
        <f ca="1">IFERROR(__xludf.DUMMYFUNCTION("""COMPUTED_VALUE"""),37880)</f>
        <v>37880</v>
      </c>
      <c r="J3668" s="2">
        <f ca="1">IFERROR(__xludf.DUMMYFUNCTION("""COMPUTED_VALUE"""),38245)</f>
        <v>38245</v>
      </c>
    </row>
    <row r="3669" spans="1:10" x14ac:dyDescent="0.25">
      <c r="A3669" s="1" t="str">
        <f ca="1">IFERROR(__xludf.DUMMYFUNCTION("""COMPUTED_VALUE"""),"DSC-SI")</f>
        <v>DSC-SI</v>
      </c>
      <c r="B3669" s="1" t="str">
        <f ca="1">IFERROR(__xludf.DUMMYFUNCTION("""COMPUTED_VALUE"""),"Basa Dorina")</f>
        <v>Basa Dorina</v>
      </c>
      <c r="C3669" s="1"/>
      <c r="D3669" s="1" t="str">
        <f ca="1">IFERROR(__xludf.DUMMYFUNCTION("""COMPUTED_VALUE"""),"Nő")</f>
        <v>Nő</v>
      </c>
      <c r="E3669" s="1"/>
      <c r="F3669" s="1">
        <f ca="1">IFERROR(__xludf.DUMMYFUNCTION("""COMPUTED_VALUE"""),1992)</f>
        <v>1992</v>
      </c>
      <c r="G3669" s="1">
        <f ca="1">IFERROR(__xludf.DUMMYFUNCTION("""COMPUTED_VALUE"""),1223)</f>
        <v>1223</v>
      </c>
      <c r="H3669" s="1" t="str">
        <f ca="1">IFERROR(__xludf.DUMMYFUNCTION("""COMPUTED_VALUE"""),"MTLSZ001223A03")</f>
        <v>MTLSZ001223A03</v>
      </c>
      <c r="I3669" s="2">
        <f ca="1">IFERROR(__xludf.DUMMYFUNCTION("""COMPUTED_VALUE"""),37879)</f>
        <v>37879</v>
      </c>
      <c r="J3669" s="2">
        <f ca="1">IFERROR(__xludf.DUMMYFUNCTION("""COMPUTED_VALUE"""),38244)</f>
        <v>38244</v>
      </c>
    </row>
    <row r="3670" spans="1:10" x14ac:dyDescent="0.25">
      <c r="A3670" s="1" t="str">
        <f ca="1">IFERROR(__xludf.DUMMYFUNCTION("""COMPUTED_VALUE"""),"DSC-SI")</f>
        <v>DSC-SI</v>
      </c>
      <c r="B3670" s="1" t="str">
        <f ca="1">IFERROR(__xludf.DUMMYFUNCTION("""COMPUTED_VALUE"""),"Molnár Péter")</f>
        <v>Molnár Péter</v>
      </c>
      <c r="C3670" s="1"/>
      <c r="D3670" s="1" t="str">
        <f ca="1">IFERROR(__xludf.DUMMYFUNCTION("""COMPUTED_VALUE"""),"Férfi")</f>
        <v>Férfi</v>
      </c>
      <c r="E3670" s="1"/>
      <c r="F3670" s="1">
        <f ca="1">IFERROR(__xludf.DUMMYFUNCTION("""COMPUTED_VALUE"""),1990)</f>
        <v>1990</v>
      </c>
      <c r="G3670" s="1">
        <f ca="1">IFERROR(__xludf.DUMMYFUNCTION("""COMPUTED_VALUE"""),1358)</f>
        <v>1358</v>
      </c>
      <c r="H3670" s="1" t="str">
        <f ca="1">IFERROR(__xludf.DUMMYFUNCTION("""COMPUTED_VALUE"""),"MTLSZ001358A03")</f>
        <v>MTLSZ001358A03</v>
      </c>
      <c r="I3670" s="2">
        <f ca="1">IFERROR(__xludf.DUMMYFUNCTION("""COMPUTED_VALUE"""),37879)</f>
        <v>37879</v>
      </c>
      <c r="J3670" s="2">
        <f ca="1">IFERROR(__xludf.DUMMYFUNCTION("""COMPUTED_VALUE"""),38244)</f>
        <v>38244</v>
      </c>
    </row>
    <row r="3671" spans="1:10" x14ac:dyDescent="0.25">
      <c r="A3671" s="1" t="str">
        <f ca="1">IFERROR(__xludf.DUMMYFUNCTION("""COMPUTED_VALUE"""),"DSC-SI")</f>
        <v>DSC-SI</v>
      </c>
      <c r="B3671" s="1" t="str">
        <f ca="1">IFERROR(__xludf.DUMMYFUNCTION("""COMPUTED_VALUE"""),"Némethy Vilmos")</f>
        <v>Némethy Vilmos</v>
      </c>
      <c r="C3671" s="1"/>
      <c r="D3671" s="1" t="str">
        <f ca="1">IFERROR(__xludf.DUMMYFUNCTION("""COMPUTED_VALUE"""),"Férfi")</f>
        <v>Férfi</v>
      </c>
      <c r="E3671" s="1"/>
      <c r="F3671" s="1">
        <f ca="1">IFERROR(__xludf.DUMMYFUNCTION("""COMPUTED_VALUE"""),1991)</f>
        <v>1991</v>
      </c>
      <c r="G3671" s="1">
        <f ca="1">IFERROR(__xludf.DUMMYFUNCTION("""COMPUTED_VALUE"""),710)</f>
        <v>710</v>
      </c>
      <c r="H3671" s="1" t="str">
        <f ca="1">IFERROR(__xludf.DUMMYFUNCTION("""COMPUTED_VALUE"""),"MTLSZ000710A03")</f>
        <v>MTLSZ000710A03</v>
      </c>
      <c r="I3671" s="2">
        <f ca="1">IFERROR(__xludf.DUMMYFUNCTION("""COMPUTED_VALUE"""),37879)</f>
        <v>37879</v>
      </c>
      <c r="J3671" s="2">
        <f ca="1">IFERROR(__xludf.DUMMYFUNCTION("""COMPUTED_VALUE"""),38244)</f>
        <v>38244</v>
      </c>
    </row>
    <row r="3672" spans="1:10" x14ac:dyDescent="0.25">
      <c r="A3672" s="1" t="str">
        <f ca="1">IFERROR(__xludf.DUMMYFUNCTION("""COMPUTED_VALUE"""),"Érdi VSE")</f>
        <v>Érdi VSE</v>
      </c>
      <c r="B3672" s="1" t="str">
        <f ca="1">IFERROR(__xludf.DUMMYFUNCTION("""COMPUTED_VALUE"""),"Balogh Barbara")</f>
        <v>Balogh Barbara</v>
      </c>
      <c r="C3672" s="1"/>
      <c r="D3672" s="1" t="str">
        <f ca="1">IFERROR(__xludf.DUMMYFUNCTION("""COMPUTED_VALUE"""),"Nő")</f>
        <v>Nő</v>
      </c>
      <c r="E3672" s="1"/>
      <c r="F3672" s="1">
        <f ca="1">IFERROR(__xludf.DUMMYFUNCTION("""COMPUTED_VALUE"""),1990)</f>
        <v>1990</v>
      </c>
      <c r="G3672" s="1">
        <f ca="1">IFERROR(__xludf.DUMMYFUNCTION("""COMPUTED_VALUE"""),41)</f>
        <v>41</v>
      </c>
      <c r="H3672" s="1" t="str">
        <f ca="1">IFERROR(__xludf.DUMMYFUNCTION("""COMPUTED_VALUE"""),"MTLSZ000041A03")</f>
        <v>MTLSZ000041A03</v>
      </c>
      <c r="I3672" s="2">
        <f ca="1">IFERROR(__xludf.DUMMYFUNCTION("""COMPUTED_VALUE"""),37876)</f>
        <v>37876</v>
      </c>
      <c r="J3672" s="2">
        <f ca="1">IFERROR(__xludf.DUMMYFUNCTION("""COMPUTED_VALUE"""),38241)</f>
        <v>38241</v>
      </c>
    </row>
    <row r="3673" spans="1:10" x14ac:dyDescent="0.25">
      <c r="A3673" s="1" t="str">
        <f ca="1">IFERROR(__xludf.DUMMYFUNCTION("""COMPUTED_VALUE"""),"Érdi VSE")</f>
        <v>Érdi VSE</v>
      </c>
      <c r="B3673" s="1" t="str">
        <f ca="1">IFERROR(__xludf.DUMMYFUNCTION("""COMPUTED_VALUE"""),"Borsos Krisztina")</f>
        <v>Borsos Krisztina</v>
      </c>
      <c r="C3673" s="1"/>
      <c r="D3673" s="1" t="str">
        <f ca="1">IFERROR(__xludf.DUMMYFUNCTION("""COMPUTED_VALUE"""),"Nő")</f>
        <v>Nő</v>
      </c>
      <c r="E3673" s="1"/>
      <c r="F3673" s="1">
        <f ca="1">IFERROR(__xludf.DUMMYFUNCTION("""COMPUTED_VALUE"""),1992)</f>
        <v>1992</v>
      </c>
      <c r="G3673" s="1">
        <f ca="1">IFERROR(__xludf.DUMMYFUNCTION("""COMPUTED_VALUE"""),1322)</f>
        <v>1322</v>
      </c>
      <c r="H3673" s="1" t="str">
        <f ca="1">IFERROR(__xludf.DUMMYFUNCTION("""COMPUTED_VALUE"""),"MTLSZ001322A03")</f>
        <v>MTLSZ001322A03</v>
      </c>
      <c r="I3673" s="2">
        <f ca="1">IFERROR(__xludf.DUMMYFUNCTION("""COMPUTED_VALUE"""),37876)</f>
        <v>37876</v>
      </c>
      <c r="J3673" s="2">
        <f ca="1">IFERROR(__xludf.DUMMYFUNCTION("""COMPUTED_VALUE"""),38241)</f>
        <v>38241</v>
      </c>
    </row>
    <row r="3674" spans="1:10" x14ac:dyDescent="0.25">
      <c r="A3674" s="1" t="str">
        <f ca="1">IFERROR(__xludf.DUMMYFUNCTION("""COMPUTED_VALUE"""),"Érdi VSE")</f>
        <v>Érdi VSE</v>
      </c>
      <c r="B3674" s="1" t="str">
        <f ca="1">IFERROR(__xludf.DUMMYFUNCTION("""COMPUTED_VALUE"""),"Romics Ágnes")</f>
        <v>Romics Ágnes</v>
      </c>
      <c r="C3674" s="1"/>
      <c r="D3674" s="1" t="str">
        <f ca="1">IFERROR(__xludf.DUMMYFUNCTION("""COMPUTED_VALUE"""),"Nő")</f>
        <v>Nő</v>
      </c>
      <c r="E3674" s="1"/>
      <c r="F3674" s="1">
        <f ca="1">IFERROR(__xludf.DUMMYFUNCTION("""COMPUTED_VALUE"""),1991)</f>
        <v>1991</v>
      </c>
      <c r="G3674" s="1">
        <f ca="1">IFERROR(__xludf.DUMMYFUNCTION("""COMPUTED_VALUE"""),1325)</f>
        <v>1325</v>
      </c>
      <c r="H3674" s="1" t="str">
        <f ca="1">IFERROR(__xludf.DUMMYFUNCTION("""COMPUTED_VALUE"""),"MTLSZ001325A03")</f>
        <v>MTLSZ001325A03</v>
      </c>
      <c r="I3674" s="2">
        <f ca="1">IFERROR(__xludf.DUMMYFUNCTION("""COMPUTED_VALUE"""),37876)</f>
        <v>37876</v>
      </c>
      <c r="J3674" s="2">
        <f ca="1">IFERROR(__xludf.DUMMYFUNCTION("""COMPUTED_VALUE"""),38241)</f>
        <v>38241</v>
      </c>
    </row>
    <row r="3675" spans="1:10" x14ac:dyDescent="0.25">
      <c r="A3675" s="1" t="str">
        <f ca="1">IFERROR(__xludf.DUMMYFUNCTION("""COMPUTED_VALUE"""),"Érdi VSE")</f>
        <v>Érdi VSE</v>
      </c>
      <c r="B3675" s="1" t="str">
        <f ca="1">IFERROR(__xludf.DUMMYFUNCTION("""COMPUTED_VALUE"""),"Veszeli Sándor")</f>
        <v>Veszeli Sándor</v>
      </c>
      <c r="C3675" s="1"/>
      <c r="D3675" s="1" t="str">
        <f ca="1">IFERROR(__xludf.DUMMYFUNCTION("""COMPUTED_VALUE"""),"Férfi")</f>
        <v>Férfi</v>
      </c>
      <c r="E3675" s="1"/>
      <c r="F3675" s="1">
        <f ca="1">IFERROR(__xludf.DUMMYFUNCTION("""COMPUTED_VALUE"""),1993)</f>
        <v>1993</v>
      </c>
      <c r="G3675" s="1">
        <f ca="1">IFERROR(__xludf.DUMMYFUNCTION("""COMPUTED_VALUE"""),1368)</f>
        <v>1368</v>
      </c>
      <c r="H3675" s="1" t="str">
        <f ca="1">IFERROR(__xludf.DUMMYFUNCTION("""COMPUTED_VALUE"""),"MTLSZ001368A03")</f>
        <v>MTLSZ001368A03</v>
      </c>
      <c r="I3675" s="2">
        <f ca="1">IFERROR(__xludf.DUMMYFUNCTION("""COMPUTED_VALUE"""),37876)</f>
        <v>37876</v>
      </c>
      <c r="J3675" s="2">
        <f ca="1">IFERROR(__xludf.DUMMYFUNCTION("""COMPUTED_VALUE"""),38241)</f>
        <v>38241</v>
      </c>
    </row>
    <row r="3676" spans="1:10" x14ac:dyDescent="0.25">
      <c r="A3676" s="1" t="str">
        <f ca="1">IFERROR(__xludf.DUMMYFUNCTION("""COMPUTED_VALUE"""),"Klébi DSE")</f>
        <v>Klébi DSE</v>
      </c>
      <c r="B3676" s="1" t="str">
        <f ca="1">IFERROR(__xludf.DUMMYFUNCTION("""COMPUTED_VALUE"""),"Fésűs Beáta Boglárka")</f>
        <v>Fésűs Beáta Boglárka</v>
      </c>
      <c r="C3676" s="1"/>
      <c r="D3676" s="1" t="str">
        <f ca="1">IFERROR(__xludf.DUMMYFUNCTION("""COMPUTED_VALUE"""),"Nő")</f>
        <v>Nő</v>
      </c>
      <c r="E3676" s="1"/>
      <c r="F3676" s="1">
        <f ca="1">IFERROR(__xludf.DUMMYFUNCTION("""COMPUTED_VALUE"""),1988)</f>
        <v>1988</v>
      </c>
      <c r="G3676" s="1">
        <f ca="1">IFERROR(__xludf.DUMMYFUNCTION("""COMPUTED_VALUE"""),1272)</f>
        <v>1272</v>
      </c>
      <c r="H3676" s="1" t="str">
        <f ca="1">IFERROR(__xludf.DUMMYFUNCTION("""COMPUTED_VALUE"""),"MTLSZ001272A03")</f>
        <v>MTLSZ001272A03</v>
      </c>
      <c r="I3676" s="2">
        <f ca="1">IFERROR(__xludf.DUMMYFUNCTION("""COMPUTED_VALUE"""),37876)</f>
        <v>37876</v>
      </c>
      <c r="J3676" s="2">
        <f ca="1">IFERROR(__xludf.DUMMYFUNCTION("""COMPUTED_VALUE"""),38241)</f>
        <v>38241</v>
      </c>
    </row>
    <row r="3677" spans="1:10" x14ac:dyDescent="0.25">
      <c r="A3677" s="1" t="str">
        <f ca="1">IFERROR(__xludf.DUMMYFUNCTION("""COMPUTED_VALUE"""),"Klébi DSE")</f>
        <v>Klébi DSE</v>
      </c>
      <c r="B3677" s="1" t="str">
        <f ca="1">IFERROR(__xludf.DUMMYFUNCTION("""COMPUTED_VALUE"""),"Janicsek Máté")</f>
        <v>Janicsek Máté</v>
      </c>
      <c r="C3677" s="1"/>
      <c r="D3677" s="1" t="str">
        <f ca="1">IFERROR(__xludf.DUMMYFUNCTION("""COMPUTED_VALUE"""),"Férfi")</f>
        <v>Férfi</v>
      </c>
      <c r="E3677" s="1"/>
      <c r="F3677" s="1">
        <f ca="1">IFERROR(__xludf.DUMMYFUNCTION("""COMPUTED_VALUE"""),1987)</f>
        <v>1987</v>
      </c>
      <c r="G3677" s="1">
        <f ca="1">IFERROR(__xludf.DUMMYFUNCTION("""COMPUTED_VALUE"""),1398)</f>
        <v>1398</v>
      </c>
      <c r="H3677" s="1" t="str">
        <f ca="1">IFERROR(__xludf.DUMMYFUNCTION("""COMPUTED_VALUE"""),"MTLSZ001398A03")</f>
        <v>MTLSZ001398A03</v>
      </c>
      <c r="I3677" s="2">
        <f ca="1">IFERROR(__xludf.DUMMYFUNCTION("""COMPUTED_VALUE"""),37876)</f>
        <v>37876</v>
      </c>
      <c r="J3677" s="2">
        <f ca="1">IFERROR(__xludf.DUMMYFUNCTION("""COMPUTED_VALUE"""),38241)</f>
        <v>38241</v>
      </c>
    </row>
    <row r="3678" spans="1:10" x14ac:dyDescent="0.25">
      <c r="A3678" s="1" t="str">
        <f ca="1">IFERROR(__xludf.DUMMYFUNCTION("""COMPUTED_VALUE"""),"Klébi DSE")</f>
        <v>Klébi DSE</v>
      </c>
      <c r="B3678" s="1" t="str">
        <f ca="1">IFERROR(__xludf.DUMMYFUNCTION("""COMPUTED_VALUE"""),"Szabó Levente")</f>
        <v>Szabó Levente</v>
      </c>
      <c r="C3678" s="1"/>
      <c r="D3678" s="1" t="str">
        <f ca="1">IFERROR(__xludf.DUMMYFUNCTION("""COMPUTED_VALUE"""),"Férfi")</f>
        <v>Férfi</v>
      </c>
      <c r="E3678" s="1"/>
      <c r="F3678" s="1">
        <f ca="1">IFERROR(__xludf.DUMMYFUNCTION("""COMPUTED_VALUE"""),1988)</f>
        <v>1988</v>
      </c>
      <c r="G3678" s="1">
        <f ca="1">IFERROR(__xludf.DUMMYFUNCTION("""COMPUTED_VALUE"""),1363)</f>
        <v>1363</v>
      </c>
      <c r="H3678" s="1" t="str">
        <f ca="1">IFERROR(__xludf.DUMMYFUNCTION("""COMPUTED_VALUE"""),"MTLSZ001363A03")</f>
        <v>MTLSZ001363A03</v>
      </c>
      <c r="I3678" s="2">
        <f ca="1">IFERROR(__xludf.DUMMYFUNCTION("""COMPUTED_VALUE"""),37876)</f>
        <v>37876</v>
      </c>
      <c r="J3678" s="2">
        <f ca="1">IFERROR(__xludf.DUMMYFUNCTION("""COMPUTED_VALUE"""),38241)</f>
        <v>38241</v>
      </c>
    </row>
    <row r="3679" spans="1:10" x14ac:dyDescent="0.25">
      <c r="A3679" s="1" t="str">
        <f ca="1">IFERROR(__xludf.DUMMYFUNCTION("""COMPUTED_VALUE"""),"Klébi DSE")</f>
        <v>Klébi DSE</v>
      </c>
      <c r="B3679" s="1" t="str">
        <f ca="1">IFERROR(__xludf.DUMMYFUNCTION("""COMPUTED_VALUE"""),"Szele Viktória")</f>
        <v>Szele Viktória</v>
      </c>
      <c r="C3679" s="1"/>
      <c r="D3679" s="1" t="str">
        <f ca="1">IFERROR(__xludf.DUMMYFUNCTION("""COMPUTED_VALUE"""),"Nő")</f>
        <v>Nő</v>
      </c>
      <c r="E3679" s="1"/>
      <c r="F3679" s="1">
        <f ca="1">IFERROR(__xludf.DUMMYFUNCTION("""COMPUTED_VALUE"""),1985)</f>
        <v>1985</v>
      </c>
      <c r="G3679" s="1">
        <f ca="1">IFERROR(__xludf.DUMMYFUNCTION("""COMPUTED_VALUE"""),932)</f>
        <v>932</v>
      </c>
      <c r="H3679" s="1" t="str">
        <f ca="1">IFERROR(__xludf.DUMMYFUNCTION("""COMPUTED_VALUE"""),"MTLSZ000932A03")</f>
        <v>MTLSZ000932A03</v>
      </c>
      <c r="I3679" s="2">
        <f ca="1">IFERROR(__xludf.DUMMYFUNCTION("""COMPUTED_VALUE"""),37876)</f>
        <v>37876</v>
      </c>
      <c r="J3679" s="2">
        <f ca="1">IFERROR(__xludf.DUMMYFUNCTION("""COMPUTED_VALUE"""),38241)</f>
        <v>38241</v>
      </c>
    </row>
    <row r="3680" spans="1:10" x14ac:dyDescent="0.25">
      <c r="A3680" s="1" t="str">
        <f ca="1">IFERROR(__xludf.DUMMYFUNCTION("""COMPUTED_VALUE"""),"Klébi DSE")</f>
        <v>Klébi DSE</v>
      </c>
      <c r="B3680" s="1" t="str">
        <f ca="1">IFERROR(__xludf.DUMMYFUNCTION("""COMPUTED_VALUE"""),"Tengerdi Dénes")</f>
        <v>Tengerdi Dénes</v>
      </c>
      <c r="C3680" s="1"/>
      <c r="D3680" s="1" t="str">
        <f ca="1">IFERROR(__xludf.DUMMYFUNCTION("""COMPUTED_VALUE"""),"Férfi")</f>
        <v>Férfi</v>
      </c>
      <c r="E3680" s="1"/>
      <c r="F3680" s="1">
        <f ca="1">IFERROR(__xludf.DUMMYFUNCTION("""COMPUTED_VALUE"""),1990)</f>
        <v>1990</v>
      </c>
      <c r="G3680" s="1">
        <f ca="1">IFERROR(__xludf.DUMMYFUNCTION("""COMPUTED_VALUE"""),1399)</f>
        <v>1399</v>
      </c>
      <c r="H3680" s="1" t="str">
        <f ca="1">IFERROR(__xludf.DUMMYFUNCTION("""COMPUTED_VALUE"""),"MTLSZ001399A03")</f>
        <v>MTLSZ001399A03</v>
      </c>
      <c r="I3680" s="2">
        <f ca="1">IFERROR(__xludf.DUMMYFUNCTION("""COMPUTED_VALUE"""),37876)</f>
        <v>37876</v>
      </c>
      <c r="J3680" s="2">
        <f ca="1">IFERROR(__xludf.DUMMYFUNCTION("""COMPUTED_VALUE"""),38241)</f>
        <v>38241</v>
      </c>
    </row>
    <row r="3681" spans="1:10" x14ac:dyDescent="0.25">
      <c r="A3681" s="1" t="str">
        <f ca="1">IFERROR(__xludf.DUMMYFUNCTION("""COMPUTED_VALUE"""),"MAFC")</f>
        <v>MAFC</v>
      </c>
      <c r="B3681" s="1" t="str">
        <f ca="1">IFERROR(__xludf.DUMMYFUNCTION("""COMPUTED_VALUE"""),"Farkas Tünde")</f>
        <v>Farkas Tünde</v>
      </c>
      <c r="C3681" s="1"/>
      <c r="D3681" s="1" t="str">
        <f ca="1">IFERROR(__xludf.DUMMYFUNCTION("""COMPUTED_VALUE"""),"Nő")</f>
        <v>Nő</v>
      </c>
      <c r="E3681" s="1"/>
      <c r="F3681" s="1">
        <f ca="1">IFERROR(__xludf.DUMMYFUNCTION("""COMPUTED_VALUE"""),1988)</f>
        <v>1988</v>
      </c>
      <c r="G3681" s="1">
        <f ca="1">IFERROR(__xludf.DUMMYFUNCTION("""COMPUTED_VALUE"""),232)</f>
        <v>232</v>
      </c>
      <c r="H3681" s="1" t="str">
        <f ca="1">IFERROR(__xludf.DUMMYFUNCTION("""COMPUTED_VALUE"""),"MTLSZ000232A03")</f>
        <v>MTLSZ000232A03</v>
      </c>
      <c r="I3681" s="2">
        <f ca="1">IFERROR(__xludf.DUMMYFUNCTION("""COMPUTED_VALUE"""),37876)</f>
        <v>37876</v>
      </c>
      <c r="J3681" s="2">
        <f ca="1">IFERROR(__xludf.DUMMYFUNCTION("""COMPUTED_VALUE"""),38241)</f>
        <v>38241</v>
      </c>
    </row>
    <row r="3682" spans="1:10" x14ac:dyDescent="0.25">
      <c r="A3682" s="1" t="str">
        <f ca="1">IFERROR(__xludf.DUMMYFUNCTION("""COMPUTED_VALUE"""),"MAFC")</f>
        <v>MAFC</v>
      </c>
      <c r="B3682" s="1" t="str">
        <f ca="1">IFERROR(__xludf.DUMMYFUNCTION("""COMPUTED_VALUE"""),"Fónyad Anna")</f>
        <v>Fónyad Anna</v>
      </c>
      <c r="C3682" s="1"/>
      <c r="D3682" s="1" t="str">
        <f ca="1">IFERROR(__xludf.DUMMYFUNCTION("""COMPUTED_VALUE"""),"Nő")</f>
        <v>Nő</v>
      </c>
      <c r="E3682" s="1"/>
      <c r="F3682" s="1">
        <f ca="1">IFERROR(__xludf.DUMMYFUNCTION("""COMPUTED_VALUE"""),1984)</f>
        <v>1984</v>
      </c>
      <c r="G3682" s="1">
        <f ca="1">IFERROR(__xludf.DUMMYFUNCTION("""COMPUTED_VALUE"""),257)</f>
        <v>257</v>
      </c>
      <c r="H3682" s="1" t="str">
        <f ca="1">IFERROR(__xludf.DUMMYFUNCTION("""COMPUTED_VALUE"""),"MTLSZ000257A03")</f>
        <v>MTLSZ000257A03</v>
      </c>
      <c r="I3682" s="2">
        <f ca="1">IFERROR(__xludf.DUMMYFUNCTION("""COMPUTED_VALUE"""),37876)</f>
        <v>37876</v>
      </c>
      <c r="J3682" s="2">
        <f ca="1">IFERROR(__xludf.DUMMYFUNCTION("""COMPUTED_VALUE"""),38241)</f>
        <v>38241</v>
      </c>
    </row>
    <row r="3683" spans="1:10" x14ac:dyDescent="0.25">
      <c r="A3683" s="1" t="str">
        <f ca="1">IFERROR(__xludf.DUMMYFUNCTION("""COMPUTED_VALUE"""),"MAFC")</f>
        <v>MAFC</v>
      </c>
      <c r="B3683" s="1" t="str">
        <f ca="1">IFERROR(__xludf.DUMMYFUNCTION("""COMPUTED_VALUE"""),"Sümegi Gábor")</f>
        <v>Sümegi Gábor</v>
      </c>
      <c r="C3683" s="1"/>
      <c r="D3683" s="1" t="str">
        <f ca="1">IFERROR(__xludf.DUMMYFUNCTION("""COMPUTED_VALUE"""),"Férfi")</f>
        <v>Férfi</v>
      </c>
      <c r="E3683" s="1"/>
      <c r="F3683" s="1">
        <f ca="1">IFERROR(__xludf.DUMMYFUNCTION("""COMPUTED_VALUE"""),1988)</f>
        <v>1988</v>
      </c>
      <c r="G3683" s="1">
        <f ca="1">IFERROR(__xludf.DUMMYFUNCTION("""COMPUTED_VALUE"""),877)</f>
        <v>877</v>
      </c>
      <c r="H3683" s="1" t="str">
        <f ca="1">IFERROR(__xludf.DUMMYFUNCTION("""COMPUTED_VALUE"""),"MTLSZ000877A03")</f>
        <v>MTLSZ000877A03</v>
      </c>
      <c r="I3683" s="2">
        <f ca="1">IFERROR(__xludf.DUMMYFUNCTION("""COMPUTED_VALUE"""),37876)</f>
        <v>37876</v>
      </c>
      <c r="J3683" s="2">
        <f ca="1">IFERROR(__xludf.DUMMYFUNCTION("""COMPUTED_VALUE"""),38241)</f>
        <v>38241</v>
      </c>
    </row>
    <row r="3684" spans="1:10" x14ac:dyDescent="0.25">
      <c r="A3684" s="1" t="str">
        <f ca="1">IFERROR(__xludf.DUMMYFUNCTION("""COMPUTED_VALUE"""),"DSK")</f>
        <v>DSK</v>
      </c>
      <c r="B3684" s="1" t="str">
        <f ca="1">IFERROR(__xludf.DUMMYFUNCTION("""COMPUTED_VALUE"""),"Nagy Petra")</f>
        <v>Nagy Petra</v>
      </c>
      <c r="C3684" s="1"/>
      <c r="D3684" s="1" t="str">
        <f ca="1">IFERROR(__xludf.DUMMYFUNCTION("""COMPUTED_VALUE"""),"Nő")</f>
        <v>Nő</v>
      </c>
      <c r="E3684" s="1"/>
      <c r="F3684" s="1">
        <f ca="1">IFERROR(__xludf.DUMMYFUNCTION("""COMPUTED_VALUE"""),1990)</f>
        <v>1990</v>
      </c>
      <c r="G3684" s="1">
        <f ca="1">IFERROR(__xludf.DUMMYFUNCTION("""COMPUTED_VALUE"""),695)</f>
        <v>695</v>
      </c>
      <c r="H3684" s="1" t="str">
        <f ca="1">IFERROR(__xludf.DUMMYFUNCTION("""COMPUTED_VALUE"""),"MTLSZ000695A03")</f>
        <v>MTLSZ000695A03</v>
      </c>
      <c r="I3684" s="2">
        <f ca="1">IFERROR(__xludf.DUMMYFUNCTION("""COMPUTED_VALUE"""),37875)</f>
        <v>37875</v>
      </c>
      <c r="J3684" s="2">
        <f ca="1">IFERROR(__xludf.DUMMYFUNCTION("""COMPUTED_VALUE"""),38240)</f>
        <v>38240</v>
      </c>
    </row>
    <row r="3685" spans="1:10" x14ac:dyDescent="0.25">
      <c r="A3685" s="1" t="str">
        <f ca="1">IFERROR(__xludf.DUMMYFUNCTION("""COMPUTED_VALUE"""),"DSK")</f>
        <v>DSK</v>
      </c>
      <c r="B3685" s="1" t="str">
        <f ca="1">IFERROR(__xludf.DUMMYFUNCTION("""COMPUTED_VALUE"""),"Szluka Szintia")</f>
        <v>Szluka Szintia</v>
      </c>
      <c r="C3685" s="1"/>
      <c r="D3685" s="1" t="str">
        <f ca="1">IFERROR(__xludf.DUMMYFUNCTION("""COMPUTED_VALUE"""),"Nő")</f>
        <v>Nő</v>
      </c>
      <c r="E3685" s="1"/>
      <c r="F3685" s="1">
        <f ca="1">IFERROR(__xludf.DUMMYFUNCTION("""COMPUTED_VALUE"""),1989)</f>
        <v>1989</v>
      </c>
      <c r="G3685" s="1">
        <f ca="1">IFERROR(__xludf.DUMMYFUNCTION("""COMPUTED_VALUE"""),959)</f>
        <v>959</v>
      </c>
      <c r="H3685" s="1" t="str">
        <f ca="1">IFERROR(__xludf.DUMMYFUNCTION("""COMPUTED_VALUE"""),"MTLSZ000959A03")</f>
        <v>MTLSZ000959A03</v>
      </c>
      <c r="I3685" s="2">
        <f ca="1">IFERROR(__xludf.DUMMYFUNCTION("""COMPUTED_VALUE"""),37875)</f>
        <v>37875</v>
      </c>
      <c r="J3685" s="2">
        <f ca="1">IFERROR(__xludf.DUMMYFUNCTION("""COMPUTED_VALUE"""),38240)</f>
        <v>38240</v>
      </c>
    </row>
    <row r="3686" spans="1:10" x14ac:dyDescent="0.25">
      <c r="A3686" s="1" t="str">
        <f ca="1">IFERROR(__xludf.DUMMYFUNCTION("""COMPUTED_VALUE"""),"Kilián Iskola DSE")</f>
        <v>Kilián Iskola DSE</v>
      </c>
      <c r="B3686" s="1" t="str">
        <f ca="1">IFERROR(__xludf.DUMMYFUNCTION("""COMPUTED_VALUE"""),"Fejes Ádám")</f>
        <v>Fejes Ádám</v>
      </c>
      <c r="C3686" s="1"/>
      <c r="D3686" s="1" t="str">
        <f ca="1">IFERROR(__xludf.DUMMYFUNCTION("""COMPUTED_VALUE"""),"Férfi")</f>
        <v>Férfi</v>
      </c>
      <c r="E3686" s="1"/>
      <c r="F3686" s="1">
        <f ca="1">IFERROR(__xludf.DUMMYFUNCTION("""COMPUTED_VALUE"""),1990)</f>
        <v>1990</v>
      </c>
      <c r="G3686" s="1">
        <f ca="1">IFERROR(__xludf.DUMMYFUNCTION("""COMPUTED_VALUE"""),242)</f>
        <v>242</v>
      </c>
      <c r="H3686" s="1" t="str">
        <f ca="1">IFERROR(__xludf.DUMMYFUNCTION("""COMPUTED_VALUE"""),"MTLSZ000242A03")</f>
        <v>MTLSZ000242A03</v>
      </c>
      <c r="I3686" s="2">
        <f ca="1">IFERROR(__xludf.DUMMYFUNCTION("""COMPUTED_VALUE"""),37875)</f>
        <v>37875</v>
      </c>
      <c r="J3686" s="2">
        <f ca="1">IFERROR(__xludf.DUMMYFUNCTION("""COMPUTED_VALUE"""),38240)</f>
        <v>38240</v>
      </c>
    </row>
    <row r="3687" spans="1:10" x14ac:dyDescent="0.25">
      <c r="A3687" s="1" t="str">
        <f ca="1">IFERROR(__xludf.DUMMYFUNCTION("""COMPUTED_VALUE"""),"Kilián Iskola DSE")</f>
        <v>Kilián Iskola DSE</v>
      </c>
      <c r="B3687" s="1" t="str">
        <f ca="1">IFERROR(__xludf.DUMMYFUNCTION("""COMPUTED_VALUE"""),"Nagy Béla")</f>
        <v>Nagy Béla</v>
      </c>
      <c r="C3687" s="1"/>
      <c r="D3687" s="1" t="str">
        <f ca="1">IFERROR(__xludf.DUMMYFUNCTION("""COMPUTED_VALUE"""),"Férfi")</f>
        <v>Férfi</v>
      </c>
      <c r="E3687" s="1"/>
      <c r="F3687" s="1">
        <f ca="1">IFERROR(__xludf.DUMMYFUNCTION("""COMPUTED_VALUE"""),1990)</f>
        <v>1990</v>
      </c>
      <c r="G3687" s="1">
        <f ca="1">IFERROR(__xludf.DUMMYFUNCTION("""COMPUTED_VALUE"""),679)</f>
        <v>679</v>
      </c>
      <c r="H3687" s="1" t="str">
        <f ca="1">IFERROR(__xludf.DUMMYFUNCTION("""COMPUTED_VALUE"""),"MTLSZ000679A03")</f>
        <v>MTLSZ000679A03</v>
      </c>
      <c r="I3687" s="2">
        <f ca="1">IFERROR(__xludf.DUMMYFUNCTION("""COMPUTED_VALUE"""),37875)</f>
        <v>37875</v>
      </c>
      <c r="J3687" s="2">
        <f ca="1">IFERROR(__xludf.DUMMYFUNCTION("""COMPUTED_VALUE"""),38240)</f>
        <v>38240</v>
      </c>
    </row>
    <row r="3688" spans="1:10" x14ac:dyDescent="0.25">
      <c r="A3688" s="1" t="str">
        <f ca="1">IFERROR(__xludf.DUMMYFUNCTION("""COMPUTED_VALUE"""),"Reac SE")</f>
        <v>Reac SE</v>
      </c>
      <c r="B3688" s="1" t="str">
        <f ca="1">IFERROR(__xludf.DUMMYFUNCTION("""COMPUTED_VALUE"""),"Cserpes Barnabás")</f>
        <v>Cserpes Barnabás</v>
      </c>
      <c r="C3688" s="1"/>
      <c r="D3688" s="1" t="str">
        <f ca="1">IFERROR(__xludf.DUMMYFUNCTION("""COMPUTED_VALUE"""),"Férfi")</f>
        <v>Férfi</v>
      </c>
      <c r="E3688" s="1"/>
      <c r="F3688" s="1">
        <f ca="1">IFERROR(__xludf.DUMMYFUNCTION("""COMPUTED_VALUE"""),1991)</f>
        <v>1991</v>
      </c>
      <c r="G3688" s="1">
        <f ca="1">IFERROR(__xludf.DUMMYFUNCTION("""COMPUTED_VALUE"""),1217)</f>
        <v>1217</v>
      </c>
      <c r="H3688" s="1" t="str">
        <f ca="1">IFERROR(__xludf.DUMMYFUNCTION("""COMPUTED_VALUE"""),"MTLSZ001217A03")</f>
        <v>MTLSZ001217A03</v>
      </c>
      <c r="I3688" s="2">
        <f ca="1">IFERROR(__xludf.DUMMYFUNCTION("""COMPUTED_VALUE"""),37875)</f>
        <v>37875</v>
      </c>
      <c r="J3688" s="2">
        <f ca="1">IFERROR(__xludf.DUMMYFUNCTION("""COMPUTED_VALUE"""),38240)</f>
        <v>38240</v>
      </c>
    </row>
    <row r="3689" spans="1:10" x14ac:dyDescent="0.25">
      <c r="A3689" s="1" t="str">
        <f ca="1">IFERROR(__xludf.DUMMYFUNCTION("""COMPUTED_VALUE"""),"Reac SE")</f>
        <v>Reac SE</v>
      </c>
      <c r="B3689" s="1" t="str">
        <f ca="1">IFERROR(__xludf.DUMMYFUNCTION("""COMPUTED_VALUE"""),"Cserpes Fábián")</f>
        <v>Cserpes Fábián</v>
      </c>
      <c r="C3689" s="1"/>
      <c r="D3689" s="1" t="str">
        <f ca="1">IFERROR(__xludf.DUMMYFUNCTION("""COMPUTED_VALUE"""),"Férfi")</f>
        <v>Férfi</v>
      </c>
      <c r="E3689" s="1"/>
      <c r="F3689" s="1">
        <f ca="1">IFERROR(__xludf.DUMMYFUNCTION("""COMPUTED_VALUE"""),1989)</f>
        <v>1989</v>
      </c>
      <c r="G3689" s="1">
        <f ca="1">IFERROR(__xludf.DUMMYFUNCTION("""COMPUTED_VALUE"""),1218)</f>
        <v>1218</v>
      </c>
      <c r="H3689" s="1" t="str">
        <f ca="1">IFERROR(__xludf.DUMMYFUNCTION("""COMPUTED_VALUE"""),"MTLSZ001218A03")</f>
        <v>MTLSZ001218A03</v>
      </c>
      <c r="I3689" s="2">
        <f ca="1">IFERROR(__xludf.DUMMYFUNCTION("""COMPUTED_VALUE"""),37875)</f>
        <v>37875</v>
      </c>
      <c r="J3689" s="2">
        <f ca="1">IFERROR(__xludf.DUMMYFUNCTION("""COMPUTED_VALUE"""),38240)</f>
        <v>38240</v>
      </c>
    </row>
    <row r="3690" spans="1:10" x14ac:dyDescent="0.25">
      <c r="A3690" s="1" t="str">
        <f ca="1">IFERROR(__xludf.DUMMYFUNCTION("""COMPUTED_VALUE"""),"Reac SE")</f>
        <v>Reac SE</v>
      </c>
      <c r="B3690" s="1" t="str">
        <f ca="1">IFERROR(__xludf.DUMMYFUNCTION("""COMPUTED_VALUE"""),"Deák Orsolya")</f>
        <v>Deák Orsolya</v>
      </c>
      <c r="C3690" s="1"/>
      <c r="D3690" s="1" t="str">
        <f ca="1">IFERROR(__xludf.DUMMYFUNCTION("""COMPUTED_VALUE"""),"Nő")</f>
        <v>Nő</v>
      </c>
      <c r="E3690" s="1"/>
      <c r="F3690" s="1">
        <f ca="1">IFERROR(__xludf.DUMMYFUNCTION("""COMPUTED_VALUE"""),1987)</f>
        <v>1987</v>
      </c>
      <c r="G3690" s="1">
        <f ca="1">IFERROR(__xludf.DUMMYFUNCTION("""COMPUTED_VALUE"""),182)</f>
        <v>182</v>
      </c>
      <c r="H3690" s="1" t="str">
        <f ca="1">IFERROR(__xludf.DUMMYFUNCTION("""COMPUTED_VALUE"""),"MTLSZ000182A03")</f>
        <v>MTLSZ000182A03</v>
      </c>
      <c r="I3690" s="2">
        <f ca="1">IFERROR(__xludf.DUMMYFUNCTION("""COMPUTED_VALUE"""),37875)</f>
        <v>37875</v>
      </c>
      <c r="J3690" s="2">
        <f ca="1">IFERROR(__xludf.DUMMYFUNCTION("""COMPUTED_VALUE"""),38240)</f>
        <v>38240</v>
      </c>
    </row>
    <row r="3691" spans="1:10" x14ac:dyDescent="0.25">
      <c r="A3691" s="1" t="str">
        <f ca="1">IFERROR(__xludf.DUMMYFUNCTION("""COMPUTED_VALUE"""),"Reac SE")</f>
        <v>Reac SE</v>
      </c>
      <c r="B3691" s="1" t="str">
        <f ca="1">IFERROR(__xludf.DUMMYFUNCTION("""COMPUTED_VALUE"""),"Gulyás Viktor")</f>
        <v>Gulyás Viktor</v>
      </c>
      <c r="C3691" s="1"/>
      <c r="D3691" s="1" t="str">
        <f ca="1">IFERROR(__xludf.DUMMYFUNCTION("""COMPUTED_VALUE"""),"Férfi")</f>
        <v>Férfi</v>
      </c>
      <c r="E3691" s="1"/>
      <c r="F3691" s="1">
        <f ca="1">IFERROR(__xludf.DUMMYFUNCTION("""COMPUTED_VALUE"""),1985)</f>
        <v>1985</v>
      </c>
      <c r="G3691" s="1">
        <f ca="1">IFERROR(__xludf.DUMMYFUNCTION("""COMPUTED_VALUE"""),313)</f>
        <v>313</v>
      </c>
      <c r="H3691" s="1" t="str">
        <f ca="1">IFERROR(__xludf.DUMMYFUNCTION("""COMPUTED_VALUE"""),"MTLSZ000313A03")</f>
        <v>MTLSZ000313A03</v>
      </c>
      <c r="I3691" s="2">
        <f ca="1">IFERROR(__xludf.DUMMYFUNCTION("""COMPUTED_VALUE"""),37875)</f>
        <v>37875</v>
      </c>
      <c r="J3691" s="2">
        <f ca="1">IFERROR(__xludf.DUMMYFUNCTION("""COMPUTED_VALUE"""),38240)</f>
        <v>38240</v>
      </c>
    </row>
    <row r="3692" spans="1:10" x14ac:dyDescent="0.25">
      <c r="A3692" s="1" t="str">
        <f ca="1">IFERROR(__xludf.DUMMYFUNCTION("""COMPUTED_VALUE"""),"Reac SE")</f>
        <v>Reac SE</v>
      </c>
      <c r="B3692" s="1" t="str">
        <f ca="1">IFERROR(__xludf.DUMMYFUNCTION("""COMPUTED_VALUE"""),"Virág Fanny")</f>
        <v>Virág Fanny</v>
      </c>
      <c r="C3692" s="1"/>
      <c r="D3692" s="1" t="str">
        <f ca="1">IFERROR(__xludf.DUMMYFUNCTION("""COMPUTED_VALUE"""),"Nő")</f>
        <v>Nő</v>
      </c>
      <c r="E3692" s="1"/>
      <c r="F3692" s="1">
        <f ca="1">IFERROR(__xludf.DUMMYFUNCTION("""COMPUTED_VALUE"""),1986)</f>
        <v>1986</v>
      </c>
      <c r="G3692" s="1">
        <f ca="1">IFERROR(__xludf.DUMMYFUNCTION("""COMPUTED_VALUE"""),1124)</f>
        <v>1124</v>
      </c>
      <c r="H3692" s="1" t="str">
        <f ca="1">IFERROR(__xludf.DUMMYFUNCTION("""COMPUTED_VALUE"""),"MTLSZ001124A03")</f>
        <v>MTLSZ001124A03</v>
      </c>
      <c r="I3692" s="2">
        <f ca="1">IFERROR(__xludf.DUMMYFUNCTION("""COMPUTED_VALUE"""),37875)</f>
        <v>37875</v>
      </c>
      <c r="J3692" s="2">
        <f ca="1">IFERROR(__xludf.DUMMYFUNCTION("""COMPUTED_VALUE"""),38240)</f>
        <v>38240</v>
      </c>
    </row>
    <row r="3693" spans="1:10" x14ac:dyDescent="0.25">
      <c r="A3693" s="1" t="str">
        <f ca="1">IFERROR(__xludf.DUMMYFUNCTION("""COMPUTED_VALUE"""),"Ságvári DSE")</f>
        <v>Ságvári DSE</v>
      </c>
      <c r="B3693" s="1" t="str">
        <f ca="1">IFERROR(__xludf.DUMMYFUNCTION("""COMPUTED_VALUE"""),"Tihanyi Attila")</f>
        <v>Tihanyi Attila</v>
      </c>
      <c r="C3693" s="1"/>
      <c r="D3693" s="1" t="str">
        <f ca="1">IFERROR(__xludf.DUMMYFUNCTION("""COMPUTED_VALUE"""),"Férfi")</f>
        <v>Férfi</v>
      </c>
      <c r="E3693" s="1"/>
      <c r="F3693" s="1">
        <f ca="1">IFERROR(__xludf.DUMMYFUNCTION("""COMPUTED_VALUE"""),1985)</f>
        <v>1985</v>
      </c>
      <c r="G3693" s="1">
        <f ca="1">IFERROR(__xludf.DUMMYFUNCTION("""COMPUTED_VALUE"""),1008)</f>
        <v>1008</v>
      </c>
      <c r="H3693" s="1" t="str">
        <f ca="1">IFERROR(__xludf.DUMMYFUNCTION("""COMPUTED_VALUE"""),"MTLSZ001008A03")</f>
        <v>MTLSZ001008A03</v>
      </c>
      <c r="I3693" s="2">
        <f ca="1">IFERROR(__xludf.DUMMYFUNCTION("""COMPUTED_VALUE"""),37875)</f>
        <v>37875</v>
      </c>
      <c r="J3693" s="2">
        <f ca="1">IFERROR(__xludf.DUMMYFUNCTION("""COMPUTED_VALUE"""),38240)</f>
        <v>38240</v>
      </c>
    </row>
    <row r="3694" spans="1:10" x14ac:dyDescent="0.25">
      <c r="A3694" s="1" t="str">
        <f ca="1">IFERROR(__xludf.DUMMYFUNCTION("""COMPUTED_VALUE"""),"Ságvári DSE")</f>
        <v>Ságvári DSE</v>
      </c>
      <c r="B3694" s="1" t="str">
        <f ca="1">IFERROR(__xludf.DUMMYFUNCTION("""COMPUTED_VALUE"""),"Tóth Anna Zsófia")</f>
        <v>Tóth Anna Zsófia</v>
      </c>
      <c r="C3694" s="1"/>
      <c r="D3694" s="1" t="str">
        <f ca="1">IFERROR(__xludf.DUMMYFUNCTION("""COMPUTED_VALUE"""),"Nő")</f>
        <v>Nő</v>
      </c>
      <c r="E3694" s="1"/>
      <c r="F3694" s="1">
        <f ca="1">IFERROR(__xludf.DUMMYFUNCTION("""COMPUTED_VALUE"""),1989)</f>
        <v>1989</v>
      </c>
      <c r="G3694" s="1">
        <f ca="1">IFERROR(__xludf.DUMMYFUNCTION("""COMPUTED_VALUE"""),1026)</f>
        <v>1026</v>
      </c>
      <c r="H3694" s="1" t="str">
        <f ca="1">IFERROR(__xludf.DUMMYFUNCTION("""COMPUTED_VALUE"""),"MTLSZ001026A03")</f>
        <v>MTLSZ001026A03</v>
      </c>
      <c r="I3694" s="2">
        <f ca="1">IFERROR(__xludf.DUMMYFUNCTION("""COMPUTED_VALUE"""),37875)</f>
        <v>37875</v>
      </c>
      <c r="J3694" s="2">
        <f ca="1">IFERROR(__xludf.DUMMYFUNCTION("""COMPUTED_VALUE"""),38240)</f>
        <v>38240</v>
      </c>
    </row>
    <row r="3695" spans="1:10" x14ac:dyDescent="0.25">
      <c r="A3695" s="1" t="str">
        <f ca="1">IFERROR(__xludf.DUMMYFUNCTION("""COMPUTED_VALUE"""),"Segesi DE")</f>
        <v>Segesi DE</v>
      </c>
      <c r="B3695" s="1" t="str">
        <f ca="1">IFERROR(__xludf.DUMMYFUNCTION("""COMPUTED_VALUE"""),"Árpási Csilla")</f>
        <v>Árpási Csilla</v>
      </c>
      <c r="C3695" s="1"/>
      <c r="D3695" s="1" t="str">
        <f ca="1">IFERROR(__xludf.DUMMYFUNCTION("""COMPUTED_VALUE"""),"Nő")</f>
        <v>Nő</v>
      </c>
      <c r="E3695" s="1"/>
      <c r="F3695" s="1">
        <f ca="1">IFERROR(__xludf.DUMMYFUNCTION("""COMPUTED_VALUE"""),1991)</f>
        <v>1991</v>
      </c>
      <c r="G3695" s="1">
        <f ca="1">IFERROR(__xludf.DUMMYFUNCTION("""COMPUTED_VALUE"""),1391)</f>
        <v>1391</v>
      </c>
      <c r="H3695" s="1" t="str">
        <f ca="1">IFERROR(__xludf.DUMMYFUNCTION("""COMPUTED_VALUE"""),"MTLSZ001391A03")</f>
        <v>MTLSZ001391A03</v>
      </c>
      <c r="I3695" s="2">
        <f ca="1">IFERROR(__xludf.DUMMYFUNCTION("""COMPUTED_VALUE"""),37873)</f>
        <v>37873</v>
      </c>
      <c r="J3695" s="2">
        <f ca="1">IFERROR(__xludf.DUMMYFUNCTION("""COMPUTED_VALUE"""),38238)</f>
        <v>38238</v>
      </c>
    </row>
    <row r="3696" spans="1:10" x14ac:dyDescent="0.25">
      <c r="A3696" s="1" t="str">
        <f ca="1">IFERROR(__xludf.DUMMYFUNCTION("""COMPUTED_VALUE"""),"Segesi DE")</f>
        <v>Segesi DE</v>
      </c>
      <c r="B3696" s="1" t="str">
        <f ca="1">IFERROR(__xludf.DUMMYFUNCTION("""COMPUTED_VALUE"""),"Konkoly Mónika")</f>
        <v>Konkoly Mónika</v>
      </c>
      <c r="C3696" s="1"/>
      <c r="D3696" s="1" t="str">
        <f ca="1">IFERROR(__xludf.DUMMYFUNCTION("""COMPUTED_VALUE"""),"Nő")</f>
        <v>Nő</v>
      </c>
      <c r="E3696" s="1"/>
      <c r="F3696" s="1">
        <f ca="1">IFERROR(__xludf.DUMMYFUNCTION("""COMPUTED_VALUE"""),1989)</f>
        <v>1989</v>
      </c>
      <c r="G3696" s="1">
        <f ca="1">IFERROR(__xludf.DUMMYFUNCTION("""COMPUTED_VALUE"""),1392)</f>
        <v>1392</v>
      </c>
      <c r="H3696" s="1" t="str">
        <f ca="1">IFERROR(__xludf.DUMMYFUNCTION("""COMPUTED_VALUE"""),"MTLSZ001392A03")</f>
        <v>MTLSZ001392A03</v>
      </c>
      <c r="I3696" s="2">
        <f ca="1">IFERROR(__xludf.DUMMYFUNCTION("""COMPUTED_VALUE"""),37873)</f>
        <v>37873</v>
      </c>
      <c r="J3696" s="2">
        <f ca="1">IFERROR(__xludf.DUMMYFUNCTION("""COMPUTED_VALUE"""),38238)</f>
        <v>38238</v>
      </c>
    </row>
    <row r="3697" spans="1:10" x14ac:dyDescent="0.25">
      <c r="A3697" s="1" t="str">
        <f ca="1">IFERROR(__xludf.DUMMYFUNCTION("""COMPUTED_VALUE"""),"Gyöngyösoroszi SK")</f>
        <v>Gyöngyösoroszi SK</v>
      </c>
      <c r="B3697" s="1" t="str">
        <f ca="1">IFERROR(__xludf.DUMMYFUNCTION("""COMPUTED_VALUE"""),"Horváth Mihály")</f>
        <v>Horváth Mihály</v>
      </c>
      <c r="C3697" s="1"/>
      <c r="D3697" s="1" t="str">
        <f ca="1">IFERROR(__xludf.DUMMYFUNCTION("""COMPUTED_VALUE"""),"Férfi")</f>
        <v>Férfi</v>
      </c>
      <c r="E3697" s="1"/>
      <c r="F3697" s="1">
        <f ca="1">IFERROR(__xludf.DUMMYFUNCTION("""COMPUTED_VALUE"""),1987)</f>
        <v>1987</v>
      </c>
      <c r="G3697" s="1">
        <f ca="1">IFERROR(__xludf.DUMMYFUNCTION("""COMPUTED_VALUE"""),378)</f>
        <v>378</v>
      </c>
      <c r="H3697" s="1" t="str">
        <f ca="1">IFERROR(__xludf.DUMMYFUNCTION("""COMPUTED_VALUE"""),"MTLSZ000378A03")</f>
        <v>MTLSZ000378A03</v>
      </c>
      <c r="I3697" s="2">
        <f ca="1">IFERROR(__xludf.DUMMYFUNCTION("""COMPUTED_VALUE"""),37869)</f>
        <v>37869</v>
      </c>
      <c r="J3697" s="2">
        <f ca="1">IFERROR(__xludf.DUMMYFUNCTION("""COMPUTED_VALUE"""),38234)</f>
        <v>38234</v>
      </c>
    </row>
    <row r="3698" spans="1:10" x14ac:dyDescent="0.25">
      <c r="A3698" s="1" t="str">
        <f ca="1">IFERROR(__xludf.DUMMYFUNCTION("""COMPUTED_VALUE"""),"Gyöngyösoroszi SK")</f>
        <v>Gyöngyösoroszi SK</v>
      </c>
      <c r="B3698" s="1" t="str">
        <f ca="1">IFERROR(__xludf.DUMMYFUNCTION("""COMPUTED_VALUE"""),"Lőrincz István")</f>
        <v>Lőrincz István</v>
      </c>
      <c r="C3698" s="1"/>
      <c r="D3698" s="1" t="str">
        <f ca="1">IFERROR(__xludf.DUMMYFUNCTION("""COMPUTED_VALUE"""),"Férfi")</f>
        <v>Férfi</v>
      </c>
      <c r="E3698" s="1"/>
      <c r="F3698" s="1">
        <f ca="1">IFERROR(__xludf.DUMMYFUNCTION("""COMPUTED_VALUE"""),1986)</f>
        <v>1986</v>
      </c>
      <c r="G3698" s="1">
        <f ca="1">IFERROR(__xludf.DUMMYFUNCTION("""COMPUTED_VALUE"""),594)</f>
        <v>594</v>
      </c>
      <c r="H3698" s="1" t="str">
        <f ca="1">IFERROR(__xludf.DUMMYFUNCTION("""COMPUTED_VALUE"""),"MTLSZ000594A03")</f>
        <v>MTLSZ000594A03</v>
      </c>
      <c r="I3698" s="2">
        <f ca="1">IFERROR(__xludf.DUMMYFUNCTION("""COMPUTED_VALUE"""),37869)</f>
        <v>37869</v>
      </c>
      <c r="J3698" s="2">
        <f ca="1">IFERROR(__xludf.DUMMYFUNCTION("""COMPUTED_VALUE"""),38234)</f>
        <v>38234</v>
      </c>
    </row>
    <row r="3699" spans="1:10" x14ac:dyDescent="0.25">
      <c r="A3699" s="1" t="str">
        <f ca="1">IFERROR(__xludf.DUMMYFUNCTION("""COMPUTED_VALUE"""),"Gyöngyösoroszi SK")</f>
        <v>Gyöngyösoroszi SK</v>
      </c>
      <c r="B3699" s="1" t="str">
        <f ca="1">IFERROR(__xludf.DUMMYFUNCTION("""COMPUTED_VALUE"""),"Lőrincz Tibor")</f>
        <v>Lőrincz Tibor</v>
      </c>
      <c r="C3699" s="1"/>
      <c r="D3699" s="1" t="str">
        <f ca="1">IFERROR(__xludf.DUMMYFUNCTION("""COMPUTED_VALUE"""),"Férfi")</f>
        <v>Férfi</v>
      </c>
      <c r="E3699" s="1"/>
      <c r="F3699" s="1">
        <f ca="1">IFERROR(__xludf.DUMMYFUNCTION("""COMPUTED_VALUE"""),1981)</f>
        <v>1981</v>
      </c>
      <c r="G3699" s="1">
        <f ca="1">IFERROR(__xludf.DUMMYFUNCTION("""COMPUTED_VALUE"""),595)</f>
        <v>595</v>
      </c>
      <c r="H3699" s="1" t="str">
        <f ca="1">IFERROR(__xludf.DUMMYFUNCTION("""COMPUTED_VALUE"""),"MTLSZ000595A03")</f>
        <v>MTLSZ000595A03</v>
      </c>
      <c r="I3699" s="2">
        <f ca="1">IFERROR(__xludf.DUMMYFUNCTION("""COMPUTED_VALUE"""),37869)</f>
        <v>37869</v>
      </c>
      <c r="J3699" s="2">
        <f ca="1">IFERROR(__xludf.DUMMYFUNCTION("""COMPUTED_VALUE"""),38234)</f>
        <v>38234</v>
      </c>
    </row>
    <row r="3700" spans="1:10" x14ac:dyDescent="0.25">
      <c r="A3700" s="1" t="str">
        <f ca="1">IFERROR(__xludf.DUMMYFUNCTION("""COMPUTED_VALUE"""),"Gyöngyösoroszi SK")</f>
        <v>Gyöngyösoroszi SK</v>
      </c>
      <c r="B3700" s="1" t="str">
        <f ca="1">IFERROR(__xludf.DUMMYFUNCTION("""COMPUTED_VALUE"""),"Molnár Gabriella")</f>
        <v>Molnár Gabriella</v>
      </c>
      <c r="C3700" s="1"/>
      <c r="D3700" s="1" t="str">
        <f ca="1">IFERROR(__xludf.DUMMYFUNCTION("""COMPUTED_VALUE"""),"Nő")</f>
        <v>Nő</v>
      </c>
      <c r="E3700" s="1"/>
      <c r="F3700" s="1">
        <f ca="1">IFERROR(__xludf.DUMMYFUNCTION("""COMPUTED_VALUE"""),1982)</f>
        <v>1982</v>
      </c>
      <c r="G3700" s="1">
        <f ca="1">IFERROR(__xludf.DUMMYFUNCTION("""COMPUTED_VALUE"""),662)</f>
        <v>662</v>
      </c>
      <c r="H3700" s="1" t="str">
        <f ca="1">IFERROR(__xludf.DUMMYFUNCTION("""COMPUTED_VALUE"""),"MTLSZ000662A03")</f>
        <v>MTLSZ000662A03</v>
      </c>
      <c r="I3700" s="2">
        <f ca="1">IFERROR(__xludf.DUMMYFUNCTION("""COMPUTED_VALUE"""),37869)</f>
        <v>37869</v>
      </c>
      <c r="J3700" s="2">
        <f ca="1">IFERROR(__xludf.DUMMYFUNCTION("""COMPUTED_VALUE"""),38234)</f>
        <v>38234</v>
      </c>
    </row>
    <row r="3701" spans="1:10" x14ac:dyDescent="0.25">
      <c r="A3701" s="1" t="str">
        <f ca="1">IFERROR(__xludf.DUMMYFUNCTION("""COMPUTED_VALUE"""),"Gyöngyösoroszi SK")</f>
        <v>Gyöngyösoroszi SK</v>
      </c>
      <c r="B3701" s="1" t="str">
        <f ca="1">IFERROR(__xludf.DUMMYFUNCTION("""COMPUTED_VALUE"""),"Molnár Martin")</f>
        <v>Molnár Martin</v>
      </c>
      <c r="C3701" s="1"/>
      <c r="D3701" s="1" t="str">
        <f ca="1">IFERROR(__xludf.DUMMYFUNCTION("""COMPUTED_VALUE"""),"Férfi")</f>
        <v>Férfi</v>
      </c>
      <c r="E3701" s="1"/>
      <c r="F3701" s="1">
        <f ca="1">IFERROR(__xludf.DUMMYFUNCTION("""COMPUTED_VALUE"""),1993)</f>
        <v>1993</v>
      </c>
      <c r="G3701" s="1">
        <f ca="1">IFERROR(__xludf.DUMMYFUNCTION("""COMPUTED_VALUE"""),1389)</f>
        <v>1389</v>
      </c>
      <c r="H3701" s="1" t="str">
        <f ca="1">IFERROR(__xludf.DUMMYFUNCTION("""COMPUTED_VALUE"""),"MTLSZ001389A03")</f>
        <v>MTLSZ001389A03</v>
      </c>
      <c r="I3701" s="2">
        <f ca="1">IFERROR(__xludf.DUMMYFUNCTION("""COMPUTED_VALUE"""),37869)</f>
        <v>37869</v>
      </c>
      <c r="J3701" s="2">
        <f ca="1">IFERROR(__xludf.DUMMYFUNCTION("""COMPUTED_VALUE"""),38234)</f>
        <v>38234</v>
      </c>
    </row>
    <row r="3702" spans="1:10" x14ac:dyDescent="0.25">
      <c r="A3702" s="1" t="str">
        <f ca="1">IFERROR(__xludf.DUMMYFUNCTION("""COMPUTED_VALUE"""),"Gyöngyösoroszi SK")</f>
        <v>Gyöngyösoroszi SK</v>
      </c>
      <c r="B3702" s="1" t="str">
        <f ca="1">IFERROR(__xludf.DUMMYFUNCTION("""COMPUTED_VALUE"""),"Szőke György")</f>
        <v>Szőke György</v>
      </c>
      <c r="C3702" s="1"/>
      <c r="D3702" s="1" t="str">
        <f ca="1">IFERROR(__xludf.DUMMYFUNCTION("""COMPUTED_VALUE"""),"Férfi")</f>
        <v>Férfi</v>
      </c>
      <c r="E3702" s="1"/>
      <c r="F3702" s="1">
        <f ca="1">IFERROR(__xludf.DUMMYFUNCTION("""COMPUTED_VALUE"""),1982)</f>
        <v>1982</v>
      </c>
      <c r="G3702" s="1">
        <f ca="1">IFERROR(__xludf.DUMMYFUNCTION("""COMPUTED_VALUE"""),962)</f>
        <v>962</v>
      </c>
      <c r="H3702" s="1" t="str">
        <f ca="1">IFERROR(__xludf.DUMMYFUNCTION("""COMPUTED_VALUE"""),"MTLSZ000962A03")</f>
        <v>MTLSZ000962A03</v>
      </c>
      <c r="I3702" s="2">
        <f ca="1">IFERROR(__xludf.DUMMYFUNCTION("""COMPUTED_VALUE"""),37869)</f>
        <v>37869</v>
      </c>
      <c r="J3702" s="2">
        <f ca="1">IFERROR(__xludf.DUMMYFUNCTION("""COMPUTED_VALUE"""),38234)</f>
        <v>38234</v>
      </c>
    </row>
    <row r="3703" spans="1:10" x14ac:dyDescent="0.25">
      <c r="A3703" s="1" t="str">
        <f ca="1">IFERROR(__xludf.DUMMYFUNCTION("""COMPUTED_VALUE"""),"Gyöngyösoroszi SK")</f>
        <v>Gyöngyösoroszi SK</v>
      </c>
      <c r="B3703" s="1" t="str">
        <f ca="1">IFERROR(__xludf.DUMMYFUNCTION("""COMPUTED_VALUE"""),"Tóth Judit")</f>
        <v>Tóth Judit</v>
      </c>
      <c r="C3703" s="1"/>
      <c r="D3703" s="1" t="str">
        <f ca="1">IFERROR(__xludf.DUMMYFUNCTION("""COMPUTED_VALUE"""),"Nő")</f>
        <v>Nő</v>
      </c>
      <c r="E3703" s="1"/>
      <c r="F3703" s="1">
        <f ca="1">IFERROR(__xludf.DUMMYFUNCTION("""COMPUTED_VALUE"""),1987)</f>
        <v>1987</v>
      </c>
      <c r="G3703" s="1">
        <f ca="1">IFERROR(__xludf.DUMMYFUNCTION("""COMPUTED_VALUE"""),1035)</f>
        <v>1035</v>
      </c>
      <c r="H3703" s="1" t="str">
        <f ca="1">IFERROR(__xludf.DUMMYFUNCTION("""COMPUTED_VALUE"""),"MTLSZ001035A03")</f>
        <v>MTLSZ001035A03</v>
      </c>
      <c r="I3703" s="2">
        <f ca="1">IFERROR(__xludf.DUMMYFUNCTION("""COMPUTED_VALUE"""),37869)</f>
        <v>37869</v>
      </c>
      <c r="J3703" s="2">
        <f ca="1">IFERROR(__xludf.DUMMYFUNCTION("""COMPUTED_VALUE"""),38234)</f>
        <v>38234</v>
      </c>
    </row>
    <row r="3704" spans="1:10" x14ac:dyDescent="0.25">
      <c r="A3704" s="1" t="str">
        <f ca="1">IFERROR(__xludf.DUMMYFUNCTION("""COMPUTED_VALUE"""),"Universitas SC")</f>
        <v>Universitas SC</v>
      </c>
      <c r="B3704" s="1" t="str">
        <f ca="1">IFERROR(__xludf.DUMMYFUNCTION("""COMPUTED_VALUE"""),"Kovács Zsolt")</f>
        <v>Kovács Zsolt</v>
      </c>
      <c r="C3704" s="1"/>
      <c r="D3704" s="1" t="str">
        <f ca="1">IFERROR(__xludf.DUMMYFUNCTION("""COMPUTED_VALUE"""),"Férfi")</f>
        <v>Férfi</v>
      </c>
      <c r="E3704" s="1"/>
      <c r="F3704" s="1">
        <f ca="1">IFERROR(__xludf.DUMMYFUNCTION("""COMPUTED_VALUE"""),1967)</f>
        <v>1967</v>
      </c>
      <c r="G3704" s="1">
        <f ca="1">IFERROR(__xludf.DUMMYFUNCTION("""COMPUTED_VALUE"""),538)</f>
        <v>538</v>
      </c>
      <c r="H3704" s="1" t="str">
        <f ca="1">IFERROR(__xludf.DUMMYFUNCTION("""COMPUTED_VALUE"""),"MTLSZ000538A03")</f>
        <v>MTLSZ000538A03</v>
      </c>
      <c r="I3704" s="2">
        <f ca="1">IFERROR(__xludf.DUMMYFUNCTION("""COMPUTED_VALUE"""),37756)</f>
        <v>37756</v>
      </c>
      <c r="J3704" s="2">
        <f ca="1">IFERROR(__xludf.DUMMYFUNCTION("""COMPUTED_VALUE"""),38121)</f>
        <v>38121</v>
      </c>
    </row>
    <row r="3705" spans="1:10" x14ac:dyDescent="0.25">
      <c r="A3705" s="1" t="str">
        <f ca="1">IFERROR(__xludf.DUMMYFUNCTION("""COMPUTED_VALUE"""),"MAFC")</f>
        <v>MAFC</v>
      </c>
      <c r="B3705" s="1" t="str">
        <f ca="1">IFERROR(__xludf.DUMMYFUNCTION("""COMPUTED_VALUE"""),"Csernák Olivér")</f>
        <v>Csernák Olivér</v>
      </c>
      <c r="C3705" s="1"/>
      <c r="D3705" s="1" t="str">
        <f ca="1">IFERROR(__xludf.DUMMYFUNCTION("""COMPUTED_VALUE"""),"Férfi")</f>
        <v>Férfi</v>
      </c>
      <c r="E3705" s="1"/>
      <c r="F3705" s="1">
        <f ca="1">IFERROR(__xludf.DUMMYFUNCTION("""COMPUTED_VALUE"""),1991)</f>
        <v>1991</v>
      </c>
      <c r="G3705" s="1">
        <f ca="1">IFERROR(__xludf.DUMMYFUNCTION("""COMPUTED_VALUE"""),1375)</f>
        <v>1375</v>
      </c>
      <c r="H3705" s="1" t="str">
        <f ca="1">IFERROR(__xludf.DUMMYFUNCTION("""COMPUTED_VALUE"""),"MTLSZ001375A03")</f>
        <v>MTLSZ001375A03</v>
      </c>
      <c r="I3705" s="2">
        <f ca="1">IFERROR(__xludf.DUMMYFUNCTION("""COMPUTED_VALUE"""),37753)</f>
        <v>37753</v>
      </c>
      <c r="J3705" s="2">
        <f ca="1">IFERROR(__xludf.DUMMYFUNCTION("""COMPUTED_VALUE"""),38118)</f>
        <v>38118</v>
      </c>
    </row>
    <row r="3706" spans="1:10" x14ac:dyDescent="0.25">
      <c r="A3706" s="1" t="str">
        <f ca="1">IFERROR(__xludf.DUMMYFUNCTION("""COMPUTED_VALUE"""),"MAFC")</f>
        <v>MAFC</v>
      </c>
      <c r="B3706" s="1" t="str">
        <f ca="1">IFERROR(__xludf.DUMMYFUNCTION("""COMPUTED_VALUE"""),"Mikle Zsóka Irma")</f>
        <v>Mikle Zsóka Irma</v>
      </c>
      <c r="C3706" s="1"/>
      <c r="D3706" s="1" t="str">
        <f ca="1">IFERROR(__xludf.DUMMYFUNCTION("""COMPUTED_VALUE"""),"Nő")</f>
        <v>Nő</v>
      </c>
      <c r="E3706" s="1"/>
      <c r="F3706" s="1">
        <f ca="1">IFERROR(__xludf.DUMMYFUNCTION("""COMPUTED_VALUE"""),1990)</f>
        <v>1990</v>
      </c>
      <c r="G3706" s="1">
        <f ca="1">IFERROR(__xludf.DUMMYFUNCTION("""COMPUTED_VALUE"""),1237)</f>
        <v>1237</v>
      </c>
      <c r="H3706" s="1" t="str">
        <f ca="1">IFERROR(__xludf.DUMMYFUNCTION("""COMPUTED_VALUE"""),"MTLSZ001237A03")</f>
        <v>MTLSZ001237A03</v>
      </c>
      <c r="I3706" s="2">
        <f ca="1">IFERROR(__xludf.DUMMYFUNCTION("""COMPUTED_VALUE"""),37753)</f>
        <v>37753</v>
      </c>
      <c r="J3706" s="2">
        <f ca="1">IFERROR(__xludf.DUMMYFUNCTION("""COMPUTED_VALUE"""),38118)</f>
        <v>38118</v>
      </c>
    </row>
    <row r="3707" spans="1:10" x14ac:dyDescent="0.25">
      <c r="A3707" s="1" t="str">
        <f ca="1">IFERROR(__xludf.DUMMYFUNCTION("""COMPUTED_VALUE"""),"MAFC")</f>
        <v>MAFC</v>
      </c>
      <c r="B3707" s="1" t="str">
        <f ca="1">IFERROR(__xludf.DUMMYFUNCTION("""COMPUTED_VALUE"""),"Nyírő Bettina")</f>
        <v>Nyírő Bettina</v>
      </c>
      <c r="C3707" s="1"/>
      <c r="D3707" s="1" t="str">
        <f ca="1">IFERROR(__xludf.DUMMYFUNCTION("""COMPUTED_VALUE"""),"Nő")</f>
        <v>Nő</v>
      </c>
      <c r="E3707" s="1"/>
      <c r="F3707" s="1">
        <f ca="1">IFERROR(__xludf.DUMMYFUNCTION("""COMPUTED_VALUE"""),1992)</f>
        <v>1992</v>
      </c>
      <c r="G3707" s="1">
        <f ca="1">IFERROR(__xludf.DUMMYFUNCTION("""COMPUTED_VALUE"""),1376)</f>
        <v>1376</v>
      </c>
      <c r="H3707" s="1" t="str">
        <f ca="1">IFERROR(__xludf.DUMMYFUNCTION("""COMPUTED_VALUE"""),"MTLSZ001376A03")</f>
        <v>MTLSZ001376A03</v>
      </c>
      <c r="I3707" s="2">
        <f ca="1">IFERROR(__xludf.DUMMYFUNCTION("""COMPUTED_VALUE"""),37753)</f>
        <v>37753</v>
      </c>
      <c r="J3707" s="2">
        <f ca="1">IFERROR(__xludf.DUMMYFUNCTION("""COMPUTED_VALUE"""),38118)</f>
        <v>38118</v>
      </c>
    </row>
    <row r="3708" spans="1:10" x14ac:dyDescent="0.25">
      <c r="A3708" s="1" t="str">
        <f ca="1">IFERROR(__xludf.DUMMYFUNCTION("""COMPUTED_VALUE"""),"DSC-SI")</f>
        <v>DSC-SI</v>
      </c>
      <c r="B3708" s="1" t="str">
        <f ca="1">IFERROR(__xludf.DUMMYFUNCTION("""COMPUTED_VALUE"""),"Buzás Bence")</f>
        <v>Buzás Bence</v>
      </c>
      <c r="C3708" s="1"/>
      <c r="D3708" s="1" t="str">
        <f ca="1">IFERROR(__xludf.DUMMYFUNCTION("""COMPUTED_VALUE"""),"Férfi")</f>
        <v>Férfi</v>
      </c>
      <c r="E3708" s="1"/>
      <c r="F3708" s="1">
        <f ca="1">IFERROR(__xludf.DUMMYFUNCTION("""COMPUTED_VALUE"""),1993)</f>
        <v>1993</v>
      </c>
      <c r="G3708" s="1">
        <f ca="1">IFERROR(__xludf.DUMMYFUNCTION("""COMPUTED_VALUE"""),1371)</f>
        <v>1371</v>
      </c>
      <c r="H3708" s="1" t="str">
        <f ca="1">IFERROR(__xludf.DUMMYFUNCTION("""COMPUTED_VALUE"""),"MTLSZ001371A03")</f>
        <v>MTLSZ001371A03</v>
      </c>
      <c r="I3708" s="2">
        <f ca="1">IFERROR(__xludf.DUMMYFUNCTION("""COMPUTED_VALUE"""),37740)</f>
        <v>37740</v>
      </c>
      <c r="J3708" s="2">
        <f ca="1">IFERROR(__xludf.DUMMYFUNCTION("""COMPUTED_VALUE"""),38105)</f>
        <v>38105</v>
      </c>
    </row>
    <row r="3709" spans="1:10" x14ac:dyDescent="0.25">
      <c r="A3709" s="1" t="str">
        <f ca="1">IFERROR(__xludf.DUMMYFUNCTION("""COMPUTED_VALUE"""),"DSC-SI")</f>
        <v>DSC-SI</v>
      </c>
      <c r="B3709" s="1" t="str">
        <f ca="1">IFERROR(__xludf.DUMMYFUNCTION("""COMPUTED_VALUE"""),"Stercel Olga")</f>
        <v>Stercel Olga</v>
      </c>
      <c r="C3709" s="1"/>
      <c r="D3709" s="1" t="str">
        <f ca="1">IFERROR(__xludf.DUMMYFUNCTION("""COMPUTED_VALUE"""),"Nő")</f>
        <v>Nő</v>
      </c>
      <c r="E3709" s="1"/>
      <c r="F3709" s="1">
        <f ca="1">IFERROR(__xludf.DUMMYFUNCTION("""COMPUTED_VALUE"""),1993)</f>
        <v>1993</v>
      </c>
      <c r="G3709" s="1">
        <f ca="1">IFERROR(__xludf.DUMMYFUNCTION("""COMPUTED_VALUE"""),1360)</f>
        <v>1360</v>
      </c>
      <c r="H3709" s="1" t="str">
        <f ca="1">IFERROR(__xludf.DUMMYFUNCTION("""COMPUTED_VALUE"""),"MTLSZ001360A03")</f>
        <v>MTLSZ001360A03</v>
      </c>
      <c r="I3709" s="2">
        <f ca="1">IFERROR(__xludf.DUMMYFUNCTION("""COMPUTED_VALUE"""),37673)</f>
        <v>37673</v>
      </c>
      <c r="J3709" s="2">
        <f ca="1">IFERROR(__xludf.DUMMYFUNCTION("""COMPUTED_VALUE"""),38037)</f>
        <v>38037</v>
      </c>
    </row>
    <row r="3710" spans="1:10" x14ac:dyDescent="0.25">
      <c r="A3710" s="1" t="str">
        <f ca="1">IFERROR(__xludf.DUMMYFUNCTION("""COMPUTED_VALUE"""),"DSC-SI")</f>
        <v>DSC-SI</v>
      </c>
      <c r="B3710" s="1" t="str">
        <f ca="1">IFERROR(__xludf.DUMMYFUNCTION("""COMPUTED_VALUE"""),"Stercel Vivien")</f>
        <v>Stercel Vivien</v>
      </c>
      <c r="C3710" s="1"/>
      <c r="D3710" s="1" t="str">
        <f ca="1">IFERROR(__xludf.DUMMYFUNCTION("""COMPUTED_VALUE"""),"Nő")</f>
        <v>Nő</v>
      </c>
      <c r="E3710" s="1"/>
      <c r="F3710" s="1">
        <f ca="1">IFERROR(__xludf.DUMMYFUNCTION("""COMPUTED_VALUE"""),1990)</f>
        <v>1990</v>
      </c>
      <c r="G3710" s="1">
        <f ca="1">IFERROR(__xludf.DUMMYFUNCTION("""COMPUTED_VALUE"""),1359)</f>
        <v>1359</v>
      </c>
      <c r="H3710" s="1" t="str">
        <f ca="1">IFERROR(__xludf.DUMMYFUNCTION("""COMPUTED_VALUE"""),"MTLSZ001359A03")</f>
        <v>MTLSZ001359A03</v>
      </c>
      <c r="I3710" s="2">
        <f ca="1">IFERROR(__xludf.DUMMYFUNCTION("""COMPUTED_VALUE"""),37673)</f>
        <v>37673</v>
      </c>
      <c r="J3710" s="2">
        <f ca="1">IFERROR(__xludf.DUMMYFUNCTION("""COMPUTED_VALUE"""),38037)</f>
        <v>38037</v>
      </c>
    </row>
    <row r="3711" spans="1:10" x14ac:dyDescent="0.25">
      <c r="A3711" s="1" t="str">
        <f ca="1">IFERROR(__xludf.DUMMYFUNCTION("""COMPUTED_VALUE"""),"Tóparti Gimnázium Székesfehérvár")</f>
        <v>Tóparti Gimnázium Székesfehérvár</v>
      </c>
      <c r="B3711" s="1" t="str">
        <f ca="1">IFERROR(__xludf.DUMMYFUNCTION("""COMPUTED_VALUE"""),"Tóth Erika")</f>
        <v>Tóth Erika</v>
      </c>
      <c r="C3711" s="1"/>
      <c r="D3711" s="1" t="str">
        <f ca="1">IFERROR(__xludf.DUMMYFUNCTION("""COMPUTED_VALUE"""),"Nő")</f>
        <v>Nő</v>
      </c>
      <c r="E3711" s="1"/>
      <c r="F3711" s="1">
        <f ca="1">IFERROR(__xludf.DUMMYFUNCTION("""COMPUTED_VALUE"""),1986)</f>
        <v>1986</v>
      </c>
      <c r="G3711" s="1">
        <f ca="1">IFERROR(__xludf.DUMMYFUNCTION("""COMPUTED_VALUE"""),1346)</f>
        <v>1346</v>
      </c>
      <c r="H3711" s="1" t="str">
        <f ca="1">IFERROR(__xludf.DUMMYFUNCTION("""COMPUTED_VALUE"""),"MTLSZ001346A03")</f>
        <v>MTLSZ001346A03</v>
      </c>
      <c r="I3711" s="2">
        <f ca="1">IFERROR(__xludf.DUMMYFUNCTION("""COMPUTED_VALUE"""),37673)</f>
        <v>37673</v>
      </c>
      <c r="J3711" s="2">
        <f ca="1">IFERROR(__xludf.DUMMYFUNCTION("""COMPUTED_VALUE"""),38037)</f>
        <v>38037</v>
      </c>
    </row>
    <row r="3712" spans="1:10" x14ac:dyDescent="0.25">
      <c r="A3712" s="1" t="str">
        <f ca="1">IFERROR(__xludf.DUMMYFUNCTION("""COMPUTED_VALUE"""),"MAFC")</f>
        <v>MAFC</v>
      </c>
      <c r="B3712" s="1" t="str">
        <f ca="1">IFERROR(__xludf.DUMMYFUNCTION("""COMPUTED_VALUE"""),"Kacsoh Gábor")</f>
        <v>Kacsoh Gábor</v>
      </c>
      <c r="C3712" s="1"/>
      <c r="D3712" s="1" t="str">
        <f ca="1">IFERROR(__xludf.DUMMYFUNCTION("""COMPUTED_VALUE"""),"Férfi")</f>
        <v>Férfi</v>
      </c>
      <c r="E3712" s="1"/>
      <c r="F3712" s="1">
        <f ca="1">IFERROR(__xludf.DUMMYFUNCTION("""COMPUTED_VALUE"""),1988)</f>
        <v>1988</v>
      </c>
      <c r="G3712" s="1">
        <f ca="1">IFERROR(__xludf.DUMMYFUNCTION("""COMPUTED_VALUE"""),1341)</f>
        <v>1341</v>
      </c>
      <c r="H3712" s="1" t="str">
        <f ca="1">IFERROR(__xludf.DUMMYFUNCTION("""COMPUTED_VALUE"""),"MTLSZ001341A03")</f>
        <v>MTLSZ001341A03</v>
      </c>
      <c r="I3712" s="2">
        <f ca="1">IFERROR(__xludf.DUMMYFUNCTION("""COMPUTED_VALUE"""),37672)</f>
        <v>37672</v>
      </c>
      <c r="J3712" s="2">
        <f ca="1">IFERROR(__xludf.DUMMYFUNCTION("""COMPUTED_VALUE"""),38036)</f>
        <v>38036</v>
      </c>
    </row>
    <row r="3713" spans="1:10" x14ac:dyDescent="0.25">
      <c r="A3713" s="1" t="str">
        <f ca="1">IFERROR(__xludf.DUMMYFUNCTION("""COMPUTED_VALUE"""),"MAFC")</f>
        <v>MAFC</v>
      </c>
      <c r="B3713" s="1" t="str">
        <f ca="1">IFERROR(__xludf.DUMMYFUNCTION("""COMPUTED_VALUE"""),"Őry Bálint")</f>
        <v>Őry Bálint</v>
      </c>
      <c r="C3713" s="1"/>
      <c r="D3713" s="1" t="str">
        <f ca="1">IFERROR(__xludf.DUMMYFUNCTION("""COMPUTED_VALUE"""),"Férfi")</f>
        <v>Férfi</v>
      </c>
      <c r="E3713" s="1"/>
      <c r="F3713" s="1">
        <f ca="1">IFERROR(__xludf.DUMMYFUNCTION("""COMPUTED_VALUE"""),1989)</f>
        <v>1989</v>
      </c>
      <c r="G3713" s="1">
        <f ca="1">IFERROR(__xludf.DUMMYFUNCTION("""COMPUTED_VALUE"""),1259)</f>
        <v>1259</v>
      </c>
      <c r="H3713" s="1" t="str">
        <f ca="1">IFERROR(__xludf.DUMMYFUNCTION("""COMPUTED_VALUE"""),"MTLSZ001259A03")</f>
        <v>MTLSZ001259A03</v>
      </c>
      <c r="I3713" s="2">
        <f ca="1">IFERROR(__xludf.DUMMYFUNCTION("""COMPUTED_VALUE"""),37672)</f>
        <v>37672</v>
      </c>
      <c r="J3713" s="2">
        <f ca="1">IFERROR(__xludf.DUMMYFUNCTION("""COMPUTED_VALUE"""),38036)</f>
        <v>38036</v>
      </c>
    </row>
    <row r="3714" spans="1:10" x14ac:dyDescent="0.25">
      <c r="A3714" s="1" t="str">
        <f ca="1">IFERROR(__xludf.DUMMYFUNCTION("""COMPUTED_VALUE"""),"MAFC")</f>
        <v>MAFC</v>
      </c>
      <c r="B3714" s="1" t="str">
        <f ca="1">IFERROR(__xludf.DUMMYFUNCTION("""COMPUTED_VALUE"""),"Somlai Dorottya")</f>
        <v>Somlai Dorottya</v>
      </c>
      <c r="C3714" s="1"/>
      <c r="D3714" s="1" t="str">
        <f ca="1">IFERROR(__xludf.DUMMYFUNCTION("""COMPUTED_VALUE"""),"Nő")</f>
        <v>Nő</v>
      </c>
      <c r="E3714" s="1"/>
      <c r="F3714" s="1">
        <f ca="1">IFERROR(__xludf.DUMMYFUNCTION("""COMPUTED_VALUE"""),1986)</f>
        <v>1986</v>
      </c>
      <c r="G3714" s="1">
        <f ca="1">IFERROR(__xludf.DUMMYFUNCTION("""COMPUTED_VALUE"""),1262)</f>
        <v>1262</v>
      </c>
      <c r="H3714" s="1" t="str">
        <f ca="1">IFERROR(__xludf.DUMMYFUNCTION("""COMPUTED_VALUE"""),"MTLSZ001262A03")</f>
        <v>MTLSZ001262A03</v>
      </c>
      <c r="I3714" s="2">
        <f ca="1">IFERROR(__xludf.DUMMYFUNCTION("""COMPUTED_VALUE"""),37672)</f>
        <v>37672</v>
      </c>
      <c r="J3714" s="2">
        <f ca="1">IFERROR(__xludf.DUMMYFUNCTION("""COMPUTED_VALUE"""),38036)</f>
        <v>38036</v>
      </c>
    </row>
    <row r="3715" spans="1:10" x14ac:dyDescent="0.25">
      <c r="A3715" s="1" t="str">
        <f ca="1">IFERROR(__xludf.DUMMYFUNCTION("""COMPUTED_VALUE"""),"MAFC")</f>
        <v>MAFC</v>
      </c>
      <c r="B3715" s="1" t="str">
        <f ca="1">IFERROR(__xludf.DUMMYFUNCTION("""COMPUTED_VALUE"""),"Szegvári Gábor")</f>
        <v>Szegvári Gábor</v>
      </c>
      <c r="C3715" s="1"/>
      <c r="D3715" s="1" t="str">
        <f ca="1">IFERROR(__xludf.DUMMYFUNCTION("""COMPUTED_VALUE"""),"Férfi")</f>
        <v>Férfi</v>
      </c>
      <c r="E3715" s="1"/>
      <c r="F3715" s="1">
        <f ca="1">IFERROR(__xludf.DUMMYFUNCTION("""COMPUTED_VALUE"""),1990)</f>
        <v>1990</v>
      </c>
      <c r="G3715" s="1">
        <f ca="1">IFERROR(__xludf.DUMMYFUNCTION("""COMPUTED_VALUE"""),1264)</f>
        <v>1264</v>
      </c>
      <c r="H3715" s="1" t="str">
        <f ca="1">IFERROR(__xludf.DUMMYFUNCTION("""COMPUTED_VALUE"""),"MTLSZ001264A03")</f>
        <v>MTLSZ001264A03</v>
      </c>
      <c r="I3715" s="2">
        <f ca="1">IFERROR(__xludf.DUMMYFUNCTION("""COMPUTED_VALUE"""),37672)</f>
        <v>37672</v>
      </c>
      <c r="J3715" s="2">
        <f ca="1">IFERROR(__xludf.DUMMYFUNCTION("""COMPUTED_VALUE"""),38036)</f>
        <v>38036</v>
      </c>
    </row>
    <row r="3716" spans="1:10" x14ac:dyDescent="0.25">
      <c r="A3716" s="1" t="str">
        <f ca="1">IFERROR(__xludf.DUMMYFUNCTION("""COMPUTED_VALUE"""),"Diaboló SE")</f>
        <v>Diaboló SE</v>
      </c>
      <c r="B3716" s="1" t="str">
        <f ca="1">IFERROR(__xludf.DUMMYFUNCTION("""COMPUTED_VALUE"""),"Korbel Krisztina")</f>
        <v>Korbel Krisztina</v>
      </c>
      <c r="C3716" s="1"/>
      <c r="D3716" s="1" t="str">
        <f ca="1">IFERROR(__xludf.DUMMYFUNCTION("""COMPUTED_VALUE"""),"Nő")</f>
        <v>Nő</v>
      </c>
      <c r="E3716" s="1"/>
      <c r="F3716" s="1">
        <f ca="1">IFERROR(__xludf.DUMMYFUNCTION("""COMPUTED_VALUE"""),1990)</f>
        <v>1990</v>
      </c>
      <c r="G3716" s="1">
        <f ca="1">IFERROR(__xludf.DUMMYFUNCTION("""COMPUTED_VALUE"""),1335)</f>
        <v>1335</v>
      </c>
      <c r="H3716" s="1" t="str">
        <f ca="1">IFERROR(__xludf.DUMMYFUNCTION("""COMPUTED_VALUE"""),"MTLSZ001335A03")</f>
        <v>MTLSZ001335A03</v>
      </c>
      <c r="I3716" s="2">
        <f ca="1">IFERROR(__xludf.DUMMYFUNCTION("""COMPUTED_VALUE"""),37670)</f>
        <v>37670</v>
      </c>
      <c r="J3716" s="2">
        <f ca="1">IFERROR(__xludf.DUMMYFUNCTION("""COMPUTED_VALUE"""),38034)</f>
        <v>38034</v>
      </c>
    </row>
    <row r="3717" spans="1:10" x14ac:dyDescent="0.25">
      <c r="A3717" s="1" t="str">
        <f ca="1">IFERROR(__xludf.DUMMYFUNCTION("""COMPUTED_VALUE"""),"Diaboló SE")</f>
        <v>Diaboló SE</v>
      </c>
      <c r="B3717" s="1" t="str">
        <f ca="1">IFERROR(__xludf.DUMMYFUNCTION("""COMPUTED_VALUE"""),"Tóth Bettina")</f>
        <v>Tóth Bettina</v>
      </c>
      <c r="C3717" s="1"/>
      <c r="D3717" s="1" t="str">
        <f ca="1">IFERROR(__xludf.DUMMYFUNCTION("""COMPUTED_VALUE"""),"Nő")</f>
        <v>Nő</v>
      </c>
      <c r="E3717" s="1"/>
      <c r="F3717" s="1">
        <f ca="1">IFERROR(__xludf.DUMMYFUNCTION("""COMPUTED_VALUE"""),1992)</f>
        <v>1992</v>
      </c>
      <c r="G3717" s="1">
        <f ca="1">IFERROR(__xludf.DUMMYFUNCTION("""COMPUTED_VALUE"""),1340)</f>
        <v>1340</v>
      </c>
      <c r="H3717" s="1" t="str">
        <f ca="1">IFERROR(__xludf.DUMMYFUNCTION("""COMPUTED_VALUE"""),"MTLSZ001340A03")</f>
        <v>MTLSZ001340A03</v>
      </c>
      <c r="I3717" s="2">
        <f ca="1">IFERROR(__xludf.DUMMYFUNCTION("""COMPUTED_VALUE"""),37670)</f>
        <v>37670</v>
      </c>
      <c r="J3717" s="2">
        <f ca="1">IFERROR(__xludf.DUMMYFUNCTION("""COMPUTED_VALUE"""),38034)</f>
        <v>38034</v>
      </c>
    </row>
    <row r="3718" spans="1:10" x14ac:dyDescent="0.25">
      <c r="A3718" s="1" t="str">
        <f ca="1">IFERROR(__xludf.DUMMYFUNCTION("""COMPUTED_VALUE"""),"MAFC")</f>
        <v>MAFC</v>
      </c>
      <c r="B3718" s="1" t="str">
        <f ca="1">IFERROR(__xludf.DUMMYFUNCTION("""COMPUTED_VALUE"""),"Ambrus Zoltán")</f>
        <v>Ambrus Zoltán</v>
      </c>
      <c r="C3718" s="1"/>
      <c r="D3718" s="1" t="str">
        <f ca="1">IFERROR(__xludf.DUMMYFUNCTION("""COMPUTED_VALUE"""),"Férfi")</f>
        <v>Férfi</v>
      </c>
      <c r="E3718" s="1"/>
      <c r="F3718" s="1">
        <f ca="1">IFERROR(__xludf.DUMMYFUNCTION("""COMPUTED_VALUE"""),1973)</f>
        <v>1973</v>
      </c>
      <c r="G3718" s="1">
        <f ca="1">IFERROR(__xludf.DUMMYFUNCTION("""COMPUTED_VALUE"""),15)</f>
        <v>15</v>
      </c>
      <c r="H3718" s="1" t="str">
        <f ca="1">IFERROR(__xludf.DUMMYFUNCTION("""COMPUTED_VALUE"""),"MTLSZ000015A03")</f>
        <v>MTLSZ000015A03</v>
      </c>
      <c r="I3718" s="2">
        <f ca="1">IFERROR(__xludf.DUMMYFUNCTION("""COMPUTED_VALUE"""),37670)</f>
        <v>37670</v>
      </c>
      <c r="J3718" s="2">
        <f ca="1">IFERROR(__xludf.DUMMYFUNCTION("""COMPUTED_VALUE"""),38034)</f>
        <v>38034</v>
      </c>
    </row>
    <row r="3719" spans="1:10" x14ac:dyDescent="0.25">
      <c r="A3719" s="1" t="str">
        <f ca="1">IFERROR(__xludf.DUMMYFUNCTION("""COMPUTED_VALUE"""),"MAFC")</f>
        <v>MAFC</v>
      </c>
      <c r="B3719" s="1" t="str">
        <f ca="1">IFERROR(__xludf.DUMMYFUNCTION("""COMPUTED_VALUE"""),"Császár Péter")</f>
        <v>Császár Péter</v>
      </c>
      <c r="C3719" s="1"/>
      <c r="D3719" s="1" t="str">
        <f ca="1">IFERROR(__xludf.DUMMYFUNCTION("""COMPUTED_VALUE"""),"Férfi")</f>
        <v>Férfi</v>
      </c>
      <c r="E3719" s="1"/>
      <c r="F3719" s="1">
        <f ca="1">IFERROR(__xludf.DUMMYFUNCTION("""COMPUTED_VALUE"""),1975)</f>
        <v>1975</v>
      </c>
      <c r="G3719" s="1">
        <f ca="1">IFERROR(__xludf.DUMMYFUNCTION("""COMPUTED_VALUE"""),128)</f>
        <v>128</v>
      </c>
      <c r="H3719" s="1" t="str">
        <f ca="1">IFERROR(__xludf.DUMMYFUNCTION("""COMPUTED_VALUE"""),"MTLSZ000128A03")</f>
        <v>MTLSZ000128A03</v>
      </c>
      <c r="I3719" s="2">
        <f ca="1">IFERROR(__xludf.DUMMYFUNCTION("""COMPUTED_VALUE"""),37670)</f>
        <v>37670</v>
      </c>
      <c r="J3719" s="2">
        <f ca="1">IFERROR(__xludf.DUMMYFUNCTION("""COMPUTED_VALUE"""),38034)</f>
        <v>38034</v>
      </c>
    </row>
    <row r="3720" spans="1:10" x14ac:dyDescent="0.25">
      <c r="A3720" s="1" t="str">
        <f ca="1">IFERROR(__xludf.DUMMYFUNCTION("""COMPUTED_VALUE"""),"MAFC")</f>
        <v>MAFC</v>
      </c>
      <c r="B3720" s="1" t="str">
        <f ca="1">IFERROR(__xludf.DUMMYFUNCTION("""COMPUTED_VALUE"""),"Kálmán Róza")</f>
        <v>Kálmán Róza</v>
      </c>
      <c r="C3720" s="1"/>
      <c r="D3720" s="1" t="str">
        <f ca="1">IFERROR(__xludf.DUMMYFUNCTION("""COMPUTED_VALUE"""),"Nő")</f>
        <v>Nő</v>
      </c>
      <c r="E3720" s="1"/>
      <c r="F3720" s="1">
        <f ca="1">IFERROR(__xludf.DUMMYFUNCTION("""COMPUTED_VALUE"""),1990)</f>
        <v>1990</v>
      </c>
      <c r="G3720" s="1">
        <f ca="1">IFERROR(__xludf.DUMMYFUNCTION("""COMPUTED_VALUE"""),1234)</f>
        <v>1234</v>
      </c>
      <c r="H3720" s="1" t="str">
        <f ca="1">IFERROR(__xludf.DUMMYFUNCTION("""COMPUTED_VALUE"""),"MTLSZ001234A03")</f>
        <v>MTLSZ001234A03</v>
      </c>
      <c r="I3720" s="2">
        <f ca="1">IFERROR(__xludf.DUMMYFUNCTION("""COMPUTED_VALUE"""),37664)</f>
        <v>37664</v>
      </c>
      <c r="J3720" s="2">
        <f ca="1">IFERROR(__xludf.DUMMYFUNCTION("""COMPUTED_VALUE"""),38028)</f>
        <v>38028</v>
      </c>
    </row>
    <row r="3721" spans="1:10" x14ac:dyDescent="0.25">
      <c r="A3721" s="1" t="str">
        <f ca="1">IFERROR(__xludf.DUMMYFUNCTION("""COMPUTED_VALUE"""),"MAFC")</f>
        <v>MAFC</v>
      </c>
      <c r="B3721" s="1" t="str">
        <f ca="1">IFERROR(__xludf.DUMMYFUNCTION("""COMPUTED_VALUE"""),"Taigiszer Márta")</f>
        <v>Taigiszer Márta</v>
      </c>
      <c r="C3721" s="1"/>
      <c r="D3721" s="1" t="str">
        <f ca="1">IFERROR(__xludf.DUMMYFUNCTION("""COMPUTED_VALUE"""),"Nő")</f>
        <v>Nő</v>
      </c>
      <c r="E3721" s="1"/>
      <c r="F3721" s="1">
        <f ca="1">IFERROR(__xludf.DUMMYFUNCTION("""COMPUTED_VALUE"""),1986)</f>
        <v>1986</v>
      </c>
      <c r="G3721" s="1">
        <f ca="1">IFERROR(__xludf.DUMMYFUNCTION("""COMPUTED_VALUE"""),1333)</f>
        <v>1333</v>
      </c>
      <c r="H3721" s="1" t="str">
        <f ca="1">IFERROR(__xludf.DUMMYFUNCTION("""COMPUTED_VALUE"""),"MTLSZ001333A03")</f>
        <v>MTLSZ001333A03</v>
      </c>
      <c r="I3721" s="2">
        <f ca="1">IFERROR(__xludf.DUMMYFUNCTION("""COMPUTED_VALUE"""),37664)</f>
        <v>37664</v>
      </c>
      <c r="J3721" s="2">
        <f ca="1">IFERROR(__xludf.DUMMYFUNCTION("""COMPUTED_VALUE"""),38028)</f>
        <v>38028</v>
      </c>
    </row>
    <row r="3722" spans="1:10" x14ac:dyDescent="0.25">
      <c r="A3722" s="1" t="str">
        <f ca="1">IFERROR(__xludf.DUMMYFUNCTION("""COMPUTED_VALUE"""),"Alba-Toll SE")</f>
        <v>Alba-Toll SE</v>
      </c>
      <c r="B3722" s="1" t="str">
        <f ca="1">IFERROR(__xludf.DUMMYFUNCTION("""COMPUTED_VALUE"""),"Árvai Ákos")</f>
        <v>Árvai Ákos</v>
      </c>
      <c r="C3722" s="1"/>
      <c r="D3722" s="1" t="str">
        <f ca="1">IFERROR(__xludf.DUMMYFUNCTION("""COMPUTED_VALUE"""),"Férfi")</f>
        <v>Férfi</v>
      </c>
      <c r="E3722" s="1"/>
      <c r="F3722" s="1">
        <f ca="1">IFERROR(__xludf.DUMMYFUNCTION("""COMPUTED_VALUE"""),1989)</f>
        <v>1989</v>
      </c>
      <c r="G3722" s="1">
        <f ca="1">IFERROR(__xludf.DUMMYFUNCTION("""COMPUTED_VALUE"""),18)</f>
        <v>18</v>
      </c>
      <c r="H3722" s="1" t="str">
        <f ca="1">IFERROR(__xludf.DUMMYFUNCTION("""COMPUTED_VALUE"""),"MTLSZ000018A02")</f>
        <v>MTLSZ000018A02</v>
      </c>
      <c r="I3722" s="2">
        <f ca="1">IFERROR(__xludf.DUMMYFUNCTION("""COMPUTED_VALUE"""),37622)</f>
        <v>37622</v>
      </c>
      <c r="J3722" s="2">
        <f ca="1">IFERROR(__xludf.DUMMYFUNCTION("""COMPUTED_VALUE"""),37986)</f>
        <v>37986</v>
      </c>
    </row>
    <row r="3723" spans="1:10" x14ac:dyDescent="0.25">
      <c r="A3723" s="1" t="str">
        <f ca="1">IFERROR(__xludf.DUMMYFUNCTION("""COMPUTED_VALUE"""),"Alba-Toll SE")</f>
        <v>Alba-Toll SE</v>
      </c>
      <c r="B3723" s="1" t="str">
        <f ca="1">IFERROR(__xludf.DUMMYFUNCTION("""COMPUTED_VALUE"""),"Bari Károly")</f>
        <v>Bari Károly</v>
      </c>
      <c r="C3723" s="1"/>
      <c r="D3723" s="1" t="str">
        <f ca="1">IFERROR(__xludf.DUMMYFUNCTION("""COMPUTED_VALUE"""),"Férfi")</f>
        <v>Férfi</v>
      </c>
      <c r="E3723" s="1"/>
      <c r="F3723" s="1">
        <f ca="1">IFERROR(__xludf.DUMMYFUNCTION("""COMPUTED_VALUE"""),1989)</f>
        <v>1989</v>
      </c>
      <c r="G3723" s="1">
        <f ca="1">IFERROR(__xludf.DUMMYFUNCTION("""COMPUTED_VALUE"""),60)</f>
        <v>60</v>
      </c>
      <c r="H3723" s="1" t="str">
        <f ca="1">IFERROR(__xludf.DUMMYFUNCTION("""COMPUTED_VALUE"""),"MTLSZ000060A02")</f>
        <v>MTLSZ000060A02</v>
      </c>
      <c r="I3723" s="2">
        <f ca="1">IFERROR(__xludf.DUMMYFUNCTION("""COMPUTED_VALUE"""),37622)</f>
        <v>37622</v>
      </c>
      <c r="J3723" s="2">
        <f ca="1">IFERROR(__xludf.DUMMYFUNCTION("""COMPUTED_VALUE"""),37986)</f>
        <v>37986</v>
      </c>
    </row>
    <row r="3724" spans="1:10" x14ac:dyDescent="0.25">
      <c r="A3724" s="1" t="str">
        <f ca="1">IFERROR(__xludf.DUMMYFUNCTION("""COMPUTED_VALUE"""),"Alba-Toll SE")</f>
        <v>Alba-Toll SE</v>
      </c>
      <c r="B3724" s="1" t="str">
        <f ca="1">IFERROR(__xludf.DUMMYFUNCTION("""COMPUTED_VALUE"""),"Bauerhuber Tímea")</f>
        <v>Bauerhuber Tímea</v>
      </c>
      <c r="C3724" s="1"/>
      <c r="D3724" s="1" t="str">
        <f ca="1">IFERROR(__xludf.DUMMYFUNCTION("""COMPUTED_VALUE"""),"Nő")</f>
        <v>Nő</v>
      </c>
      <c r="E3724" s="1"/>
      <c r="F3724" s="1">
        <f ca="1">IFERROR(__xludf.DUMMYFUNCTION("""COMPUTED_VALUE"""),1984)</f>
        <v>1984</v>
      </c>
      <c r="G3724" s="1">
        <f ca="1">IFERROR(__xludf.DUMMYFUNCTION("""COMPUTED_VALUE"""),67)</f>
        <v>67</v>
      </c>
      <c r="H3724" s="1" t="str">
        <f ca="1">IFERROR(__xludf.DUMMYFUNCTION("""COMPUTED_VALUE"""),"MTLSZ000067A02")</f>
        <v>MTLSZ000067A02</v>
      </c>
      <c r="I3724" s="2">
        <f ca="1">IFERROR(__xludf.DUMMYFUNCTION("""COMPUTED_VALUE"""),37622)</f>
        <v>37622</v>
      </c>
      <c r="J3724" s="2">
        <f ca="1">IFERROR(__xludf.DUMMYFUNCTION("""COMPUTED_VALUE"""),37986)</f>
        <v>37986</v>
      </c>
    </row>
    <row r="3725" spans="1:10" x14ac:dyDescent="0.25">
      <c r="A3725" s="1" t="str">
        <f ca="1">IFERROR(__xludf.DUMMYFUNCTION("""COMPUTED_VALUE"""),"Alba-Toll SE")</f>
        <v>Alba-Toll SE</v>
      </c>
      <c r="B3725" s="1" t="str">
        <f ca="1">IFERROR(__xludf.DUMMYFUNCTION("""COMPUTED_VALUE"""),"Fiál Ágnes")</f>
        <v>Fiál Ágnes</v>
      </c>
      <c r="C3725" s="1"/>
      <c r="D3725" s="1" t="str">
        <f ca="1">IFERROR(__xludf.DUMMYFUNCTION("""COMPUTED_VALUE"""),"Nő")</f>
        <v>Nő</v>
      </c>
      <c r="E3725" s="1"/>
      <c r="F3725" s="1">
        <f ca="1">IFERROR(__xludf.DUMMYFUNCTION("""COMPUTED_VALUE"""),1984)</f>
        <v>1984</v>
      </c>
      <c r="G3725" s="1">
        <f ca="1">IFERROR(__xludf.DUMMYFUNCTION("""COMPUTED_VALUE"""),249)</f>
        <v>249</v>
      </c>
      <c r="H3725" s="1" t="str">
        <f ca="1">IFERROR(__xludf.DUMMYFUNCTION("""COMPUTED_VALUE"""),"MTLSZ000249A02")</f>
        <v>MTLSZ000249A02</v>
      </c>
      <c r="I3725" s="2">
        <f ca="1">IFERROR(__xludf.DUMMYFUNCTION("""COMPUTED_VALUE"""),37622)</f>
        <v>37622</v>
      </c>
      <c r="J3725" s="2">
        <f ca="1">IFERROR(__xludf.DUMMYFUNCTION("""COMPUTED_VALUE"""),37986)</f>
        <v>37986</v>
      </c>
    </row>
    <row r="3726" spans="1:10" x14ac:dyDescent="0.25">
      <c r="A3726" s="1" t="str">
        <f ca="1">IFERROR(__xludf.DUMMYFUNCTION("""COMPUTED_VALUE"""),"Alba-Toll SE")</f>
        <v>Alba-Toll SE</v>
      </c>
      <c r="B3726" s="1" t="str">
        <f ca="1">IFERROR(__xludf.DUMMYFUNCTION("""COMPUTED_VALUE"""),"Gazdag Ádám")</f>
        <v>Gazdag Ádám</v>
      </c>
      <c r="C3726" s="1"/>
      <c r="D3726" s="1" t="str">
        <f ca="1">IFERROR(__xludf.DUMMYFUNCTION("""COMPUTED_VALUE"""),"Férfi")</f>
        <v>Férfi</v>
      </c>
      <c r="E3726" s="1"/>
      <c r="F3726" s="1">
        <f ca="1">IFERROR(__xludf.DUMMYFUNCTION("""COMPUTED_VALUE"""),1990)</f>
        <v>1990</v>
      </c>
      <c r="G3726" s="1">
        <f ca="1">IFERROR(__xludf.DUMMYFUNCTION("""COMPUTED_VALUE"""),286)</f>
        <v>286</v>
      </c>
      <c r="H3726" s="1" t="str">
        <f ca="1">IFERROR(__xludf.DUMMYFUNCTION("""COMPUTED_VALUE"""),"MTLSZ000286A02")</f>
        <v>MTLSZ000286A02</v>
      </c>
      <c r="I3726" s="2">
        <f ca="1">IFERROR(__xludf.DUMMYFUNCTION("""COMPUTED_VALUE"""),37622)</f>
        <v>37622</v>
      </c>
      <c r="J3726" s="2">
        <f ca="1">IFERROR(__xludf.DUMMYFUNCTION("""COMPUTED_VALUE"""),37986)</f>
        <v>37986</v>
      </c>
    </row>
    <row r="3727" spans="1:10" x14ac:dyDescent="0.25">
      <c r="A3727" s="1" t="str">
        <f ca="1">IFERROR(__xludf.DUMMYFUNCTION("""COMPUTED_VALUE"""),"Alba-Toll SE")</f>
        <v>Alba-Toll SE</v>
      </c>
      <c r="B3727" s="1" t="str">
        <f ca="1">IFERROR(__xludf.DUMMYFUNCTION("""COMPUTED_VALUE"""),"Gévai Ádám")</f>
        <v>Gévai Ádám</v>
      </c>
      <c r="C3727" s="1"/>
      <c r="D3727" s="1" t="str">
        <f ca="1">IFERROR(__xludf.DUMMYFUNCTION("""COMPUTED_VALUE"""),"Férfi")</f>
        <v>Férfi</v>
      </c>
      <c r="E3727" s="1"/>
      <c r="F3727" s="1">
        <f ca="1">IFERROR(__xludf.DUMMYFUNCTION("""COMPUTED_VALUE"""),1986)</f>
        <v>1986</v>
      </c>
      <c r="G3727" s="1">
        <f ca="1">IFERROR(__xludf.DUMMYFUNCTION("""COMPUTED_VALUE"""),295)</f>
        <v>295</v>
      </c>
      <c r="H3727" s="1" t="str">
        <f ca="1">IFERROR(__xludf.DUMMYFUNCTION("""COMPUTED_VALUE"""),"MTLSZ000295A02")</f>
        <v>MTLSZ000295A02</v>
      </c>
      <c r="I3727" s="2">
        <f ca="1">IFERROR(__xludf.DUMMYFUNCTION("""COMPUTED_VALUE"""),37622)</f>
        <v>37622</v>
      </c>
      <c r="J3727" s="2">
        <f ca="1">IFERROR(__xludf.DUMMYFUNCTION("""COMPUTED_VALUE"""),37986)</f>
        <v>37986</v>
      </c>
    </row>
    <row r="3728" spans="1:10" x14ac:dyDescent="0.25">
      <c r="A3728" s="1" t="str">
        <f ca="1">IFERROR(__xludf.DUMMYFUNCTION("""COMPUTED_VALUE"""),"Alba-Toll SE")</f>
        <v>Alba-Toll SE</v>
      </c>
      <c r="B3728" s="1" t="str">
        <f ca="1">IFERROR(__xludf.DUMMYFUNCTION("""COMPUTED_VALUE"""),"Gévai Bálint")</f>
        <v>Gévai Bálint</v>
      </c>
      <c r="C3728" s="1"/>
      <c r="D3728" s="1" t="str">
        <f ca="1">IFERROR(__xludf.DUMMYFUNCTION("""COMPUTED_VALUE"""),"Férfi")</f>
        <v>Férfi</v>
      </c>
      <c r="E3728" s="1"/>
      <c r="F3728" s="1">
        <f ca="1">IFERROR(__xludf.DUMMYFUNCTION("""COMPUTED_VALUE"""),1990)</f>
        <v>1990</v>
      </c>
      <c r="G3728" s="1">
        <f ca="1">IFERROR(__xludf.DUMMYFUNCTION("""COMPUTED_VALUE"""),296)</f>
        <v>296</v>
      </c>
      <c r="H3728" s="1" t="str">
        <f ca="1">IFERROR(__xludf.DUMMYFUNCTION("""COMPUTED_VALUE"""),"MTLSZ000296A02")</f>
        <v>MTLSZ000296A02</v>
      </c>
      <c r="I3728" s="2">
        <f ca="1">IFERROR(__xludf.DUMMYFUNCTION("""COMPUTED_VALUE"""),37622)</f>
        <v>37622</v>
      </c>
      <c r="J3728" s="2">
        <f ca="1">IFERROR(__xludf.DUMMYFUNCTION("""COMPUTED_VALUE"""),37986)</f>
        <v>37986</v>
      </c>
    </row>
    <row r="3729" spans="1:10" x14ac:dyDescent="0.25">
      <c r="A3729" s="1" t="str">
        <f ca="1">IFERROR(__xludf.DUMMYFUNCTION("""COMPUTED_VALUE"""),"Alba-Toll SE")</f>
        <v>Alba-Toll SE</v>
      </c>
      <c r="B3729" s="1" t="str">
        <f ca="1">IFERROR(__xludf.DUMMYFUNCTION("""COMPUTED_VALUE"""),"Hegedüs Balázs")</f>
        <v>Hegedüs Balázs</v>
      </c>
      <c r="C3729" s="1"/>
      <c r="D3729" s="1" t="str">
        <f ca="1">IFERROR(__xludf.DUMMYFUNCTION("""COMPUTED_VALUE"""),"Férfi")</f>
        <v>Férfi</v>
      </c>
      <c r="E3729" s="1"/>
      <c r="F3729" s="1">
        <f ca="1">IFERROR(__xludf.DUMMYFUNCTION("""COMPUTED_VALUE"""),1986)</f>
        <v>1986</v>
      </c>
      <c r="G3729" s="1">
        <f ca="1">IFERROR(__xludf.DUMMYFUNCTION("""COMPUTED_VALUE"""),351)</f>
        <v>351</v>
      </c>
      <c r="H3729" s="1" t="str">
        <f ca="1">IFERROR(__xludf.DUMMYFUNCTION("""COMPUTED_VALUE"""),"MTLSZ000351A02")</f>
        <v>MTLSZ000351A02</v>
      </c>
      <c r="I3729" s="2">
        <f ca="1">IFERROR(__xludf.DUMMYFUNCTION("""COMPUTED_VALUE"""),37622)</f>
        <v>37622</v>
      </c>
      <c r="J3729" s="2">
        <f ca="1">IFERROR(__xludf.DUMMYFUNCTION("""COMPUTED_VALUE"""),37986)</f>
        <v>37986</v>
      </c>
    </row>
    <row r="3730" spans="1:10" x14ac:dyDescent="0.25">
      <c r="A3730" s="1" t="str">
        <f ca="1">IFERROR(__xludf.DUMMYFUNCTION("""COMPUTED_VALUE"""),"Alba-Toll SE")</f>
        <v>Alba-Toll SE</v>
      </c>
      <c r="B3730" s="1" t="str">
        <f ca="1">IFERROR(__xludf.DUMMYFUNCTION("""COMPUTED_VALUE"""),"Kálmán Zsuzsa")</f>
        <v>Kálmán Zsuzsa</v>
      </c>
      <c r="C3730" s="1"/>
      <c r="D3730" s="1" t="str">
        <f ca="1">IFERROR(__xludf.DUMMYFUNCTION("""COMPUTED_VALUE"""),"Nő")</f>
        <v>Nő</v>
      </c>
      <c r="E3730" s="1"/>
      <c r="F3730" s="1">
        <f ca="1">IFERROR(__xludf.DUMMYFUNCTION("""COMPUTED_VALUE"""),1984)</f>
        <v>1984</v>
      </c>
      <c r="G3730" s="1">
        <f ca="1">IFERROR(__xludf.DUMMYFUNCTION("""COMPUTED_VALUE"""),423)</f>
        <v>423</v>
      </c>
      <c r="H3730" s="1" t="str">
        <f ca="1">IFERROR(__xludf.DUMMYFUNCTION("""COMPUTED_VALUE"""),"MTLSZ000423A02")</f>
        <v>MTLSZ000423A02</v>
      </c>
      <c r="I3730" s="2">
        <f ca="1">IFERROR(__xludf.DUMMYFUNCTION("""COMPUTED_VALUE"""),37622)</f>
        <v>37622</v>
      </c>
      <c r="J3730" s="2">
        <f ca="1">IFERROR(__xludf.DUMMYFUNCTION("""COMPUTED_VALUE"""),37986)</f>
        <v>37986</v>
      </c>
    </row>
    <row r="3731" spans="1:10" x14ac:dyDescent="0.25">
      <c r="A3731" s="1" t="str">
        <f ca="1">IFERROR(__xludf.DUMMYFUNCTION("""COMPUTED_VALUE"""),"Alba-Toll SE")</f>
        <v>Alba-Toll SE</v>
      </c>
      <c r="B3731" s="1" t="str">
        <f ca="1">IFERROR(__xludf.DUMMYFUNCTION("""COMPUTED_VALUE"""),"Király Dániel")</f>
        <v>Király Dániel</v>
      </c>
      <c r="C3731" s="1"/>
      <c r="D3731" s="1" t="str">
        <f ca="1">IFERROR(__xludf.DUMMYFUNCTION("""COMPUTED_VALUE"""),"Férfi")</f>
        <v>Férfi</v>
      </c>
      <c r="E3731" s="1"/>
      <c r="F3731" s="1">
        <f ca="1">IFERROR(__xludf.DUMMYFUNCTION("""COMPUTED_VALUE"""),1987)</f>
        <v>1987</v>
      </c>
      <c r="G3731" s="1">
        <f ca="1">IFERROR(__xludf.DUMMYFUNCTION("""COMPUTED_VALUE"""),469)</f>
        <v>469</v>
      </c>
      <c r="H3731" s="1" t="str">
        <f ca="1">IFERROR(__xludf.DUMMYFUNCTION("""COMPUTED_VALUE"""),"MTLSZ000469A02")</f>
        <v>MTLSZ000469A02</v>
      </c>
      <c r="I3731" s="2">
        <f ca="1">IFERROR(__xludf.DUMMYFUNCTION("""COMPUTED_VALUE"""),37622)</f>
        <v>37622</v>
      </c>
      <c r="J3731" s="2">
        <f ca="1">IFERROR(__xludf.DUMMYFUNCTION("""COMPUTED_VALUE"""),37986)</f>
        <v>37986</v>
      </c>
    </row>
    <row r="3732" spans="1:10" x14ac:dyDescent="0.25">
      <c r="A3732" s="1" t="str">
        <f ca="1">IFERROR(__xludf.DUMMYFUNCTION("""COMPUTED_VALUE"""),"Alba-Toll SE")</f>
        <v>Alba-Toll SE</v>
      </c>
      <c r="B3732" s="1" t="str">
        <f ca="1">IFERROR(__xludf.DUMMYFUNCTION("""COMPUTED_VALUE"""),"Marton Ádám")</f>
        <v>Marton Ádám</v>
      </c>
      <c r="C3732" s="1"/>
      <c r="D3732" s="1" t="str">
        <f ca="1">IFERROR(__xludf.DUMMYFUNCTION("""COMPUTED_VALUE"""),"Férfi")</f>
        <v>Férfi</v>
      </c>
      <c r="E3732" s="1"/>
      <c r="F3732" s="1">
        <f ca="1">IFERROR(__xludf.DUMMYFUNCTION("""COMPUTED_VALUE"""),1985)</f>
        <v>1985</v>
      </c>
      <c r="G3732" s="1">
        <f ca="1">IFERROR(__xludf.DUMMYFUNCTION("""COMPUTED_VALUE"""),623)</f>
        <v>623</v>
      </c>
      <c r="H3732" s="1" t="str">
        <f ca="1">IFERROR(__xludf.DUMMYFUNCTION("""COMPUTED_VALUE"""),"MTLSZ000623A02")</f>
        <v>MTLSZ000623A02</v>
      </c>
      <c r="I3732" s="2">
        <f ca="1">IFERROR(__xludf.DUMMYFUNCTION("""COMPUTED_VALUE"""),37622)</f>
        <v>37622</v>
      </c>
      <c r="J3732" s="2">
        <f ca="1">IFERROR(__xludf.DUMMYFUNCTION("""COMPUTED_VALUE"""),37986)</f>
        <v>37986</v>
      </c>
    </row>
    <row r="3733" spans="1:10" x14ac:dyDescent="0.25">
      <c r="A3733" s="1" t="str">
        <f ca="1">IFERROR(__xludf.DUMMYFUNCTION("""COMPUTED_VALUE"""),"Alba-Toll SE")</f>
        <v>Alba-Toll SE</v>
      </c>
      <c r="B3733" s="1" t="str">
        <f ca="1">IFERROR(__xludf.DUMMYFUNCTION("""COMPUTED_VALUE"""),"Mohai Gábor")</f>
        <v>Mohai Gábor</v>
      </c>
      <c r="C3733" s="1"/>
      <c r="D3733" s="1" t="str">
        <f ca="1">IFERROR(__xludf.DUMMYFUNCTION("""COMPUTED_VALUE"""),"Férfi")</f>
        <v>Férfi</v>
      </c>
      <c r="E3733" s="1"/>
      <c r="F3733" s="1">
        <f ca="1">IFERROR(__xludf.DUMMYFUNCTION("""COMPUTED_VALUE"""),1985)</f>
        <v>1985</v>
      </c>
      <c r="G3733" s="1">
        <f ca="1">IFERROR(__xludf.DUMMYFUNCTION("""COMPUTED_VALUE"""),654)</f>
        <v>654</v>
      </c>
      <c r="H3733" s="1" t="str">
        <f ca="1">IFERROR(__xludf.DUMMYFUNCTION("""COMPUTED_VALUE"""),"MTLSZ000654A02")</f>
        <v>MTLSZ000654A02</v>
      </c>
      <c r="I3733" s="2">
        <f ca="1">IFERROR(__xludf.DUMMYFUNCTION("""COMPUTED_VALUE"""),37622)</f>
        <v>37622</v>
      </c>
      <c r="J3733" s="2">
        <f ca="1">IFERROR(__xludf.DUMMYFUNCTION("""COMPUTED_VALUE"""),37986)</f>
        <v>37986</v>
      </c>
    </row>
    <row r="3734" spans="1:10" x14ac:dyDescent="0.25">
      <c r="A3734" s="1" t="str">
        <f ca="1">IFERROR(__xludf.DUMMYFUNCTION("""COMPUTED_VALUE"""),"Alba-Toll SE")</f>
        <v>Alba-Toll SE</v>
      </c>
      <c r="B3734" s="1" t="str">
        <f ca="1">IFERROR(__xludf.DUMMYFUNCTION("""COMPUTED_VALUE"""),"Molnár Bettina")</f>
        <v>Molnár Bettina</v>
      </c>
      <c r="C3734" s="1"/>
      <c r="D3734" s="1" t="str">
        <f ca="1">IFERROR(__xludf.DUMMYFUNCTION("""COMPUTED_VALUE"""),"Nő")</f>
        <v>Nő</v>
      </c>
      <c r="E3734" s="1"/>
      <c r="F3734" s="1">
        <f ca="1">IFERROR(__xludf.DUMMYFUNCTION("""COMPUTED_VALUE"""),1988)</f>
        <v>1988</v>
      </c>
      <c r="G3734" s="1">
        <f ca="1">IFERROR(__xludf.DUMMYFUNCTION("""COMPUTED_VALUE"""),657)</f>
        <v>657</v>
      </c>
      <c r="H3734" s="1" t="str">
        <f ca="1">IFERROR(__xludf.DUMMYFUNCTION("""COMPUTED_VALUE"""),"MTLSZ000657A02")</f>
        <v>MTLSZ000657A02</v>
      </c>
      <c r="I3734" s="2">
        <f ca="1">IFERROR(__xludf.DUMMYFUNCTION("""COMPUTED_VALUE"""),37622)</f>
        <v>37622</v>
      </c>
      <c r="J3734" s="2">
        <f ca="1">IFERROR(__xludf.DUMMYFUNCTION("""COMPUTED_VALUE"""),37986)</f>
        <v>37986</v>
      </c>
    </row>
    <row r="3735" spans="1:10" x14ac:dyDescent="0.25">
      <c r="A3735" s="1" t="str">
        <f ca="1">IFERROR(__xludf.DUMMYFUNCTION("""COMPUTED_VALUE"""),"Alba-Toll SE")</f>
        <v>Alba-Toll SE</v>
      </c>
      <c r="B3735" s="1" t="str">
        <f ca="1">IFERROR(__xludf.DUMMYFUNCTION("""COMPUTED_VALUE"""),"Nagy László")</f>
        <v>Nagy László</v>
      </c>
      <c r="C3735" s="1"/>
      <c r="D3735" s="1" t="str">
        <f ca="1">IFERROR(__xludf.DUMMYFUNCTION("""COMPUTED_VALUE"""),"Férfi")</f>
        <v>Férfi</v>
      </c>
      <c r="E3735" s="1"/>
      <c r="F3735" s="1">
        <f ca="1">IFERROR(__xludf.DUMMYFUNCTION("""COMPUTED_VALUE"""),1990)</f>
        <v>1990</v>
      </c>
      <c r="G3735" s="1">
        <f ca="1">IFERROR(__xludf.DUMMYFUNCTION("""COMPUTED_VALUE"""),687)</f>
        <v>687</v>
      </c>
      <c r="H3735" s="1" t="str">
        <f ca="1">IFERROR(__xludf.DUMMYFUNCTION("""COMPUTED_VALUE"""),"MTLSZ000687A02")</f>
        <v>MTLSZ000687A02</v>
      </c>
      <c r="I3735" s="2">
        <f ca="1">IFERROR(__xludf.DUMMYFUNCTION("""COMPUTED_VALUE"""),37622)</f>
        <v>37622</v>
      </c>
      <c r="J3735" s="2">
        <f ca="1">IFERROR(__xludf.DUMMYFUNCTION("""COMPUTED_VALUE"""),37986)</f>
        <v>37986</v>
      </c>
    </row>
    <row r="3736" spans="1:10" x14ac:dyDescent="0.25">
      <c r="A3736" s="1" t="str">
        <f ca="1">IFERROR(__xludf.DUMMYFUNCTION("""COMPUTED_VALUE"""),"Alba-Toll SE")</f>
        <v>Alba-Toll SE</v>
      </c>
      <c r="B3736" s="1" t="str">
        <f ca="1">IFERROR(__xludf.DUMMYFUNCTION("""COMPUTED_VALUE"""),"Pap Zoltán")</f>
        <v>Pap Zoltán</v>
      </c>
      <c r="C3736" s="1"/>
      <c r="D3736" s="1" t="str">
        <f ca="1">IFERROR(__xludf.DUMMYFUNCTION("""COMPUTED_VALUE"""),"Férfi")</f>
        <v>Férfi</v>
      </c>
      <c r="E3736" s="1"/>
      <c r="F3736" s="1">
        <f ca="1">IFERROR(__xludf.DUMMYFUNCTION("""COMPUTED_VALUE"""),1983)</f>
        <v>1983</v>
      </c>
      <c r="G3736" s="1">
        <f ca="1">IFERROR(__xludf.DUMMYFUNCTION("""COMPUTED_VALUE"""),744)</f>
        <v>744</v>
      </c>
      <c r="H3736" s="1" t="str">
        <f ca="1">IFERROR(__xludf.DUMMYFUNCTION("""COMPUTED_VALUE"""),"MTLSZ000744A02")</f>
        <v>MTLSZ000744A02</v>
      </c>
      <c r="I3736" s="2">
        <f ca="1">IFERROR(__xludf.DUMMYFUNCTION("""COMPUTED_VALUE"""),37622)</f>
        <v>37622</v>
      </c>
      <c r="J3736" s="2">
        <f ca="1">IFERROR(__xludf.DUMMYFUNCTION("""COMPUTED_VALUE"""),37986)</f>
        <v>37986</v>
      </c>
    </row>
    <row r="3737" spans="1:10" x14ac:dyDescent="0.25">
      <c r="A3737" s="1" t="str">
        <f ca="1">IFERROR(__xludf.DUMMYFUNCTION("""COMPUTED_VALUE"""),"Alba-Toll SE")</f>
        <v>Alba-Toll SE</v>
      </c>
      <c r="B3737" s="1" t="str">
        <f ca="1">IFERROR(__xludf.DUMMYFUNCTION("""COMPUTED_VALUE"""),"Pápai Zoltán")</f>
        <v>Pápai Zoltán</v>
      </c>
      <c r="C3737" s="1"/>
      <c r="D3737" s="1" t="str">
        <f ca="1">IFERROR(__xludf.DUMMYFUNCTION("""COMPUTED_VALUE"""),"Férfi")</f>
        <v>Férfi</v>
      </c>
      <c r="E3737" s="1"/>
      <c r="F3737" s="1">
        <f ca="1">IFERROR(__xludf.DUMMYFUNCTION("""COMPUTED_VALUE"""),1983)</f>
        <v>1983</v>
      </c>
      <c r="G3737" s="1">
        <f ca="1">IFERROR(__xludf.DUMMYFUNCTION("""COMPUTED_VALUE"""),745)</f>
        <v>745</v>
      </c>
      <c r="H3737" s="1" t="str">
        <f ca="1">IFERROR(__xludf.DUMMYFUNCTION("""COMPUTED_VALUE"""),"MTLSZ000745A02")</f>
        <v>MTLSZ000745A02</v>
      </c>
      <c r="I3737" s="2">
        <f ca="1">IFERROR(__xludf.DUMMYFUNCTION("""COMPUTED_VALUE"""),37622)</f>
        <v>37622</v>
      </c>
      <c r="J3737" s="2">
        <f ca="1">IFERROR(__xludf.DUMMYFUNCTION("""COMPUTED_VALUE"""),37986)</f>
        <v>37986</v>
      </c>
    </row>
    <row r="3738" spans="1:10" x14ac:dyDescent="0.25">
      <c r="A3738" s="1" t="str">
        <f ca="1">IFERROR(__xludf.DUMMYFUNCTION("""COMPUTED_VALUE"""),"Alba-Toll SE")</f>
        <v>Alba-Toll SE</v>
      </c>
      <c r="B3738" s="1" t="str">
        <f ca="1">IFERROR(__xludf.DUMMYFUNCTION("""COMPUTED_VALUE"""),"Pető Enikő")</f>
        <v>Pető Enikő</v>
      </c>
      <c r="C3738" s="1"/>
      <c r="D3738" s="1" t="str">
        <f ca="1">IFERROR(__xludf.DUMMYFUNCTION("""COMPUTED_VALUE"""),"Nő")</f>
        <v>Nő</v>
      </c>
      <c r="E3738" s="1"/>
      <c r="F3738" s="1">
        <f ca="1">IFERROR(__xludf.DUMMYFUNCTION("""COMPUTED_VALUE"""),1989)</f>
        <v>1989</v>
      </c>
      <c r="G3738" s="1">
        <f ca="1">IFERROR(__xludf.DUMMYFUNCTION("""COMPUTED_VALUE"""),767)</f>
        <v>767</v>
      </c>
      <c r="H3738" s="1" t="str">
        <f ca="1">IFERROR(__xludf.DUMMYFUNCTION("""COMPUTED_VALUE"""),"MTLSZ000767A02")</f>
        <v>MTLSZ000767A02</v>
      </c>
      <c r="I3738" s="2">
        <f ca="1">IFERROR(__xludf.DUMMYFUNCTION("""COMPUTED_VALUE"""),37622)</f>
        <v>37622</v>
      </c>
      <c r="J3738" s="2">
        <f ca="1">IFERROR(__xludf.DUMMYFUNCTION("""COMPUTED_VALUE"""),37986)</f>
        <v>37986</v>
      </c>
    </row>
    <row r="3739" spans="1:10" x14ac:dyDescent="0.25">
      <c r="A3739" s="1" t="str">
        <f ca="1">IFERROR(__xludf.DUMMYFUNCTION("""COMPUTED_VALUE"""),"Alba-Toll SE")</f>
        <v>Alba-Toll SE</v>
      </c>
      <c r="B3739" s="1" t="str">
        <f ca="1">IFERROR(__xludf.DUMMYFUNCTION("""COMPUTED_VALUE"""),"Rétegi Edit")</f>
        <v>Rétegi Edit</v>
      </c>
      <c r="C3739" s="1"/>
      <c r="D3739" s="1" t="str">
        <f ca="1">IFERROR(__xludf.DUMMYFUNCTION("""COMPUTED_VALUE"""),"Nő")</f>
        <v>Nő</v>
      </c>
      <c r="E3739" s="1"/>
      <c r="F3739" s="1">
        <f ca="1">IFERROR(__xludf.DUMMYFUNCTION("""COMPUTED_VALUE"""),1985)</f>
        <v>1985</v>
      </c>
      <c r="G3739" s="1">
        <f ca="1">IFERROR(__xludf.DUMMYFUNCTION("""COMPUTED_VALUE"""),805)</f>
        <v>805</v>
      </c>
      <c r="H3739" s="1" t="str">
        <f ca="1">IFERROR(__xludf.DUMMYFUNCTION("""COMPUTED_VALUE"""),"MTLSZ000805A02")</f>
        <v>MTLSZ000805A02</v>
      </c>
      <c r="I3739" s="2">
        <f ca="1">IFERROR(__xludf.DUMMYFUNCTION("""COMPUTED_VALUE"""),37622)</f>
        <v>37622</v>
      </c>
      <c r="J3739" s="2">
        <f ca="1">IFERROR(__xludf.DUMMYFUNCTION("""COMPUTED_VALUE"""),37986)</f>
        <v>37986</v>
      </c>
    </row>
    <row r="3740" spans="1:10" x14ac:dyDescent="0.25">
      <c r="A3740" s="1" t="str">
        <f ca="1">IFERROR(__xludf.DUMMYFUNCTION("""COMPUTED_VALUE"""),"Alba-Toll SE")</f>
        <v>Alba-Toll SE</v>
      </c>
      <c r="B3740" s="1" t="str">
        <f ca="1">IFERROR(__xludf.DUMMYFUNCTION("""COMPUTED_VALUE"""),"Schmidt Richárd")</f>
        <v>Schmidt Richárd</v>
      </c>
      <c r="C3740" s="1"/>
      <c r="D3740" s="1" t="str">
        <f ca="1">IFERROR(__xludf.DUMMYFUNCTION("""COMPUTED_VALUE"""),"Férfi")</f>
        <v>Férfi</v>
      </c>
      <c r="E3740" s="1"/>
      <c r="F3740" s="1">
        <f ca="1">IFERROR(__xludf.DUMMYFUNCTION("""COMPUTED_VALUE"""),1990)</f>
        <v>1990</v>
      </c>
      <c r="G3740" s="1">
        <f ca="1">IFERROR(__xludf.DUMMYFUNCTION("""COMPUTED_VALUE"""),840)</f>
        <v>840</v>
      </c>
      <c r="H3740" s="1" t="str">
        <f ca="1">IFERROR(__xludf.DUMMYFUNCTION("""COMPUTED_VALUE"""),"MTLSZ000840A02")</f>
        <v>MTLSZ000840A02</v>
      </c>
      <c r="I3740" s="2">
        <f ca="1">IFERROR(__xludf.DUMMYFUNCTION("""COMPUTED_VALUE"""),37622)</f>
        <v>37622</v>
      </c>
      <c r="J3740" s="2">
        <f ca="1">IFERROR(__xludf.DUMMYFUNCTION("""COMPUTED_VALUE"""),37986)</f>
        <v>37986</v>
      </c>
    </row>
    <row r="3741" spans="1:10" x14ac:dyDescent="0.25">
      <c r="A3741" s="1" t="str">
        <f ca="1">IFERROR(__xludf.DUMMYFUNCTION("""COMPUTED_VALUE"""),"Alba-Toll SE")</f>
        <v>Alba-Toll SE</v>
      </c>
      <c r="B3741" s="1" t="str">
        <f ca="1">IFERROR(__xludf.DUMMYFUNCTION("""COMPUTED_VALUE"""),"Selmeczki Ádám")</f>
        <v>Selmeczki Ádám</v>
      </c>
      <c r="C3741" s="1"/>
      <c r="D3741" s="1" t="str">
        <f ca="1">IFERROR(__xludf.DUMMYFUNCTION("""COMPUTED_VALUE"""),"Férfi")</f>
        <v>Férfi</v>
      </c>
      <c r="E3741" s="1"/>
      <c r="F3741" s="1">
        <f ca="1">IFERROR(__xludf.DUMMYFUNCTION("""COMPUTED_VALUE"""),1987)</f>
        <v>1987</v>
      </c>
      <c r="G3741" s="1">
        <f ca="1">IFERROR(__xludf.DUMMYFUNCTION("""COMPUTED_VALUE"""),848)</f>
        <v>848</v>
      </c>
      <c r="H3741" s="1" t="str">
        <f ca="1">IFERROR(__xludf.DUMMYFUNCTION("""COMPUTED_VALUE"""),"MTLSZ000848A02")</f>
        <v>MTLSZ000848A02</v>
      </c>
      <c r="I3741" s="2">
        <f ca="1">IFERROR(__xludf.DUMMYFUNCTION("""COMPUTED_VALUE"""),37622)</f>
        <v>37622</v>
      </c>
      <c r="J3741" s="2">
        <f ca="1">IFERROR(__xludf.DUMMYFUNCTION("""COMPUTED_VALUE"""),37986)</f>
        <v>37986</v>
      </c>
    </row>
    <row r="3742" spans="1:10" x14ac:dyDescent="0.25">
      <c r="A3742" s="1" t="str">
        <f ca="1">IFERROR(__xludf.DUMMYFUNCTION("""COMPUTED_VALUE"""),"Alba-Toll SE")</f>
        <v>Alba-Toll SE</v>
      </c>
      <c r="B3742" s="1" t="str">
        <f ca="1">IFERROR(__xludf.DUMMYFUNCTION("""COMPUTED_VALUE"""),"Strenner Balázs")</f>
        <v>Strenner Balázs</v>
      </c>
      <c r="C3742" s="1"/>
      <c r="D3742" s="1" t="str">
        <f ca="1">IFERROR(__xludf.DUMMYFUNCTION("""COMPUTED_VALUE"""),"Férfi")</f>
        <v>Férfi</v>
      </c>
      <c r="E3742" s="1"/>
      <c r="F3742" s="1">
        <f ca="1">IFERROR(__xludf.DUMMYFUNCTION("""COMPUTED_VALUE"""),1986)</f>
        <v>1986</v>
      </c>
      <c r="G3742" s="1">
        <f ca="1">IFERROR(__xludf.DUMMYFUNCTION("""COMPUTED_VALUE"""),873)</f>
        <v>873</v>
      </c>
      <c r="H3742" s="1" t="str">
        <f ca="1">IFERROR(__xludf.DUMMYFUNCTION("""COMPUTED_VALUE"""),"MTLSZ000873A02")</f>
        <v>MTLSZ000873A02</v>
      </c>
      <c r="I3742" s="2">
        <f ca="1">IFERROR(__xludf.DUMMYFUNCTION("""COMPUTED_VALUE"""),37622)</f>
        <v>37622</v>
      </c>
      <c r="J3742" s="2">
        <f ca="1">IFERROR(__xludf.DUMMYFUNCTION("""COMPUTED_VALUE"""),37986)</f>
        <v>37986</v>
      </c>
    </row>
    <row r="3743" spans="1:10" x14ac:dyDescent="0.25">
      <c r="A3743" s="1" t="str">
        <f ca="1">IFERROR(__xludf.DUMMYFUNCTION("""COMPUTED_VALUE"""),"Alba-Toll SE")</f>
        <v>Alba-Toll SE</v>
      </c>
      <c r="B3743" s="1" t="str">
        <f ca="1">IFERROR(__xludf.DUMMYFUNCTION("""COMPUTED_VALUE"""),"Szabadi Károly")</f>
        <v>Szabadi Károly</v>
      </c>
      <c r="C3743" s="1"/>
      <c r="D3743" s="1" t="str">
        <f ca="1">IFERROR(__xludf.DUMMYFUNCTION("""COMPUTED_VALUE"""),"Férfi")</f>
        <v>Férfi</v>
      </c>
      <c r="E3743" s="1"/>
      <c r="F3743" s="1">
        <f ca="1">IFERROR(__xludf.DUMMYFUNCTION("""COMPUTED_VALUE"""),1985)</f>
        <v>1985</v>
      </c>
      <c r="G3743" s="1">
        <f ca="1">IFERROR(__xludf.DUMMYFUNCTION("""COMPUTED_VALUE"""),878)</f>
        <v>878</v>
      </c>
      <c r="H3743" s="1" t="str">
        <f ca="1">IFERROR(__xludf.DUMMYFUNCTION("""COMPUTED_VALUE"""),"MTLSZ000878A02")</f>
        <v>MTLSZ000878A02</v>
      </c>
      <c r="I3743" s="2">
        <f ca="1">IFERROR(__xludf.DUMMYFUNCTION("""COMPUTED_VALUE"""),37622)</f>
        <v>37622</v>
      </c>
      <c r="J3743" s="2">
        <f ca="1">IFERROR(__xludf.DUMMYFUNCTION("""COMPUTED_VALUE"""),37986)</f>
        <v>37986</v>
      </c>
    </row>
    <row r="3744" spans="1:10" x14ac:dyDescent="0.25">
      <c r="A3744" s="1" t="str">
        <f ca="1">IFERROR(__xludf.DUMMYFUNCTION("""COMPUTED_VALUE"""),"Alba-Toll SE")</f>
        <v>Alba-Toll SE</v>
      </c>
      <c r="B3744" s="1" t="str">
        <f ca="1">IFERROR(__xludf.DUMMYFUNCTION("""COMPUTED_VALUE"""),"Szabó Balázs")</f>
        <v>Szabó Balázs</v>
      </c>
      <c r="C3744" s="1"/>
      <c r="D3744" s="1" t="str">
        <f ca="1">IFERROR(__xludf.DUMMYFUNCTION("""COMPUTED_VALUE"""),"Férfi")</f>
        <v>Férfi</v>
      </c>
      <c r="E3744" s="1"/>
      <c r="F3744" s="1">
        <f ca="1">IFERROR(__xludf.DUMMYFUNCTION("""COMPUTED_VALUE"""),1987)</f>
        <v>1987</v>
      </c>
      <c r="G3744" s="1">
        <f ca="1">IFERROR(__xludf.DUMMYFUNCTION("""COMPUTED_VALUE"""),883)</f>
        <v>883</v>
      </c>
      <c r="H3744" s="1" t="str">
        <f ca="1">IFERROR(__xludf.DUMMYFUNCTION("""COMPUTED_VALUE"""),"MTLSZ000883A02")</f>
        <v>MTLSZ000883A02</v>
      </c>
      <c r="I3744" s="2">
        <f ca="1">IFERROR(__xludf.DUMMYFUNCTION("""COMPUTED_VALUE"""),37622)</f>
        <v>37622</v>
      </c>
      <c r="J3744" s="2">
        <f ca="1">IFERROR(__xludf.DUMMYFUNCTION("""COMPUTED_VALUE"""),37986)</f>
        <v>37986</v>
      </c>
    </row>
    <row r="3745" spans="1:10" x14ac:dyDescent="0.25">
      <c r="A3745" s="1" t="str">
        <f ca="1">IFERROR(__xludf.DUMMYFUNCTION("""COMPUTED_VALUE"""),"Alba-Toll SE")</f>
        <v>Alba-Toll SE</v>
      </c>
      <c r="B3745" s="1" t="str">
        <f ca="1">IFERROR(__xludf.DUMMYFUNCTION("""COMPUTED_VALUE"""),"Szabó Fruzsina")</f>
        <v>Szabó Fruzsina</v>
      </c>
      <c r="C3745" s="1"/>
      <c r="D3745" s="1" t="str">
        <f ca="1">IFERROR(__xludf.DUMMYFUNCTION("""COMPUTED_VALUE"""),"Nő")</f>
        <v>Nő</v>
      </c>
      <c r="E3745" s="1"/>
      <c r="F3745" s="1">
        <f ca="1">IFERROR(__xludf.DUMMYFUNCTION("""COMPUTED_VALUE"""),1989)</f>
        <v>1989</v>
      </c>
      <c r="G3745" s="1">
        <f ca="1">IFERROR(__xludf.DUMMYFUNCTION("""COMPUTED_VALUE"""),889)</f>
        <v>889</v>
      </c>
      <c r="H3745" s="1" t="str">
        <f ca="1">IFERROR(__xludf.DUMMYFUNCTION("""COMPUTED_VALUE"""),"MTLSZ000889A02")</f>
        <v>MTLSZ000889A02</v>
      </c>
      <c r="I3745" s="2">
        <f ca="1">IFERROR(__xludf.DUMMYFUNCTION("""COMPUTED_VALUE"""),37622)</f>
        <v>37622</v>
      </c>
      <c r="J3745" s="2">
        <f ca="1">IFERROR(__xludf.DUMMYFUNCTION("""COMPUTED_VALUE"""),37986)</f>
        <v>37986</v>
      </c>
    </row>
    <row r="3746" spans="1:10" x14ac:dyDescent="0.25">
      <c r="A3746" s="1" t="str">
        <f ca="1">IFERROR(__xludf.DUMMYFUNCTION("""COMPUTED_VALUE"""),"Alba-Toll SE")</f>
        <v>Alba-Toll SE</v>
      </c>
      <c r="B3746" s="1" t="str">
        <f ca="1">IFERROR(__xludf.DUMMYFUNCTION("""COMPUTED_VALUE"""),"Turáni Csaba")</f>
        <v>Turáni Csaba</v>
      </c>
      <c r="C3746" s="1"/>
      <c r="D3746" s="1" t="str">
        <f ca="1">IFERROR(__xludf.DUMMYFUNCTION("""COMPUTED_VALUE"""),"Férfi")</f>
        <v>Férfi</v>
      </c>
      <c r="E3746" s="1"/>
      <c r="F3746" s="1">
        <f ca="1">IFERROR(__xludf.DUMMYFUNCTION("""COMPUTED_VALUE"""),1984)</f>
        <v>1984</v>
      </c>
      <c r="G3746" s="1">
        <f ca="1">IFERROR(__xludf.DUMMYFUNCTION("""COMPUTED_VALUE"""),1060)</f>
        <v>1060</v>
      </c>
      <c r="H3746" s="1" t="str">
        <f ca="1">IFERROR(__xludf.DUMMYFUNCTION("""COMPUTED_VALUE"""),"MTLSZ001060A02")</f>
        <v>MTLSZ001060A02</v>
      </c>
      <c r="I3746" s="2">
        <f ca="1">IFERROR(__xludf.DUMMYFUNCTION("""COMPUTED_VALUE"""),37622)</f>
        <v>37622</v>
      </c>
      <c r="J3746" s="2">
        <f ca="1">IFERROR(__xludf.DUMMYFUNCTION("""COMPUTED_VALUE"""),37986)</f>
        <v>37986</v>
      </c>
    </row>
    <row r="3747" spans="1:10" x14ac:dyDescent="0.25">
      <c r="A3747" s="1" t="str">
        <f ca="1">IFERROR(__xludf.DUMMYFUNCTION("""COMPUTED_VALUE"""),"Alba-Toll SE")</f>
        <v>Alba-Toll SE</v>
      </c>
      <c r="B3747" s="1" t="str">
        <f ca="1">IFERROR(__xludf.DUMMYFUNCTION("""COMPUTED_VALUE"""),"Urbán Zoltán")</f>
        <v>Urbán Zoltán</v>
      </c>
      <c r="C3747" s="1"/>
      <c r="D3747" s="1" t="str">
        <f ca="1">IFERROR(__xludf.DUMMYFUNCTION("""COMPUTED_VALUE"""),"Férfi")</f>
        <v>Férfi</v>
      </c>
      <c r="E3747" s="1"/>
      <c r="F3747" s="1">
        <f ca="1">IFERROR(__xludf.DUMMYFUNCTION("""COMPUTED_VALUE"""),1975)</f>
        <v>1975</v>
      </c>
      <c r="G3747" s="1">
        <f ca="1">IFERROR(__xludf.DUMMYFUNCTION("""COMPUTED_VALUE"""),1077)</f>
        <v>1077</v>
      </c>
      <c r="H3747" s="1" t="str">
        <f ca="1">IFERROR(__xludf.DUMMYFUNCTION("""COMPUTED_VALUE"""),"MTLSZ001077A02")</f>
        <v>MTLSZ001077A02</v>
      </c>
      <c r="I3747" s="2">
        <f ca="1">IFERROR(__xludf.DUMMYFUNCTION("""COMPUTED_VALUE"""),37622)</f>
        <v>37622</v>
      </c>
      <c r="J3747" s="2">
        <f ca="1">IFERROR(__xludf.DUMMYFUNCTION("""COMPUTED_VALUE"""),37986)</f>
        <v>37986</v>
      </c>
    </row>
    <row r="3748" spans="1:10" x14ac:dyDescent="0.25">
      <c r="A3748" s="1" t="str">
        <f ca="1">IFERROR(__xludf.DUMMYFUNCTION("""COMPUTED_VALUE"""),"Alba-Toll SE")</f>
        <v>Alba-Toll SE</v>
      </c>
      <c r="B3748" s="1" t="str">
        <f ca="1">IFERROR(__xludf.DUMMYFUNCTION("""COMPUTED_VALUE"""),"Varga Márton")</f>
        <v>Varga Márton</v>
      </c>
      <c r="C3748" s="1"/>
      <c r="D3748" s="1" t="str">
        <f ca="1">IFERROR(__xludf.DUMMYFUNCTION("""COMPUTED_VALUE"""),"Férfi")</f>
        <v>Férfi</v>
      </c>
      <c r="E3748" s="1"/>
      <c r="F3748" s="1">
        <f ca="1">IFERROR(__xludf.DUMMYFUNCTION("""COMPUTED_VALUE"""),1986)</f>
        <v>1986</v>
      </c>
      <c r="G3748" s="1">
        <f ca="1">IFERROR(__xludf.DUMMYFUNCTION("""COMPUTED_VALUE"""),1093)</f>
        <v>1093</v>
      </c>
      <c r="H3748" s="1" t="str">
        <f ca="1">IFERROR(__xludf.DUMMYFUNCTION("""COMPUTED_VALUE"""),"MTLSZ001093A02")</f>
        <v>MTLSZ001093A02</v>
      </c>
      <c r="I3748" s="2">
        <f ca="1">IFERROR(__xludf.DUMMYFUNCTION("""COMPUTED_VALUE"""),37622)</f>
        <v>37622</v>
      </c>
      <c r="J3748" s="2">
        <f ca="1">IFERROR(__xludf.DUMMYFUNCTION("""COMPUTED_VALUE"""),37986)</f>
        <v>37986</v>
      </c>
    </row>
    <row r="3749" spans="1:10" x14ac:dyDescent="0.25">
      <c r="A3749" s="1" t="str">
        <f ca="1">IFERROR(__xludf.DUMMYFUNCTION("""COMPUTED_VALUE"""),"Bagodi ISK")</f>
        <v>Bagodi ISK</v>
      </c>
      <c r="B3749" s="1" t="str">
        <f ca="1">IFERROR(__xludf.DUMMYFUNCTION("""COMPUTED_VALUE"""),"Benedek Péter")</f>
        <v>Benedek Péter</v>
      </c>
      <c r="C3749" s="1"/>
      <c r="D3749" s="1" t="str">
        <f ca="1">IFERROR(__xludf.DUMMYFUNCTION("""COMPUTED_VALUE"""),"Férfi")</f>
        <v>Férfi</v>
      </c>
      <c r="E3749" s="1"/>
      <c r="F3749" s="1">
        <f ca="1">IFERROR(__xludf.DUMMYFUNCTION("""COMPUTED_VALUE"""),1987)</f>
        <v>1987</v>
      </c>
      <c r="G3749" s="1">
        <f ca="1">IFERROR(__xludf.DUMMYFUNCTION("""COMPUTED_VALUE"""),72)</f>
        <v>72</v>
      </c>
      <c r="H3749" s="1" t="str">
        <f ca="1">IFERROR(__xludf.DUMMYFUNCTION("""COMPUTED_VALUE"""),"MTLSZ000072A02")</f>
        <v>MTLSZ000072A02</v>
      </c>
      <c r="I3749" s="2">
        <f ca="1">IFERROR(__xludf.DUMMYFUNCTION("""COMPUTED_VALUE"""),37622)</f>
        <v>37622</v>
      </c>
      <c r="J3749" s="2">
        <f ca="1">IFERROR(__xludf.DUMMYFUNCTION("""COMPUTED_VALUE"""),37986)</f>
        <v>37986</v>
      </c>
    </row>
    <row r="3750" spans="1:10" x14ac:dyDescent="0.25">
      <c r="A3750" s="1" t="str">
        <f ca="1">IFERROR(__xludf.DUMMYFUNCTION("""COMPUTED_VALUE"""),"Bagodi ISK")</f>
        <v>Bagodi ISK</v>
      </c>
      <c r="B3750" s="1" t="str">
        <f ca="1">IFERROR(__xludf.DUMMYFUNCTION("""COMPUTED_VALUE"""),"Borbély Péter")</f>
        <v>Borbély Péter</v>
      </c>
      <c r="C3750" s="1"/>
      <c r="D3750" s="1" t="str">
        <f ca="1">IFERROR(__xludf.DUMMYFUNCTION("""COMPUTED_VALUE"""),"Férfi")</f>
        <v>Férfi</v>
      </c>
      <c r="E3750" s="1"/>
      <c r="F3750" s="1">
        <f ca="1">IFERROR(__xludf.DUMMYFUNCTION("""COMPUTED_VALUE"""),1983)</f>
        <v>1983</v>
      </c>
      <c r="G3750" s="1">
        <f ca="1">IFERROR(__xludf.DUMMYFUNCTION("""COMPUTED_VALUE"""),102)</f>
        <v>102</v>
      </c>
      <c r="H3750" s="1" t="str">
        <f ca="1">IFERROR(__xludf.DUMMYFUNCTION("""COMPUTED_VALUE"""),"MTLSZ000102A02")</f>
        <v>MTLSZ000102A02</v>
      </c>
      <c r="I3750" s="2">
        <f ca="1">IFERROR(__xludf.DUMMYFUNCTION("""COMPUTED_VALUE"""),37622)</f>
        <v>37622</v>
      </c>
      <c r="J3750" s="2">
        <f ca="1">IFERROR(__xludf.DUMMYFUNCTION("""COMPUTED_VALUE"""),37986)</f>
        <v>37986</v>
      </c>
    </row>
    <row r="3751" spans="1:10" x14ac:dyDescent="0.25">
      <c r="A3751" s="1" t="str">
        <f ca="1">IFERROR(__xludf.DUMMYFUNCTION("""COMPUTED_VALUE"""),"Bagodi ISK")</f>
        <v>Bagodi ISK</v>
      </c>
      <c r="B3751" s="1" t="str">
        <f ca="1">IFERROR(__xludf.DUMMYFUNCTION("""COMPUTED_VALUE"""),"Csécs Viktória")</f>
        <v>Csécs Viktória</v>
      </c>
      <c r="C3751" s="1"/>
      <c r="D3751" s="1" t="str">
        <f ca="1">IFERROR(__xludf.DUMMYFUNCTION("""COMPUTED_VALUE"""),"Nő")</f>
        <v>Nő</v>
      </c>
      <c r="E3751" s="1"/>
      <c r="F3751" s="1">
        <f ca="1">IFERROR(__xludf.DUMMYFUNCTION("""COMPUTED_VALUE"""),2000)</f>
        <v>2000</v>
      </c>
      <c r="G3751" s="1">
        <f ca="1">IFERROR(__xludf.DUMMYFUNCTION("""COMPUTED_VALUE"""),130)</f>
        <v>130</v>
      </c>
      <c r="H3751" s="1" t="str">
        <f ca="1">IFERROR(__xludf.DUMMYFUNCTION("""COMPUTED_VALUE"""),"MTLSZ000130A02")</f>
        <v>MTLSZ000130A02</v>
      </c>
      <c r="I3751" s="2">
        <f ca="1">IFERROR(__xludf.DUMMYFUNCTION("""COMPUTED_VALUE"""),37622)</f>
        <v>37622</v>
      </c>
      <c r="J3751" s="2">
        <f ca="1">IFERROR(__xludf.DUMMYFUNCTION("""COMPUTED_VALUE"""),37986)</f>
        <v>37986</v>
      </c>
    </row>
    <row r="3752" spans="1:10" x14ac:dyDescent="0.25">
      <c r="A3752" s="1" t="str">
        <f ca="1">IFERROR(__xludf.DUMMYFUNCTION("""COMPUTED_VALUE"""),"Bagodi ISK")</f>
        <v>Bagodi ISK</v>
      </c>
      <c r="B3752" s="1" t="str">
        <f ca="1">IFERROR(__xludf.DUMMYFUNCTION("""COMPUTED_VALUE"""),"Gulyás Roland")</f>
        <v>Gulyás Roland</v>
      </c>
      <c r="C3752" s="1"/>
      <c r="D3752" s="1" t="str">
        <f ca="1">IFERROR(__xludf.DUMMYFUNCTION("""COMPUTED_VALUE"""),"Férfi")</f>
        <v>Férfi</v>
      </c>
      <c r="E3752" s="1"/>
      <c r="F3752" s="1">
        <f ca="1">IFERROR(__xludf.DUMMYFUNCTION("""COMPUTED_VALUE"""),1985)</f>
        <v>1985</v>
      </c>
      <c r="G3752" s="1">
        <f ca="1">IFERROR(__xludf.DUMMYFUNCTION("""COMPUTED_VALUE"""),312)</f>
        <v>312</v>
      </c>
      <c r="H3752" s="1" t="str">
        <f ca="1">IFERROR(__xludf.DUMMYFUNCTION("""COMPUTED_VALUE"""),"MTLSZ000312A02")</f>
        <v>MTLSZ000312A02</v>
      </c>
      <c r="I3752" s="2">
        <f ca="1">IFERROR(__xludf.DUMMYFUNCTION("""COMPUTED_VALUE"""),37622)</f>
        <v>37622</v>
      </c>
      <c r="J3752" s="2">
        <f ca="1">IFERROR(__xludf.DUMMYFUNCTION("""COMPUTED_VALUE"""),37986)</f>
        <v>37986</v>
      </c>
    </row>
    <row r="3753" spans="1:10" x14ac:dyDescent="0.25">
      <c r="A3753" s="1" t="str">
        <f ca="1">IFERROR(__xludf.DUMMYFUNCTION("""COMPUTED_VALUE"""),"Bagodi ISK")</f>
        <v>Bagodi ISK</v>
      </c>
      <c r="B3753" s="1" t="str">
        <f ca="1">IFERROR(__xludf.DUMMYFUNCTION("""COMPUTED_VALUE"""),"Györe Krisztián")</f>
        <v>Györe Krisztián</v>
      </c>
      <c r="C3753" s="1"/>
      <c r="D3753" s="1" t="str">
        <f ca="1">IFERROR(__xludf.DUMMYFUNCTION("""COMPUTED_VALUE"""),"Férfi")</f>
        <v>Férfi</v>
      </c>
      <c r="E3753" s="1"/>
      <c r="F3753" s="1">
        <f ca="1">IFERROR(__xludf.DUMMYFUNCTION("""COMPUTED_VALUE"""),1985)</f>
        <v>1985</v>
      </c>
      <c r="G3753" s="1">
        <f ca="1">IFERROR(__xludf.DUMMYFUNCTION("""COMPUTED_VALUE"""),325)</f>
        <v>325</v>
      </c>
      <c r="H3753" s="1" t="str">
        <f ca="1">IFERROR(__xludf.DUMMYFUNCTION("""COMPUTED_VALUE"""),"MTLSZ000325A02")</f>
        <v>MTLSZ000325A02</v>
      </c>
      <c r="I3753" s="2">
        <f ca="1">IFERROR(__xludf.DUMMYFUNCTION("""COMPUTED_VALUE"""),37622)</f>
        <v>37622</v>
      </c>
      <c r="J3753" s="2">
        <f ca="1">IFERROR(__xludf.DUMMYFUNCTION("""COMPUTED_VALUE"""),37986)</f>
        <v>37986</v>
      </c>
    </row>
    <row r="3754" spans="1:10" x14ac:dyDescent="0.25">
      <c r="A3754" s="1" t="str">
        <f ca="1">IFERROR(__xludf.DUMMYFUNCTION("""COMPUTED_VALUE"""),"Bagodi ISK")</f>
        <v>Bagodi ISK</v>
      </c>
      <c r="B3754" s="1" t="str">
        <f ca="1">IFERROR(__xludf.DUMMYFUNCTION("""COMPUTED_VALUE"""),"Horváth Kitti")</f>
        <v>Horváth Kitti</v>
      </c>
      <c r="C3754" s="1"/>
      <c r="D3754" s="1" t="str">
        <f ca="1">IFERROR(__xludf.DUMMYFUNCTION("""COMPUTED_VALUE"""),"Nő")</f>
        <v>Nő</v>
      </c>
      <c r="E3754" s="1"/>
      <c r="F3754" s="1">
        <f ca="1">IFERROR(__xludf.DUMMYFUNCTION("""COMPUTED_VALUE"""),1984)</f>
        <v>1984</v>
      </c>
      <c r="G3754" s="1">
        <f ca="1">IFERROR(__xludf.DUMMYFUNCTION("""COMPUTED_VALUE"""),374)</f>
        <v>374</v>
      </c>
      <c r="H3754" s="1" t="str">
        <f ca="1">IFERROR(__xludf.DUMMYFUNCTION("""COMPUTED_VALUE"""),"MTLSZ000374A02")</f>
        <v>MTLSZ000374A02</v>
      </c>
      <c r="I3754" s="2">
        <f ca="1">IFERROR(__xludf.DUMMYFUNCTION("""COMPUTED_VALUE"""),37622)</f>
        <v>37622</v>
      </c>
      <c r="J3754" s="2">
        <f ca="1">IFERROR(__xludf.DUMMYFUNCTION("""COMPUTED_VALUE"""),37986)</f>
        <v>37986</v>
      </c>
    </row>
    <row r="3755" spans="1:10" x14ac:dyDescent="0.25">
      <c r="A3755" s="1" t="str">
        <f ca="1">IFERROR(__xludf.DUMMYFUNCTION("""COMPUTED_VALUE"""),"Bagodi ISK")</f>
        <v>Bagodi ISK</v>
      </c>
      <c r="B3755" s="1" t="str">
        <f ca="1">IFERROR(__xludf.DUMMYFUNCTION("""COMPUTED_VALUE"""),"Kálmán Alida")</f>
        <v>Kálmán Alida</v>
      </c>
      <c r="C3755" s="1"/>
      <c r="D3755" s="1" t="str">
        <f ca="1">IFERROR(__xludf.DUMMYFUNCTION("""COMPUTED_VALUE"""),"Nő")</f>
        <v>Nő</v>
      </c>
      <c r="E3755" s="1"/>
      <c r="F3755" s="1">
        <f ca="1">IFERROR(__xludf.DUMMYFUNCTION("""COMPUTED_VALUE"""),2000)</f>
        <v>2000</v>
      </c>
      <c r="G3755" s="1">
        <f ca="1">IFERROR(__xludf.DUMMYFUNCTION("""COMPUTED_VALUE"""),422)</f>
        <v>422</v>
      </c>
      <c r="H3755" s="1" t="str">
        <f ca="1">IFERROR(__xludf.DUMMYFUNCTION("""COMPUTED_VALUE"""),"MTLSZ000422A02")</f>
        <v>MTLSZ000422A02</v>
      </c>
      <c r="I3755" s="2">
        <f ca="1">IFERROR(__xludf.DUMMYFUNCTION("""COMPUTED_VALUE"""),37622)</f>
        <v>37622</v>
      </c>
      <c r="J3755" s="2">
        <f ca="1">IFERROR(__xludf.DUMMYFUNCTION("""COMPUTED_VALUE"""),37986)</f>
        <v>37986</v>
      </c>
    </row>
    <row r="3756" spans="1:10" x14ac:dyDescent="0.25">
      <c r="A3756" s="1" t="str">
        <f ca="1">IFERROR(__xludf.DUMMYFUNCTION("""COMPUTED_VALUE"""),"Bagodi ISK")</f>
        <v>Bagodi ISK</v>
      </c>
      <c r="B3756" s="1" t="str">
        <f ca="1">IFERROR(__xludf.DUMMYFUNCTION("""COMPUTED_VALUE"""),"Kiss Viktória")</f>
        <v>Kiss Viktória</v>
      </c>
      <c r="C3756" s="1"/>
      <c r="D3756" s="1" t="str">
        <f ca="1">IFERROR(__xludf.DUMMYFUNCTION("""COMPUTED_VALUE"""),"Nő")</f>
        <v>Nő</v>
      </c>
      <c r="E3756" s="1"/>
      <c r="F3756" s="1">
        <f ca="1">IFERROR(__xludf.DUMMYFUNCTION("""COMPUTED_VALUE"""),1988)</f>
        <v>1988</v>
      </c>
      <c r="G3756" s="1">
        <f ca="1">IFERROR(__xludf.DUMMYFUNCTION("""COMPUTED_VALUE"""),493)</f>
        <v>493</v>
      </c>
      <c r="H3756" s="1" t="str">
        <f ca="1">IFERROR(__xludf.DUMMYFUNCTION("""COMPUTED_VALUE"""),"MTLSZ000493A02")</f>
        <v>MTLSZ000493A02</v>
      </c>
      <c r="I3756" s="2">
        <f ca="1">IFERROR(__xludf.DUMMYFUNCTION("""COMPUTED_VALUE"""),37622)</f>
        <v>37622</v>
      </c>
      <c r="J3756" s="2">
        <f ca="1">IFERROR(__xludf.DUMMYFUNCTION("""COMPUTED_VALUE"""),37986)</f>
        <v>37986</v>
      </c>
    </row>
    <row r="3757" spans="1:10" x14ac:dyDescent="0.25">
      <c r="A3757" s="1" t="str">
        <f ca="1">IFERROR(__xludf.DUMMYFUNCTION("""COMPUTED_VALUE"""),"Bagodi ISK")</f>
        <v>Bagodi ISK</v>
      </c>
      <c r="B3757" s="1" t="str">
        <f ca="1">IFERROR(__xludf.DUMMYFUNCTION("""COMPUTED_VALUE"""),"Molnár Zsófia")</f>
        <v>Molnár Zsófia</v>
      </c>
      <c r="C3757" s="1"/>
      <c r="D3757" s="1" t="str">
        <f ca="1">IFERROR(__xludf.DUMMYFUNCTION("""COMPUTED_VALUE"""),"Nő")</f>
        <v>Nő</v>
      </c>
      <c r="E3757" s="1"/>
      <c r="F3757" s="1">
        <f ca="1">IFERROR(__xludf.DUMMYFUNCTION("""COMPUTED_VALUE"""),2000)</f>
        <v>2000</v>
      </c>
      <c r="G3757" s="1">
        <f ca="1">IFERROR(__xludf.DUMMYFUNCTION("""COMPUTED_VALUE"""),669)</f>
        <v>669</v>
      </c>
      <c r="H3757" s="1" t="str">
        <f ca="1">IFERROR(__xludf.DUMMYFUNCTION("""COMPUTED_VALUE"""),"MTLSZ000669A02")</f>
        <v>MTLSZ000669A02</v>
      </c>
      <c r="I3757" s="2">
        <f ca="1">IFERROR(__xludf.DUMMYFUNCTION("""COMPUTED_VALUE"""),37622)</f>
        <v>37622</v>
      </c>
      <c r="J3757" s="2">
        <f ca="1">IFERROR(__xludf.DUMMYFUNCTION("""COMPUTED_VALUE"""),37986)</f>
        <v>37986</v>
      </c>
    </row>
    <row r="3758" spans="1:10" x14ac:dyDescent="0.25">
      <c r="A3758" s="1" t="str">
        <f ca="1">IFERROR(__xludf.DUMMYFUNCTION("""COMPUTED_VALUE"""),"Bagodi ISK")</f>
        <v>Bagodi ISK</v>
      </c>
      <c r="B3758" s="1" t="str">
        <f ca="1">IFERROR(__xludf.DUMMYFUNCTION("""COMPUTED_VALUE"""),"Simon András")</f>
        <v>Simon András</v>
      </c>
      <c r="C3758" s="1"/>
      <c r="D3758" s="1" t="str">
        <f ca="1">IFERROR(__xludf.DUMMYFUNCTION("""COMPUTED_VALUE"""),"Férfi")</f>
        <v>Férfi</v>
      </c>
      <c r="E3758" s="1"/>
      <c r="F3758" s="1">
        <f ca="1">IFERROR(__xludf.DUMMYFUNCTION("""COMPUTED_VALUE"""),1981)</f>
        <v>1981</v>
      </c>
      <c r="G3758" s="1">
        <f ca="1">IFERROR(__xludf.DUMMYFUNCTION("""COMPUTED_VALUE"""),854)</f>
        <v>854</v>
      </c>
      <c r="H3758" s="1" t="str">
        <f ca="1">IFERROR(__xludf.DUMMYFUNCTION("""COMPUTED_VALUE"""),"MTLSZ000854A02")</f>
        <v>MTLSZ000854A02</v>
      </c>
      <c r="I3758" s="2">
        <f ca="1">IFERROR(__xludf.DUMMYFUNCTION("""COMPUTED_VALUE"""),37622)</f>
        <v>37622</v>
      </c>
      <c r="J3758" s="2">
        <f ca="1">IFERROR(__xludf.DUMMYFUNCTION("""COMPUTED_VALUE"""),37986)</f>
        <v>37986</v>
      </c>
    </row>
    <row r="3759" spans="1:10" x14ac:dyDescent="0.25">
      <c r="A3759" s="1" t="str">
        <f ca="1">IFERROR(__xludf.DUMMYFUNCTION("""COMPUTED_VALUE"""),"Bagodi ISK")</f>
        <v>Bagodi ISK</v>
      </c>
      <c r="B3759" s="1" t="str">
        <f ca="1">IFERROR(__xludf.DUMMYFUNCTION("""COMPUTED_VALUE"""),"Sipos Ferenc")</f>
        <v>Sipos Ferenc</v>
      </c>
      <c r="C3759" s="1"/>
      <c r="D3759" s="1" t="str">
        <f ca="1">IFERROR(__xludf.DUMMYFUNCTION("""COMPUTED_VALUE"""),"Férfi")</f>
        <v>Férfi</v>
      </c>
      <c r="E3759" s="1"/>
      <c r="F3759" s="1">
        <f ca="1">IFERROR(__xludf.DUMMYFUNCTION("""COMPUTED_VALUE"""),1978)</f>
        <v>1978</v>
      </c>
      <c r="G3759" s="1">
        <f ca="1">IFERROR(__xludf.DUMMYFUNCTION("""COMPUTED_VALUE"""),860)</f>
        <v>860</v>
      </c>
      <c r="H3759" s="1" t="str">
        <f ca="1">IFERROR(__xludf.DUMMYFUNCTION("""COMPUTED_VALUE"""),"MTLSZ000860A02")</f>
        <v>MTLSZ000860A02</v>
      </c>
      <c r="I3759" s="2">
        <f ca="1">IFERROR(__xludf.DUMMYFUNCTION("""COMPUTED_VALUE"""),37622)</f>
        <v>37622</v>
      </c>
      <c r="J3759" s="2">
        <f ca="1">IFERROR(__xludf.DUMMYFUNCTION("""COMPUTED_VALUE"""),37986)</f>
        <v>37986</v>
      </c>
    </row>
    <row r="3760" spans="1:10" x14ac:dyDescent="0.25">
      <c r="A3760" s="1" t="str">
        <f ca="1">IFERROR(__xludf.DUMMYFUNCTION("""COMPUTED_VALUE"""),"Bagodi ISK")</f>
        <v>Bagodi ISK</v>
      </c>
      <c r="B3760" s="1" t="str">
        <f ca="1">IFERROR(__xludf.DUMMYFUNCTION("""COMPUTED_VALUE"""),"Szekér Laura")</f>
        <v>Szekér Laura</v>
      </c>
      <c r="C3760" s="1"/>
      <c r="D3760" s="1" t="str">
        <f ca="1">IFERROR(__xludf.DUMMYFUNCTION("""COMPUTED_VALUE"""),"Nő")</f>
        <v>Nő</v>
      </c>
      <c r="E3760" s="1"/>
      <c r="F3760" s="1">
        <f ca="1">IFERROR(__xludf.DUMMYFUNCTION("""COMPUTED_VALUE"""),1985)</f>
        <v>1985</v>
      </c>
      <c r="G3760" s="1">
        <f ca="1">IFERROR(__xludf.DUMMYFUNCTION("""COMPUTED_VALUE"""),930)</f>
        <v>930</v>
      </c>
      <c r="H3760" s="1" t="str">
        <f ca="1">IFERROR(__xludf.DUMMYFUNCTION("""COMPUTED_VALUE"""),"MTLSZ000930A02")</f>
        <v>MTLSZ000930A02</v>
      </c>
      <c r="I3760" s="2">
        <f ca="1">IFERROR(__xludf.DUMMYFUNCTION("""COMPUTED_VALUE"""),37622)</f>
        <v>37622</v>
      </c>
      <c r="J3760" s="2">
        <f ca="1">IFERROR(__xludf.DUMMYFUNCTION("""COMPUTED_VALUE"""),37986)</f>
        <v>37986</v>
      </c>
    </row>
    <row r="3761" spans="1:10" x14ac:dyDescent="0.25">
      <c r="A3761" s="1" t="str">
        <f ca="1">IFERROR(__xludf.DUMMYFUNCTION("""COMPUTED_VALUE"""),"Bagodi ISK")</f>
        <v>Bagodi ISK</v>
      </c>
      <c r="B3761" s="1" t="str">
        <f ca="1">IFERROR(__xludf.DUMMYFUNCTION("""COMPUTED_VALUE"""),"Takács Attila")</f>
        <v>Takács Attila</v>
      </c>
      <c r="C3761" s="1"/>
      <c r="D3761" s="1" t="str">
        <f ca="1">IFERROR(__xludf.DUMMYFUNCTION("""COMPUTED_VALUE"""),"Férfi")</f>
        <v>Férfi</v>
      </c>
      <c r="E3761" s="1"/>
      <c r="F3761" s="1">
        <f ca="1">IFERROR(__xludf.DUMMYFUNCTION("""COMPUTED_VALUE"""),1988)</f>
        <v>1988</v>
      </c>
      <c r="G3761" s="1">
        <f ca="1">IFERROR(__xludf.DUMMYFUNCTION("""COMPUTED_VALUE"""),987)</f>
        <v>987</v>
      </c>
      <c r="H3761" s="1" t="str">
        <f ca="1">IFERROR(__xludf.DUMMYFUNCTION("""COMPUTED_VALUE"""),"MTLSZ000987A02")</f>
        <v>MTLSZ000987A02</v>
      </c>
      <c r="I3761" s="2">
        <f ca="1">IFERROR(__xludf.DUMMYFUNCTION("""COMPUTED_VALUE"""),37622)</f>
        <v>37622</v>
      </c>
      <c r="J3761" s="2">
        <f ca="1">IFERROR(__xludf.DUMMYFUNCTION("""COMPUTED_VALUE"""),37986)</f>
        <v>37986</v>
      </c>
    </row>
    <row r="3762" spans="1:10" x14ac:dyDescent="0.25">
      <c r="A3762" s="1" t="str">
        <f ca="1">IFERROR(__xludf.DUMMYFUNCTION("""COMPUTED_VALUE"""),"Bagodi ISK")</f>
        <v>Bagodi ISK</v>
      </c>
      <c r="B3762" s="1" t="str">
        <f ca="1">IFERROR(__xludf.DUMMYFUNCTION("""COMPUTED_VALUE"""),"Takács Barbara I")</f>
        <v>Takács Barbara I</v>
      </c>
      <c r="C3762" s="1"/>
      <c r="D3762" s="1" t="str">
        <f ca="1">IFERROR(__xludf.DUMMYFUNCTION("""COMPUTED_VALUE"""),"Nő")</f>
        <v>Nő</v>
      </c>
      <c r="E3762" s="1"/>
      <c r="F3762" s="1">
        <f ca="1">IFERROR(__xludf.DUMMYFUNCTION("""COMPUTED_VALUE"""),1986)</f>
        <v>1986</v>
      </c>
      <c r="G3762" s="1">
        <f ca="1">IFERROR(__xludf.DUMMYFUNCTION("""COMPUTED_VALUE"""),988)</f>
        <v>988</v>
      </c>
      <c r="H3762" s="1" t="str">
        <f ca="1">IFERROR(__xludf.DUMMYFUNCTION("""COMPUTED_VALUE"""),"MTLSZ000988A02")</f>
        <v>MTLSZ000988A02</v>
      </c>
      <c r="I3762" s="2">
        <f ca="1">IFERROR(__xludf.DUMMYFUNCTION("""COMPUTED_VALUE"""),37622)</f>
        <v>37622</v>
      </c>
      <c r="J3762" s="2">
        <f ca="1">IFERROR(__xludf.DUMMYFUNCTION("""COMPUTED_VALUE"""),37986)</f>
        <v>37986</v>
      </c>
    </row>
    <row r="3763" spans="1:10" x14ac:dyDescent="0.25">
      <c r="A3763" s="1" t="str">
        <f ca="1">IFERROR(__xludf.DUMMYFUNCTION("""COMPUTED_VALUE"""),"Bagodi ISK")</f>
        <v>Bagodi ISK</v>
      </c>
      <c r="B3763" s="1" t="str">
        <f ca="1">IFERROR(__xludf.DUMMYFUNCTION("""COMPUTED_VALUE"""),"Takács Barbara II")</f>
        <v>Takács Barbara II</v>
      </c>
      <c r="C3763" s="1"/>
      <c r="D3763" s="1" t="str">
        <f ca="1">IFERROR(__xludf.DUMMYFUNCTION("""COMPUTED_VALUE"""),"Nő")</f>
        <v>Nő</v>
      </c>
      <c r="E3763" s="1"/>
      <c r="F3763" s="1">
        <f ca="1">IFERROR(__xludf.DUMMYFUNCTION("""COMPUTED_VALUE"""),1987)</f>
        <v>1987</v>
      </c>
      <c r="G3763" s="1">
        <f ca="1">IFERROR(__xludf.DUMMYFUNCTION("""COMPUTED_VALUE"""),989)</f>
        <v>989</v>
      </c>
      <c r="H3763" s="1" t="str">
        <f ca="1">IFERROR(__xludf.DUMMYFUNCTION("""COMPUTED_VALUE"""),"MTLSZ000989A02")</f>
        <v>MTLSZ000989A02</v>
      </c>
      <c r="I3763" s="2">
        <f ca="1">IFERROR(__xludf.DUMMYFUNCTION("""COMPUTED_VALUE"""),37622)</f>
        <v>37622</v>
      </c>
      <c r="J3763" s="2">
        <f ca="1">IFERROR(__xludf.DUMMYFUNCTION("""COMPUTED_VALUE"""),37986)</f>
        <v>37986</v>
      </c>
    </row>
    <row r="3764" spans="1:10" x14ac:dyDescent="0.25">
      <c r="A3764" s="1" t="str">
        <f ca="1">IFERROR(__xludf.DUMMYFUNCTION("""COMPUTED_VALUE"""),"Bagodi ISK")</f>
        <v>Bagodi ISK</v>
      </c>
      <c r="B3764" s="1" t="str">
        <f ca="1">IFERROR(__xludf.DUMMYFUNCTION("""COMPUTED_VALUE"""),"Takács Tímea I")</f>
        <v>Takács Tímea I</v>
      </c>
      <c r="C3764" s="1"/>
      <c r="D3764" s="1" t="str">
        <f ca="1">IFERROR(__xludf.DUMMYFUNCTION("""COMPUTED_VALUE"""),"Nő")</f>
        <v>Nő</v>
      </c>
      <c r="E3764" s="1"/>
      <c r="F3764" s="1">
        <f ca="1">IFERROR(__xludf.DUMMYFUNCTION("""COMPUTED_VALUE"""),1984)</f>
        <v>1984</v>
      </c>
      <c r="G3764" s="1">
        <f ca="1">IFERROR(__xludf.DUMMYFUNCTION("""COMPUTED_VALUE"""),995)</f>
        <v>995</v>
      </c>
      <c r="H3764" s="1" t="str">
        <f ca="1">IFERROR(__xludf.DUMMYFUNCTION("""COMPUTED_VALUE"""),"MTLSZ000995A02")</f>
        <v>MTLSZ000995A02</v>
      </c>
      <c r="I3764" s="2">
        <f ca="1">IFERROR(__xludf.DUMMYFUNCTION("""COMPUTED_VALUE"""),37622)</f>
        <v>37622</v>
      </c>
      <c r="J3764" s="2">
        <f ca="1">IFERROR(__xludf.DUMMYFUNCTION("""COMPUTED_VALUE"""),37986)</f>
        <v>37986</v>
      </c>
    </row>
    <row r="3765" spans="1:10" x14ac:dyDescent="0.25">
      <c r="A3765" s="1" t="str">
        <f ca="1">IFERROR(__xludf.DUMMYFUNCTION("""COMPUTED_VALUE"""),"Bagodi ISK")</f>
        <v>Bagodi ISK</v>
      </c>
      <c r="B3765" s="1" t="str">
        <f ca="1">IFERROR(__xludf.DUMMYFUNCTION("""COMPUTED_VALUE"""),"Takács Tímea II")</f>
        <v>Takács Tímea II</v>
      </c>
      <c r="C3765" s="1"/>
      <c r="D3765" s="1" t="str">
        <f ca="1">IFERROR(__xludf.DUMMYFUNCTION("""COMPUTED_VALUE"""),"Nő")</f>
        <v>Nő</v>
      </c>
      <c r="E3765" s="1"/>
      <c r="F3765" s="1">
        <f ca="1">IFERROR(__xludf.DUMMYFUNCTION("""COMPUTED_VALUE"""),1984)</f>
        <v>1984</v>
      </c>
      <c r="G3765" s="1">
        <f ca="1">IFERROR(__xludf.DUMMYFUNCTION("""COMPUTED_VALUE"""),996)</f>
        <v>996</v>
      </c>
      <c r="H3765" s="1" t="str">
        <f ca="1">IFERROR(__xludf.DUMMYFUNCTION("""COMPUTED_VALUE"""),"MTLSZ000996A02")</f>
        <v>MTLSZ000996A02</v>
      </c>
      <c r="I3765" s="2">
        <f ca="1">IFERROR(__xludf.DUMMYFUNCTION("""COMPUTED_VALUE"""),37622)</f>
        <v>37622</v>
      </c>
      <c r="J3765" s="2">
        <f ca="1">IFERROR(__xludf.DUMMYFUNCTION("""COMPUTED_VALUE"""),37986)</f>
        <v>37986</v>
      </c>
    </row>
    <row r="3766" spans="1:10" x14ac:dyDescent="0.25">
      <c r="A3766" s="1" t="str">
        <f ca="1">IFERROR(__xludf.DUMMYFUNCTION("""COMPUTED_VALUE"""),"Bagodi ISK")</f>
        <v>Bagodi ISK</v>
      </c>
      <c r="B3766" s="1" t="str">
        <f ca="1">IFERROR(__xludf.DUMMYFUNCTION("""COMPUTED_VALUE"""),"Takács Veronika")</f>
        <v>Takács Veronika</v>
      </c>
      <c r="C3766" s="1"/>
      <c r="D3766" s="1" t="str">
        <f ca="1">IFERROR(__xludf.DUMMYFUNCTION("""COMPUTED_VALUE"""),"Nő")</f>
        <v>Nő</v>
      </c>
      <c r="E3766" s="1"/>
      <c r="F3766" s="1">
        <f ca="1">IFERROR(__xludf.DUMMYFUNCTION("""COMPUTED_VALUE"""),1986)</f>
        <v>1986</v>
      </c>
      <c r="G3766" s="1">
        <f ca="1">IFERROR(__xludf.DUMMYFUNCTION("""COMPUTED_VALUE"""),997)</f>
        <v>997</v>
      </c>
      <c r="H3766" s="1" t="str">
        <f ca="1">IFERROR(__xludf.DUMMYFUNCTION("""COMPUTED_VALUE"""),"MTLSZ000997A02")</f>
        <v>MTLSZ000997A02</v>
      </c>
      <c r="I3766" s="2">
        <f ca="1">IFERROR(__xludf.DUMMYFUNCTION("""COMPUTED_VALUE"""),37622)</f>
        <v>37622</v>
      </c>
      <c r="J3766" s="2">
        <f ca="1">IFERROR(__xludf.DUMMYFUNCTION("""COMPUTED_VALUE"""),37986)</f>
        <v>37986</v>
      </c>
    </row>
    <row r="3767" spans="1:10" x14ac:dyDescent="0.25">
      <c r="A3767" s="1" t="str">
        <f ca="1">IFERROR(__xludf.DUMMYFUNCTION("""COMPUTED_VALUE"""),"Bagodi ISK")</f>
        <v>Bagodi ISK</v>
      </c>
      <c r="B3767" s="1" t="str">
        <f ca="1">IFERROR(__xludf.DUMMYFUNCTION("""COMPUTED_VALUE"""),"Tóth Dávid")</f>
        <v>Tóth Dávid</v>
      </c>
      <c r="C3767" s="1"/>
      <c r="D3767" s="1" t="str">
        <f ca="1">IFERROR(__xludf.DUMMYFUNCTION("""COMPUTED_VALUE"""),"Férfi")</f>
        <v>Férfi</v>
      </c>
      <c r="E3767" s="1"/>
      <c r="F3767" s="1">
        <f ca="1">IFERROR(__xludf.DUMMYFUNCTION("""COMPUTED_VALUE"""),2000)</f>
        <v>2000</v>
      </c>
      <c r="G3767" s="1">
        <f ca="1">IFERROR(__xludf.DUMMYFUNCTION("""COMPUTED_VALUE"""),1028)</f>
        <v>1028</v>
      </c>
      <c r="H3767" s="1" t="str">
        <f ca="1">IFERROR(__xludf.DUMMYFUNCTION("""COMPUTED_VALUE"""),"MTLSZ001028A02")</f>
        <v>MTLSZ001028A02</v>
      </c>
      <c r="I3767" s="2">
        <f ca="1">IFERROR(__xludf.DUMMYFUNCTION("""COMPUTED_VALUE"""),37622)</f>
        <v>37622</v>
      </c>
      <c r="J3767" s="2">
        <f ca="1">IFERROR(__xludf.DUMMYFUNCTION("""COMPUTED_VALUE"""),37986)</f>
        <v>37986</v>
      </c>
    </row>
    <row r="3768" spans="1:10" x14ac:dyDescent="0.25">
      <c r="A3768" s="1" t="str">
        <f ca="1">IFERROR(__xludf.DUMMYFUNCTION("""COMPUTED_VALUE"""),"Bagodi ISK")</f>
        <v>Bagodi ISK</v>
      </c>
      <c r="B3768" s="1" t="str">
        <f ca="1">IFERROR(__xludf.DUMMYFUNCTION("""COMPUTED_VALUE"""),"Tuloki László")</f>
        <v>Tuloki László</v>
      </c>
      <c r="C3768" s="1"/>
      <c r="D3768" s="1" t="str">
        <f ca="1">IFERROR(__xludf.DUMMYFUNCTION("""COMPUTED_VALUE"""),"Férfi")</f>
        <v>Férfi</v>
      </c>
      <c r="E3768" s="1"/>
      <c r="F3768" s="1">
        <f ca="1">IFERROR(__xludf.DUMMYFUNCTION("""COMPUTED_VALUE"""),1989)</f>
        <v>1989</v>
      </c>
      <c r="G3768" s="1">
        <f ca="1">IFERROR(__xludf.DUMMYFUNCTION("""COMPUTED_VALUE"""),1059)</f>
        <v>1059</v>
      </c>
      <c r="H3768" s="1" t="str">
        <f ca="1">IFERROR(__xludf.DUMMYFUNCTION("""COMPUTED_VALUE"""),"MTLSZ001059A02")</f>
        <v>MTLSZ001059A02</v>
      </c>
      <c r="I3768" s="2">
        <f ca="1">IFERROR(__xludf.DUMMYFUNCTION("""COMPUTED_VALUE"""),37622)</f>
        <v>37622</v>
      </c>
      <c r="J3768" s="2">
        <f ca="1">IFERROR(__xludf.DUMMYFUNCTION("""COMPUTED_VALUE"""),37986)</f>
        <v>37986</v>
      </c>
    </row>
    <row r="3769" spans="1:10" x14ac:dyDescent="0.25">
      <c r="A3769" s="1" t="str">
        <f ca="1">IFERROR(__xludf.DUMMYFUNCTION("""COMPUTED_VALUE"""),"Bagodi ISK")</f>
        <v>Bagodi ISK</v>
      </c>
      <c r="B3769" s="1" t="str">
        <f ca="1">IFERROR(__xludf.DUMMYFUNCTION("""COMPUTED_VALUE"""),"Vaski Mónika")</f>
        <v>Vaski Mónika</v>
      </c>
      <c r="C3769" s="1"/>
      <c r="D3769" s="1" t="str">
        <f ca="1">IFERROR(__xludf.DUMMYFUNCTION("""COMPUTED_VALUE"""),"Nő")</f>
        <v>Nő</v>
      </c>
      <c r="E3769" s="1"/>
      <c r="F3769" s="1">
        <f ca="1">IFERROR(__xludf.DUMMYFUNCTION("""COMPUTED_VALUE"""),1984)</f>
        <v>1984</v>
      </c>
      <c r="G3769" s="1">
        <f ca="1">IFERROR(__xludf.DUMMYFUNCTION("""COMPUTED_VALUE"""),1104)</f>
        <v>1104</v>
      </c>
      <c r="H3769" s="1" t="str">
        <f ca="1">IFERROR(__xludf.DUMMYFUNCTION("""COMPUTED_VALUE"""),"MTLSZ001104A02")</f>
        <v>MTLSZ001104A02</v>
      </c>
      <c r="I3769" s="2">
        <f ca="1">IFERROR(__xludf.DUMMYFUNCTION("""COMPUTED_VALUE"""),37622)</f>
        <v>37622</v>
      </c>
      <c r="J3769" s="2">
        <f ca="1">IFERROR(__xludf.DUMMYFUNCTION("""COMPUTED_VALUE"""),37986)</f>
        <v>37986</v>
      </c>
    </row>
    <row r="3770" spans="1:10" x14ac:dyDescent="0.25">
      <c r="A3770" s="1" t="str">
        <f ca="1">IFERROR(__xludf.DUMMYFUNCTION("""COMPUTED_VALUE"""),"Bagodi ISK")</f>
        <v>Bagodi ISK</v>
      </c>
      <c r="B3770" s="1" t="str">
        <f ca="1">IFERROR(__xludf.DUMMYFUNCTION("""COMPUTED_VALUE"""),"Zöld Enikő")</f>
        <v>Zöld Enikő</v>
      </c>
      <c r="C3770" s="1"/>
      <c r="D3770" s="1" t="str">
        <f ca="1">IFERROR(__xludf.DUMMYFUNCTION("""COMPUTED_VALUE"""),"Nő")</f>
        <v>Nő</v>
      </c>
      <c r="E3770" s="1"/>
      <c r="F3770" s="1">
        <f ca="1">IFERROR(__xludf.DUMMYFUNCTION("""COMPUTED_VALUE"""),1986)</f>
        <v>1986</v>
      </c>
      <c r="G3770" s="1">
        <f ca="1">IFERROR(__xludf.DUMMYFUNCTION("""COMPUTED_VALUE"""),1153)</f>
        <v>1153</v>
      </c>
      <c r="H3770" s="1" t="str">
        <f ca="1">IFERROR(__xludf.DUMMYFUNCTION("""COMPUTED_VALUE"""),"MTLSZ001153A02")</f>
        <v>MTLSZ001153A02</v>
      </c>
      <c r="I3770" s="2">
        <f ca="1">IFERROR(__xludf.DUMMYFUNCTION("""COMPUTED_VALUE"""),37622)</f>
        <v>37622</v>
      </c>
      <c r="J3770" s="2">
        <f ca="1">IFERROR(__xludf.DUMMYFUNCTION("""COMPUTED_VALUE"""),37986)</f>
        <v>37986</v>
      </c>
    </row>
    <row r="3771" spans="1:10" x14ac:dyDescent="0.25">
      <c r="A3771" s="1" t="str">
        <f ca="1">IFERROR(__xludf.DUMMYFUNCTION("""COMPUTED_VALUE"""),"Bagodi ISK")</f>
        <v>Bagodi ISK</v>
      </c>
      <c r="B3771" s="1" t="str">
        <f ca="1">IFERROR(__xludf.DUMMYFUNCTION("""COMPUTED_VALUE"""),"Zöld Martina")</f>
        <v>Zöld Martina</v>
      </c>
      <c r="C3771" s="1"/>
      <c r="D3771" s="1" t="str">
        <f ca="1">IFERROR(__xludf.DUMMYFUNCTION("""COMPUTED_VALUE"""),"Nő")</f>
        <v>Nő</v>
      </c>
      <c r="E3771" s="1"/>
      <c r="F3771" s="1">
        <f ca="1">IFERROR(__xludf.DUMMYFUNCTION("""COMPUTED_VALUE"""),1988)</f>
        <v>1988</v>
      </c>
      <c r="G3771" s="1">
        <f ca="1">IFERROR(__xludf.DUMMYFUNCTION("""COMPUTED_VALUE"""),1154)</f>
        <v>1154</v>
      </c>
      <c r="H3771" s="1" t="str">
        <f ca="1">IFERROR(__xludf.DUMMYFUNCTION("""COMPUTED_VALUE"""),"MTLSZ001154A02")</f>
        <v>MTLSZ001154A02</v>
      </c>
      <c r="I3771" s="2">
        <f ca="1">IFERROR(__xludf.DUMMYFUNCTION("""COMPUTED_VALUE"""),37622)</f>
        <v>37622</v>
      </c>
      <c r="J3771" s="2">
        <f ca="1">IFERROR(__xludf.DUMMYFUNCTION("""COMPUTED_VALUE"""),37986)</f>
        <v>37986</v>
      </c>
    </row>
    <row r="3772" spans="1:10" x14ac:dyDescent="0.25">
      <c r="A3772" s="1" t="str">
        <f ca="1">IFERROR(__xludf.DUMMYFUNCTION("""COMPUTED_VALUE"""),"BTBK")</f>
        <v>BTBK</v>
      </c>
      <c r="B3772" s="1" t="str">
        <f ca="1">IFERROR(__xludf.DUMMYFUNCTION("""COMPUTED_VALUE"""),"Bauer Kristóf")</f>
        <v>Bauer Kristóf</v>
      </c>
      <c r="C3772" s="1"/>
      <c r="D3772" s="1" t="str">
        <f ca="1">IFERROR(__xludf.DUMMYFUNCTION("""COMPUTED_VALUE"""),"Férfi")</f>
        <v>Férfi</v>
      </c>
      <c r="E3772" s="1"/>
      <c r="F3772" s="1">
        <f ca="1">IFERROR(__xludf.DUMMYFUNCTION("""COMPUTED_VALUE"""),2000)</f>
        <v>2000</v>
      </c>
      <c r="G3772" s="1">
        <f ca="1">IFERROR(__xludf.DUMMYFUNCTION("""COMPUTED_VALUE"""),66)</f>
        <v>66</v>
      </c>
      <c r="H3772" s="1" t="str">
        <f ca="1">IFERROR(__xludf.DUMMYFUNCTION("""COMPUTED_VALUE"""),"MTLSZ000066A02")</f>
        <v>MTLSZ000066A02</v>
      </c>
      <c r="I3772" s="2">
        <f ca="1">IFERROR(__xludf.DUMMYFUNCTION("""COMPUTED_VALUE"""),37622)</f>
        <v>37622</v>
      </c>
      <c r="J3772" s="2">
        <f ca="1">IFERROR(__xludf.DUMMYFUNCTION("""COMPUTED_VALUE"""),37986)</f>
        <v>37986</v>
      </c>
    </row>
    <row r="3773" spans="1:10" x14ac:dyDescent="0.25">
      <c r="A3773" s="1" t="str">
        <f ca="1">IFERROR(__xludf.DUMMYFUNCTION("""COMPUTED_VALUE"""),"BTBK")</f>
        <v>BTBK</v>
      </c>
      <c r="B3773" s="1" t="str">
        <f ca="1">IFERROR(__xludf.DUMMYFUNCTION("""COMPUTED_VALUE"""),"Bernáth Margit")</f>
        <v>Bernáth Margit</v>
      </c>
      <c r="C3773" s="1"/>
      <c r="D3773" s="1" t="str">
        <f ca="1">IFERROR(__xludf.DUMMYFUNCTION("""COMPUTED_VALUE"""),"Nő")</f>
        <v>Nő</v>
      </c>
      <c r="E3773" s="1"/>
      <c r="F3773" s="1">
        <f ca="1">IFERROR(__xludf.DUMMYFUNCTION("""COMPUTED_VALUE"""),1984)</f>
        <v>1984</v>
      </c>
      <c r="G3773" s="1">
        <f ca="1">IFERROR(__xludf.DUMMYFUNCTION("""COMPUTED_VALUE"""),81)</f>
        <v>81</v>
      </c>
      <c r="H3773" s="1" t="str">
        <f ca="1">IFERROR(__xludf.DUMMYFUNCTION("""COMPUTED_VALUE"""),"MTLSZ000081A02")</f>
        <v>MTLSZ000081A02</v>
      </c>
      <c r="I3773" s="2">
        <f ca="1">IFERROR(__xludf.DUMMYFUNCTION("""COMPUTED_VALUE"""),37622)</f>
        <v>37622</v>
      </c>
      <c r="J3773" s="2">
        <f ca="1">IFERROR(__xludf.DUMMYFUNCTION("""COMPUTED_VALUE"""),37986)</f>
        <v>37986</v>
      </c>
    </row>
    <row r="3774" spans="1:10" x14ac:dyDescent="0.25">
      <c r="A3774" s="1" t="str">
        <f ca="1">IFERROR(__xludf.DUMMYFUNCTION("""COMPUTED_VALUE"""),"BTBK")</f>
        <v>BTBK</v>
      </c>
      <c r="B3774" s="1" t="str">
        <f ca="1">IFERROR(__xludf.DUMMYFUNCTION("""COMPUTED_VALUE"""),"Czenki Borbála")</f>
        <v>Czenki Borbála</v>
      </c>
      <c r="C3774" s="1"/>
      <c r="D3774" s="1" t="str">
        <f ca="1">IFERROR(__xludf.DUMMYFUNCTION("""COMPUTED_VALUE"""),"Nő")</f>
        <v>Nő</v>
      </c>
      <c r="E3774" s="1"/>
      <c r="F3774" s="1">
        <f ca="1">IFERROR(__xludf.DUMMYFUNCTION("""COMPUTED_VALUE"""),1984)</f>
        <v>1984</v>
      </c>
      <c r="G3774" s="1">
        <f ca="1">IFERROR(__xludf.DUMMYFUNCTION("""COMPUTED_VALUE"""),160)</f>
        <v>160</v>
      </c>
      <c r="H3774" s="1" t="str">
        <f ca="1">IFERROR(__xludf.DUMMYFUNCTION("""COMPUTED_VALUE"""),"MTLSZ000160A02")</f>
        <v>MTLSZ000160A02</v>
      </c>
      <c r="I3774" s="2">
        <f ca="1">IFERROR(__xludf.DUMMYFUNCTION("""COMPUTED_VALUE"""),37622)</f>
        <v>37622</v>
      </c>
      <c r="J3774" s="2">
        <f ca="1">IFERROR(__xludf.DUMMYFUNCTION("""COMPUTED_VALUE"""),37986)</f>
        <v>37986</v>
      </c>
    </row>
    <row r="3775" spans="1:10" x14ac:dyDescent="0.25">
      <c r="A3775" s="1" t="str">
        <f ca="1">IFERROR(__xludf.DUMMYFUNCTION("""COMPUTED_VALUE"""),"BTBK")</f>
        <v>BTBK</v>
      </c>
      <c r="B3775" s="1" t="str">
        <f ca="1">IFERROR(__xludf.DUMMYFUNCTION("""COMPUTED_VALUE"""),"Darabos Péter")</f>
        <v>Darabos Péter</v>
      </c>
      <c r="C3775" s="1"/>
      <c r="D3775" s="1" t="str">
        <f ca="1">IFERROR(__xludf.DUMMYFUNCTION("""COMPUTED_VALUE"""),"Férfi")</f>
        <v>Férfi</v>
      </c>
      <c r="E3775" s="1"/>
      <c r="F3775" s="1">
        <f ca="1">IFERROR(__xludf.DUMMYFUNCTION("""COMPUTED_VALUE"""),1969)</f>
        <v>1969</v>
      </c>
      <c r="G3775" s="1">
        <f ca="1">IFERROR(__xludf.DUMMYFUNCTION("""COMPUTED_VALUE"""),176)</f>
        <v>176</v>
      </c>
      <c r="H3775" s="1" t="str">
        <f ca="1">IFERROR(__xludf.DUMMYFUNCTION("""COMPUTED_VALUE"""),"MTLSZ000176A02")</f>
        <v>MTLSZ000176A02</v>
      </c>
      <c r="I3775" s="2">
        <f ca="1">IFERROR(__xludf.DUMMYFUNCTION("""COMPUTED_VALUE"""),37622)</f>
        <v>37622</v>
      </c>
      <c r="J3775" s="2">
        <f ca="1">IFERROR(__xludf.DUMMYFUNCTION("""COMPUTED_VALUE"""),37986)</f>
        <v>37986</v>
      </c>
    </row>
    <row r="3776" spans="1:10" x14ac:dyDescent="0.25">
      <c r="A3776" s="1" t="str">
        <f ca="1">IFERROR(__xludf.DUMMYFUNCTION("""COMPUTED_VALUE"""),"BTBK")</f>
        <v>BTBK</v>
      </c>
      <c r="B3776" s="1" t="str">
        <f ca="1">IFERROR(__xludf.DUMMYFUNCTION("""COMPUTED_VALUE"""),"Dévai Kata")</f>
        <v>Dévai Kata</v>
      </c>
      <c r="C3776" s="1"/>
      <c r="D3776" s="1" t="str">
        <f ca="1">IFERROR(__xludf.DUMMYFUNCTION("""COMPUTED_VALUE"""),"Nő")</f>
        <v>Nő</v>
      </c>
      <c r="E3776" s="1"/>
      <c r="F3776" s="1">
        <f ca="1">IFERROR(__xludf.DUMMYFUNCTION("""COMPUTED_VALUE"""),1981)</f>
        <v>1981</v>
      </c>
      <c r="G3776" s="1">
        <f ca="1">IFERROR(__xludf.DUMMYFUNCTION("""COMPUTED_VALUE"""),191)</f>
        <v>191</v>
      </c>
      <c r="H3776" s="1" t="str">
        <f ca="1">IFERROR(__xludf.DUMMYFUNCTION("""COMPUTED_VALUE"""),"MTLSZ000191A02")</f>
        <v>MTLSZ000191A02</v>
      </c>
      <c r="I3776" s="2">
        <f ca="1">IFERROR(__xludf.DUMMYFUNCTION("""COMPUTED_VALUE"""),37622)</f>
        <v>37622</v>
      </c>
      <c r="J3776" s="2">
        <f ca="1">IFERROR(__xludf.DUMMYFUNCTION("""COMPUTED_VALUE"""),37986)</f>
        <v>37986</v>
      </c>
    </row>
    <row r="3777" spans="1:10" x14ac:dyDescent="0.25">
      <c r="A3777" s="1" t="str">
        <f ca="1">IFERROR(__xludf.DUMMYFUNCTION("""COMPUTED_VALUE"""),"BTBK")</f>
        <v>BTBK</v>
      </c>
      <c r="B3777" s="1" t="str">
        <f ca="1">IFERROR(__xludf.DUMMYFUNCTION("""COMPUTED_VALUE"""),"Lakfalvi Erzsébet")</f>
        <v>Lakfalvi Erzsébet</v>
      </c>
      <c r="C3777" s="1"/>
      <c r="D3777" s="1" t="str">
        <f ca="1">IFERROR(__xludf.DUMMYFUNCTION("""COMPUTED_VALUE"""),"Nő")</f>
        <v>Nő</v>
      </c>
      <c r="E3777" s="1"/>
      <c r="F3777" s="1">
        <f ca="1">IFERROR(__xludf.DUMMYFUNCTION("""COMPUTED_VALUE"""),1966)</f>
        <v>1966</v>
      </c>
      <c r="G3777" s="1">
        <f ca="1">IFERROR(__xludf.DUMMYFUNCTION("""COMPUTED_VALUE"""),568)</f>
        <v>568</v>
      </c>
      <c r="H3777" s="1" t="str">
        <f ca="1">IFERROR(__xludf.DUMMYFUNCTION("""COMPUTED_VALUE"""),"MTLSZ000568A02")</f>
        <v>MTLSZ000568A02</v>
      </c>
      <c r="I3777" s="2">
        <f ca="1">IFERROR(__xludf.DUMMYFUNCTION("""COMPUTED_VALUE"""),37622)</f>
        <v>37622</v>
      </c>
      <c r="J3777" s="2">
        <f ca="1">IFERROR(__xludf.DUMMYFUNCTION("""COMPUTED_VALUE"""),37986)</f>
        <v>37986</v>
      </c>
    </row>
    <row r="3778" spans="1:10" x14ac:dyDescent="0.25">
      <c r="A3778" s="1" t="str">
        <f ca="1">IFERROR(__xludf.DUMMYFUNCTION("""COMPUTED_VALUE"""),"BTBK")</f>
        <v>BTBK</v>
      </c>
      <c r="B3778" s="1" t="str">
        <f ca="1">IFERROR(__xludf.DUMMYFUNCTION("""COMPUTED_VALUE"""),"Lehel Gábor")</f>
        <v>Lehel Gábor</v>
      </c>
      <c r="C3778" s="1"/>
      <c r="D3778" s="1" t="str">
        <f ca="1">IFERROR(__xludf.DUMMYFUNCTION("""COMPUTED_VALUE"""),"Férfi")</f>
        <v>Férfi</v>
      </c>
      <c r="E3778" s="1"/>
      <c r="F3778" s="1">
        <f ca="1">IFERROR(__xludf.DUMMYFUNCTION("""COMPUTED_VALUE"""),1970)</f>
        <v>1970</v>
      </c>
      <c r="G3778" s="1">
        <f ca="1">IFERROR(__xludf.DUMMYFUNCTION("""COMPUTED_VALUE"""),581)</f>
        <v>581</v>
      </c>
      <c r="H3778" s="1" t="str">
        <f ca="1">IFERROR(__xludf.DUMMYFUNCTION("""COMPUTED_VALUE"""),"MTLSZ000581A02")</f>
        <v>MTLSZ000581A02</v>
      </c>
      <c r="I3778" s="2">
        <f ca="1">IFERROR(__xludf.DUMMYFUNCTION("""COMPUTED_VALUE"""),37622)</f>
        <v>37622</v>
      </c>
      <c r="J3778" s="2">
        <f ca="1">IFERROR(__xludf.DUMMYFUNCTION("""COMPUTED_VALUE"""),37986)</f>
        <v>37986</v>
      </c>
    </row>
    <row r="3779" spans="1:10" x14ac:dyDescent="0.25">
      <c r="A3779" s="1" t="str">
        <f ca="1">IFERROR(__xludf.DUMMYFUNCTION("""COMPUTED_VALUE"""),"BTBK")</f>
        <v>BTBK</v>
      </c>
      <c r="B3779" s="1" t="str">
        <f ca="1">IFERROR(__xludf.DUMMYFUNCTION("""COMPUTED_VALUE"""),"Maróti Zsolt")</f>
        <v>Maróti Zsolt</v>
      </c>
      <c r="C3779" s="1"/>
      <c r="D3779" s="1" t="str">
        <f ca="1">IFERROR(__xludf.DUMMYFUNCTION("""COMPUTED_VALUE"""),"Férfi")</f>
        <v>Férfi</v>
      </c>
      <c r="E3779" s="1"/>
      <c r="F3779" s="1">
        <f ca="1">IFERROR(__xludf.DUMMYFUNCTION("""COMPUTED_VALUE"""),1987)</f>
        <v>1987</v>
      </c>
      <c r="G3779" s="1">
        <f ca="1">IFERROR(__xludf.DUMMYFUNCTION("""COMPUTED_VALUE"""),621)</f>
        <v>621</v>
      </c>
      <c r="H3779" s="1" t="str">
        <f ca="1">IFERROR(__xludf.DUMMYFUNCTION("""COMPUTED_VALUE"""),"MTLSZ000621A02")</f>
        <v>MTLSZ000621A02</v>
      </c>
      <c r="I3779" s="2">
        <f ca="1">IFERROR(__xludf.DUMMYFUNCTION("""COMPUTED_VALUE"""),37622)</f>
        <v>37622</v>
      </c>
      <c r="J3779" s="2">
        <f ca="1">IFERROR(__xludf.DUMMYFUNCTION("""COMPUTED_VALUE"""),37986)</f>
        <v>37986</v>
      </c>
    </row>
    <row r="3780" spans="1:10" x14ac:dyDescent="0.25">
      <c r="A3780" s="1" t="str">
        <f ca="1">IFERROR(__xludf.DUMMYFUNCTION("""COMPUTED_VALUE"""),"BTBK")</f>
        <v>BTBK</v>
      </c>
      <c r="B3780" s="1" t="str">
        <f ca="1">IFERROR(__xludf.DUMMYFUNCTION("""COMPUTED_VALUE"""),"Molnár Diána")</f>
        <v>Molnár Diána</v>
      </c>
      <c r="C3780" s="1"/>
      <c r="D3780" s="1" t="str">
        <f ca="1">IFERROR(__xludf.DUMMYFUNCTION("""COMPUTED_VALUE"""),"Nő")</f>
        <v>Nő</v>
      </c>
      <c r="E3780" s="1"/>
      <c r="F3780" s="1">
        <f ca="1">IFERROR(__xludf.DUMMYFUNCTION("""COMPUTED_VALUE"""),1988)</f>
        <v>1988</v>
      </c>
      <c r="G3780" s="1">
        <f ca="1">IFERROR(__xludf.DUMMYFUNCTION("""COMPUTED_VALUE"""),660)</f>
        <v>660</v>
      </c>
      <c r="H3780" s="1" t="str">
        <f ca="1">IFERROR(__xludf.DUMMYFUNCTION("""COMPUTED_VALUE"""),"MTLSZ000660A02")</f>
        <v>MTLSZ000660A02</v>
      </c>
      <c r="I3780" s="2">
        <f ca="1">IFERROR(__xludf.DUMMYFUNCTION("""COMPUTED_VALUE"""),37622)</f>
        <v>37622</v>
      </c>
      <c r="J3780" s="2">
        <f ca="1">IFERROR(__xludf.DUMMYFUNCTION("""COMPUTED_VALUE"""),37986)</f>
        <v>37986</v>
      </c>
    </row>
    <row r="3781" spans="1:10" x14ac:dyDescent="0.25">
      <c r="A3781" s="1" t="str">
        <f ca="1">IFERROR(__xludf.DUMMYFUNCTION("""COMPUTED_VALUE"""),"BTBK")</f>
        <v>BTBK</v>
      </c>
      <c r="B3781" s="1" t="str">
        <f ca="1">IFERROR(__xludf.DUMMYFUNCTION("""COMPUTED_VALUE"""),"Nádasdi Orsolya")</f>
        <v>Nádasdi Orsolya</v>
      </c>
      <c r="C3781" s="1"/>
      <c r="D3781" s="1" t="str">
        <f ca="1">IFERROR(__xludf.DUMMYFUNCTION("""COMPUTED_VALUE"""),"Nő")</f>
        <v>Nő</v>
      </c>
      <c r="E3781" s="1"/>
      <c r="F3781" s="1">
        <f ca="1">IFERROR(__xludf.DUMMYFUNCTION("""COMPUTED_VALUE"""),1987)</f>
        <v>1987</v>
      </c>
      <c r="G3781" s="1">
        <f ca="1">IFERROR(__xludf.DUMMYFUNCTION("""COMPUTED_VALUE"""),675)</f>
        <v>675</v>
      </c>
      <c r="H3781" s="1" t="str">
        <f ca="1">IFERROR(__xludf.DUMMYFUNCTION("""COMPUTED_VALUE"""),"MTLSZ000675A02")</f>
        <v>MTLSZ000675A02</v>
      </c>
      <c r="I3781" s="2">
        <f ca="1">IFERROR(__xludf.DUMMYFUNCTION("""COMPUTED_VALUE"""),37622)</f>
        <v>37622</v>
      </c>
      <c r="J3781" s="2">
        <f ca="1">IFERROR(__xludf.DUMMYFUNCTION("""COMPUTED_VALUE"""),37986)</f>
        <v>37986</v>
      </c>
    </row>
    <row r="3782" spans="1:10" x14ac:dyDescent="0.25">
      <c r="A3782" s="1" t="str">
        <f ca="1">IFERROR(__xludf.DUMMYFUNCTION("""COMPUTED_VALUE"""),"BTBK")</f>
        <v>BTBK</v>
      </c>
      <c r="B3782" s="1" t="str">
        <f ca="1">IFERROR(__xludf.DUMMYFUNCTION("""COMPUTED_VALUE"""),"Nagy László")</f>
        <v>Nagy László</v>
      </c>
      <c r="C3782" s="1"/>
      <c r="D3782" s="1" t="str">
        <f ca="1">IFERROR(__xludf.DUMMYFUNCTION("""COMPUTED_VALUE"""),"Férfi")</f>
        <v>Férfi</v>
      </c>
      <c r="E3782" s="1"/>
      <c r="F3782" s="1">
        <f ca="1">IFERROR(__xludf.DUMMYFUNCTION("""COMPUTED_VALUE"""),1969)</f>
        <v>1969</v>
      </c>
      <c r="G3782" s="1">
        <f ca="1">IFERROR(__xludf.DUMMYFUNCTION("""COMPUTED_VALUE"""),686)</f>
        <v>686</v>
      </c>
      <c r="H3782" s="1" t="str">
        <f ca="1">IFERROR(__xludf.DUMMYFUNCTION("""COMPUTED_VALUE"""),"MTLSZ000686A02")</f>
        <v>MTLSZ000686A02</v>
      </c>
      <c r="I3782" s="2">
        <f ca="1">IFERROR(__xludf.DUMMYFUNCTION("""COMPUTED_VALUE"""),37622)</f>
        <v>37622</v>
      </c>
      <c r="J3782" s="2">
        <f ca="1">IFERROR(__xludf.DUMMYFUNCTION("""COMPUTED_VALUE"""),37986)</f>
        <v>37986</v>
      </c>
    </row>
    <row r="3783" spans="1:10" x14ac:dyDescent="0.25">
      <c r="A3783" s="1" t="str">
        <f ca="1">IFERROR(__xludf.DUMMYFUNCTION("""COMPUTED_VALUE"""),"BTBK")</f>
        <v>BTBK</v>
      </c>
      <c r="B3783" s="1" t="str">
        <f ca="1">IFERROR(__xludf.DUMMYFUNCTION("""COMPUTED_VALUE"""),"Pálfi Katalin")</f>
        <v>Pálfi Katalin</v>
      </c>
      <c r="C3783" s="1"/>
      <c r="D3783" s="1" t="str">
        <f ca="1">IFERROR(__xludf.DUMMYFUNCTION("""COMPUTED_VALUE"""),"Nő")</f>
        <v>Nő</v>
      </c>
      <c r="E3783" s="1"/>
      <c r="F3783" s="1">
        <f ca="1">IFERROR(__xludf.DUMMYFUNCTION("""COMPUTED_VALUE"""),1957)</f>
        <v>1957</v>
      </c>
      <c r="G3783" s="1">
        <f ca="1">IFERROR(__xludf.DUMMYFUNCTION("""COMPUTED_VALUE"""),736)</f>
        <v>736</v>
      </c>
      <c r="H3783" s="1" t="str">
        <f ca="1">IFERROR(__xludf.DUMMYFUNCTION("""COMPUTED_VALUE"""),"MTLSZ000736A02")</f>
        <v>MTLSZ000736A02</v>
      </c>
      <c r="I3783" s="2">
        <f ca="1">IFERROR(__xludf.DUMMYFUNCTION("""COMPUTED_VALUE"""),37622)</f>
        <v>37622</v>
      </c>
      <c r="J3783" s="2">
        <f ca="1">IFERROR(__xludf.DUMMYFUNCTION("""COMPUTED_VALUE"""),37986)</f>
        <v>37986</v>
      </c>
    </row>
    <row r="3784" spans="1:10" x14ac:dyDescent="0.25">
      <c r="A3784" s="1" t="str">
        <f ca="1">IFERROR(__xludf.DUMMYFUNCTION("""COMPUTED_VALUE"""),"BTBK")</f>
        <v>BTBK</v>
      </c>
      <c r="B3784" s="1" t="str">
        <f ca="1">IFERROR(__xludf.DUMMYFUNCTION("""COMPUTED_VALUE"""),"Rácz András")</f>
        <v>Rácz András</v>
      </c>
      <c r="C3784" s="1"/>
      <c r="D3784" s="1" t="str">
        <f ca="1">IFERROR(__xludf.DUMMYFUNCTION("""COMPUTED_VALUE"""),"Férfi")</f>
        <v>Férfi</v>
      </c>
      <c r="E3784" s="1"/>
      <c r="F3784" s="1">
        <f ca="1">IFERROR(__xludf.DUMMYFUNCTION("""COMPUTED_VALUE"""),1964)</f>
        <v>1964</v>
      </c>
      <c r="G3784" s="1">
        <f ca="1">IFERROR(__xludf.DUMMYFUNCTION("""COMPUTED_VALUE"""),792)</f>
        <v>792</v>
      </c>
      <c r="H3784" s="1" t="str">
        <f ca="1">IFERROR(__xludf.DUMMYFUNCTION("""COMPUTED_VALUE"""),"MTLSZ000792A02")</f>
        <v>MTLSZ000792A02</v>
      </c>
      <c r="I3784" s="2">
        <f ca="1">IFERROR(__xludf.DUMMYFUNCTION("""COMPUTED_VALUE"""),37622)</f>
        <v>37622</v>
      </c>
      <c r="J3784" s="2">
        <f ca="1">IFERROR(__xludf.DUMMYFUNCTION("""COMPUTED_VALUE"""),37986)</f>
        <v>37986</v>
      </c>
    </row>
    <row r="3785" spans="1:10" x14ac:dyDescent="0.25">
      <c r="A3785" s="1" t="str">
        <f ca="1">IFERROR(__xludf.DUMMYFUNCTION("""COMPUTED_VALUE"""),"BTBK")</f>
        <v>BTBK</v>
      </c>
      <c r="B3785" s="1" t="str">
        <f ca="1">IFERROR(__xludf.DUMMYFUNCTION("""COMPUTED_VALUE"""),"Rigard Josée")</f>
        <v>Rigard Josée</v>
      </c>
      <c r="C3785" s="1"/>
      <c r="D3785" s="1" t="str">
        <f ca="1">IFERROR(__xludf.DUMMYFUNCTION("""COMPUTED_VALUE"""),"Nő")</f>
        <v>Nő</v>
      </c>
      <c r="E3785" s="1"/>
      <c r="F3785" s="1">
        <f ca="1">IFERROR(__xludf.DUMMYFUNCTION("""COMPUTED_VALUE"""),1975)</f>
        <v>1975</v>
      </c>
      <c r="G3785" s="1">
        <f ca="1">IFERROR(__xludf.DUMMYFUNCTION("""COMPUTED_VALUE"""),814)</f>
        <v>814</v>
      </c>
      <c r="H3785" s="1" t="str">
        <f ca="1">IFERROR(__xludf.DUMMYFUNCTION("""COMPUTED_VALUE"""),"MTLSZ000814A02")</f>
        <v>MTLSZ000814A02</v>
      </c>
      <c r="I3785" s="2">
        <f ca="1">IFERROR(__xludf.DUMMYFUNCTION("""COMPUTED_VALUE"""),37622)</f>
        <v>37622</v>
      </c>
      <c r="J3785" s="2">
        <f ca="1">IFERROR(__xludf.DUMMYFUNCTION("""COMPUTED_VALUE"""),37986)</f>
        <v>37986</v>
      </c>
    </row>
    <row r="3786" spans="1:10" x14ac:dyDescent="0.25">
      <c r="A3786" s="1" t="str">
        <f ca="1">IFERROR(__xludf.DUMMYFUNCTION("""COMPUTED_VALUE"""),"BTBK")</f>
        <v>BTBK</v>
      </c>
      <c r="B3786" s="1" t="str">
        <f ca="1">IFERROR(__xludf.DUMMYFUNCTION("""COMPUTED_VALUE"""),"Soós Barbara")</f>
        <v>Soós Barbara</v>
      </c>
      <c r="C3786" s="1"/>
      <c r="D3786" s="1" t="str">
        <f ca="1">IFERROR(__xludf.DUMMYFUNCTION("""COMPUTED_VALUE"""),"Nő")</f>
        <v>Nő</v>
      </c>
      <c r="E3786" s="1"/>
      <c r="F3786" s="1">
        <f ca="1">IFERROR(__xludf.DUMMYFUNCTION("""COMPUTED_VALUE"""),1986)</f>
        <v>1986</v>
      </c>
      <c r="G3786" s="1">
        <f ca="1">IFERROR(__xludf.DUMMYFUNCTION("""COMPUTED_VALUE"""),865)</f>
        <v>865</v>
      </c>
      <c r="H3786" s="1" t="str">
        <f ca="1">IFERROR(__xludf.DUMMYFUNCTION("""COMPUTED_VALUE"""),"MTLSZ000865A02")</f>
        <v>MTLSZ000865A02</v>
      </c>
      <c r="I3786" s="2">
        <f ca="1">IFERROR(__xludf.DUMMYFUNCTION("""COMPUTED_VALUE"""),37622)</f>
        <v>37622</v>
      </c>
      <c r="J3786" s="2">
        <f ca="1">IFERROR(__xludf.DUMMYFUNCTION("""COMPUTED_VALUE"""),37986)</f>
        <v>37986</v>
      </c>
    </row>
    <row r="3787" spans="1:10" x14ac:dyDescent="0.25">
      <c r="A3787" s="1" t="str">
        <f ca="1">IFERROR(__xludf.DUMMYFUNCTION("""COMPUTED_VALUE"""),"BTBK")</f>
        <v>BTBK</v>
      </c>
      <c r="B3787" s="1" t="str">
        <f ca="1">IFERROR(__xludf.DUMMYFUNCTION("""COMPUTED_VALUE"""),"Szampiás Zsanett")</f>
        <v>Szampiás Zsanett</v>
      </c>
      <c r="C3787" s="1"/>
      <c r="D3787" s="1" t="str">
        <f ca="1">IFERROR(__xludf.DUMMYFUNCTION("""COMPUTED_VALUE"""),"Nő")</f>
        <v>Nő</v>
      </c>
      <c r="E3787" s="1"/>
      <c r="F3787" s="1">
        <f ca="1">IFERROR(__xludf.DUMMYFUNCTION("""COMPUTED_VALUE"""),1981)</f>
        <v>1981</v>
      </c>
      <c r="G3787" s="1">
        <f ca="1">IFERROR(__xludf.DUMMYFUNCTION("""COMPUTED_VALUE"""),912)</f>
        <v>912</v>
      </c>
      <c r="H3787" s="1" t="str">
        <f ca="1">IFERROR(__xludf.DUMMYFUNCTION("""COMPUTED_VALUE"""),"MTLSZ000912A02")</f>
        <v>MTLSZ000912A02</v>
      </c>
      <c r="I3787" s="2">
        <f ca="1">IFERROR(__xludf.DUMMYFUNCTION("""COMPUTED_VALUE"""),37622)</f>
        <v>37622</v>
      </c>
      <c r="J3787" s="2">
        <f ca="1">IFERROR(__xludf.DUMMYFUNCTION("""COMPUTED_VALUE"""),37986)</f>
        <v>37986</v>
      </c>
    </row>
    <row r="3788" spans="1:10" x14ac:dyDescent="0.25">
      <c r="A3788" s="1" t="str">
        <f ca="1">IFERROR(__xludf.DUMMYFUNCTION("""COMPUTED_VALUE"""),"BTBK")</f>
        <v>BTBK</v>
      </c>
      <c r="B3788" s="1" t="str">
        <f ca="1">IFERROR(__xludf.DUMMYFUNCTION("""COMPUTED_VALUE"""),"Szepesi Julia")</f>
        <v>Szepesi Julia</v>
      </c>
      <c r="C3788" s="1"/>
      <c r="D3788" s="1" t="str">
        <f ca="1">IFERROR(__xludf.DUMMYFUNCTION("""COMPUTED_VALUE"""),"Nő")</f>
        <v>Nő</v>
      </c>
      <c r="E3788" s="1"/>
      <c r="F3788" s="1">
        <f ca="1">IFERROR(__xludf.DUMMYFUNCTION("""COMPUTED_VALUE"""),1956)</f>
        <v>1956</v>
      </c>
      <c r="G3788" s="1">
        <f ca="1">IFERROR(__xludf.DUMMYFUNCTION("""COMPUTED_VALUE"""),942)</f>
        <v>942</v>
      </c>
      <c r="H3788" s="1" t="str">
        <f ca="1">IFERROR(__xludf.DUMMYFUNCTION("""COMPUTED_VALUE"""),"MTLSZ000942A02")</f>
        <v>MTLSZ000942A02</v>
      </c>
      <c r="I3788" s="2">
        <f ca="1">IFERROR(__xludf.DUMMYFUNCTION("""COMPUTED_VALUE"""),37622)</f>
        <v>37622</v>
      </c>
      <c r="J3788" s="2">
        <f ca="1">IFERROR(__xludf.DUMMYFUNCTION("""COMPUTED_VALUE"""),37986)</f>
        <v>37986</v>
      </c>
    </row>
    <row r="3789" spans="1:10" x14ac:dyDescent="0.25">
      <c r="A3789" s="1" t="str">
        <f ca="1">IFERROR(__xludf.DUMMYFUNCTION("""COMPUTED_VALUE"""),"BTBK")</f>
        <v>BTBK</v>
      </c>
      <c r="B3789" s="1" t="str">
        <f ca="1">IFERROR(__xludf.DUMMYFUNCTION("""COMPUTED_VALUE"""),"Szepesi Zsuzsa")</f>
        <v>Szepesi Zsuzsa</v>
      </c>
      <c r="C3789" s="1"/>
      <c r="D3789" s="1" t="str">
        <f ca="1">IFERROR(__xludf.DUMMYFUNCTION("""COMPUTED_VALUE"""),"Nő")</f>
        <v>Nő</v>
      </c>
      <c r="E3789" s="1"/>
      <c r="F3789" s="1">
        <f ca="1">IFERROR(__xludf.DUMMYFUNCTION("""COMPUTED_VALUE"""),1983)</f>
        <v>1983</v>
      </c>
      <c r="G3789" s="1">
        <f ca="1">IFERROR(__xludf.DUMMYFUNCTION("""COMPUTED_VALUE"""),944)</f>
        <v>944</v>
      </c>
      <c r="H3789" s="1" t="str">
        <f ca="1">IFERROR(__xludf.DUMMYFUNCTION("""COMPUTED_VALUE"""),"MTLSZ000944A02")</f>
        <v>MTLSZ000944A02</v>
      </c>
      <c r="I3789" s="2">
        <f ca="1">IFERROR(__xludf.DUMMYFUNCTION("""COMPUTED_VALUE"""),37622)</f>
        <v>37622</v>
      </c>
      <c r="J3789" s="2">
        <f ca="1">IFERROR(__xludf.DUMMYFUNCTION("""COMPUTED_VALUE"""),37986)</f>
        <v>37986</v>
      </c>
    </row>
    <row r="3790" spans="1:10" x14ac:dyDescent="0.25">
      <c r="A3790" s="1" t="str">
        <f ca="1">IFERROR(__xludf.DUMMYFUNCTION("""COMPUTED_VALUE"""),"BTBK")</f>
        <v>BTBK</v>
      </c>
      <c r="B3790" s="1" t="str">
        <f ca="1">IFERROR(__xludf.DUMMYFUNCTION("""COMPUTED_VALUE"""),"Szőcs Anita")</f>
        <v>Szőcs Anita</v>
      </c>
      <c r="C3790" s="1"/>
      <c r="D3790" s="1" t="str">
        <f ca="1">IFERROR(__xludf.DUMMYFUNCTION("""COMPUTED_VALUE"""),"Nő")</f>
        <v>Nő</v>
      </c>
      <c r="E3790" s="1"/>
      <c r="F3790" s="1">
        <f ca="1">IFERROR(__xludf.DUMMYFUNCTION("""COMPUTED_VALUE"""),1976)</f>
        <v>1976</v>
      </c>
      <c r="G3790" s="1">
        <f ca="1">IFERROR(__xludf.DUMMYFUNCTION("""COMPUTED_VALUE"""),960)</f>
        <v>960</v>
      </c>
      <c r="H3790" s="1" t="str">
        <f ca="1">IFERROR(__xludf.DUMMYFUNCTION("""COMPUTED_VALUE"""),"MTLSZ000960A02")</f>
        <v>MTLSZ000960A02</v>
      </c>
      <c r="I3790" s="2">
        <f ca="1">IFERROR(__xludf.DUMMYFUNCTION("""COMPUTED_VALUE"""),37622)</f>
        <v>37622</v>
      </c>
      <c r="J3790" s="2">
        <f ca="1">IFERROR(__xludf.DUMMYFUNCTION("""COMPUTED_VALUE"""),37986)</f>
        <v>37986</v>
      </c>
    </row>
    <row r="3791" spans="1:10" x14ac:dyDescent="0.25">
      <c r="A3791" s="1" t="str">
        <f ca="1">IFERROR(__xludf.DUMMYFUNCTION("""COMPUTED_VALUE"""),"BTBK")</f>
        <v>BTBK</v>
      </c>
      <c r="B3791" s="1" t="str">
        <f ca="1">IFERROR(__xludf.DUMMYFUNCTION("""COMPUTED_VALUE"""),"Tóth Zsuzsanna")</f>
        <v>Tóth Zsuzsanna</v>
      </c>
      <c r="C3791" s="1"/>
      <c r="D3791" s="1" t="str">
        <f ca="1">IFERROR(__xludf.DUMMYFUNCTION("""COMPUTED_VALUE"""),"Nő")</f>
        <v>Nő</v>
      </c>
      <c r="E3791" s="1"/>
      <c r="F3791" s="1">
        <f ca="1">IFERROR(__xludf.DUMMYFUNCTION("""COMPUTED_VALUE"""),1974)</f>
        <v>1974</v>
      </c>
      <c r="G3791" s="1">
        <f ca="1">IFERROR(__xludf.DUMMYFUNCTION("""COMPUTED_VALUE"""),1057)</f>
        <v>1057</v>
      </c>
      <c r="H3791" s="1" t="str">
        <f ca="1">IFERROR(__xludf.DUMMYFUNCTION("""COMPUTED_VALUE"""),"MTLSZ001057A02")</f>
        <v>MTLSZ001057A02</v>
      </c>
      <c r="I3791" s="2">
        <f ca="1">IFERROR(__xludf.DUMMYFUNCTION("""COMPUTED_VALUE"""),37622)</f>
        <v>37622</v>
      </c>
      <c r="J3791" s="2">
        <f ca="1">IFERROR(__xludf.DUMMYFUNCTION("""COMPUTED_VALUE"""),37986)</f>
        <v>37986</v>
      </c>
    </row>
    <row r="3792" spans="1:10" x14ac:dyDescent="0.25">
      <c r="A3792" s="1" t="str">
        <f ca="1">IFERROR(__xludf.DUMMYFUNCTION("""COMPUTED_VALUE"""),"BTBK")</f>
        <v>BTBK</v>
      </c>
      <c r="B3792" s="1" t="str">
        <f ca="1">IFERROR(__xludf.DUMMYFUNCTION("""COMPUTED_VALUE"""),"Török Hajnalka")</f>
        <v>Török Hajnalka</v>
      </c>
      <c r="C3792" s="1"/>
      <c r="D3792" s="1" t="str">
        <f ca="1">IFERROR(__xludf.DUMMYFUNCTION("""COMPUTED_VALUE"""),"Nő")</f>
        <v>Nő</v>
      </c>
      <c r="E3792" s="1"/>
      <c r="F3792" s="1">
        <f ca="1">IFERROR(__xludf.DUMMYFUNCTION("""COMPUTED_VALUE"""),1978)</f>
        <v>1978</v>
      </c>
      <c r="G3792" s="1">
        <f ca="1">IFERROR(__xludf.DUMMYFUNCTION("""COMPUTED_VALUE"""),1070)</f>
        <v>1070</v>
      </c>
      <c r="H3792" s="1" t="str">
        <f ca="1">IFERROR(__xludf.DUMMYFUNCTION("""COMPUTED_VALUE"""),"MTLSZ001070A02")</f>
        <v>MTLSZ001070A02</v>
      </c>
      <c r="I3792" s="2">
        <f ca="1">IFERROR(__xludf.DUMMYFUNCTION("""COMPUTED_VALUE"""),37622)</f>
        <v>37622</v>
      </c>
      <c r="J3792" s="2">
        <f ca="1">IFERROR(__xludf.DUMMYFUNCTION("""COMPUTED_VALUE"""),37986)</f>
        <v>37986</v>
      </c>
    </row>
    <row r="3793" spans="1:10" x14ac:dyDescent="0.25">
      <c r="A3793" s="1" t="str">
        <f ca="1">IFERROR(__xludf.DUMMYFUNCTION("""COMPUTED_VALUE"""),"BTBK")</f>
        <v>BTBK</v>
      </c>
      <c r="B3793" s="1" t="str">
        <f ca="1">IFERROR(__xludf.DUMMYFUNCTION("""COMPUTED_VALUE"""),"Vas Mihály")</f>
        <v>Vas Mihály</v>
      </c>
      <c r="C3793" s="1"/>
      <c r="D3793" s="1" t="str">
        <f ca="1">IFERROR(__xludf.DUMMYFUNCTION("""COMPUTED_VALUE"""),"Férfi")</f>
        <v>Férfi</v>
      </c>
      <c r="E3793" s="1"/>
      <c r="F3793" s="1">
        <f ca="1">IFERROR(__xludf.DUMMYFUNCTION("""COMPUTED_VALUE"""),1984)</f>
        <v>1984</v>
      </c>
      <c r="G3793" s="1">
        <f ca="1">IFERROR(__xludf.DUMMYFUNCTION("""COMPUTED_VALUE"""),1103)</f>
        <v>1103</v>
      </c>
      <c r="H3793" s="1" t="str">
        <f ca="1">IFERROR(__xludf.DUMMYFUNCTION("""COMPUTED_VALUE"""),"MTLSZ001103A02")</f>
        <v>MTLSZ001103A02</v>
      </c>
      <c r="I3793" s="2">
        <f ca="1">IFERROR(__xludf.DUMMYFUNCTION("""COMPUTED_VALUE"""),37622)</f>
        <v>37622</v>
      </c>
      <c r="J3793" s="2">
        <f ca="1">IFERROR(__xludf.DUMMYFUNCTION("""COMPUTED_VALUE"""),37986)</f>
        <v>37986</v>
      </c>
    </row>
    <row r="3794" spans="1:10" x14ac:dyDescent="0.25">
      <c r="A3794" s="1" t="str">
        <f ca="1">IFERROR(__xludf.DUMMYFUNCTION("""COMPUTED_VALUE"""),"BTBK")</f>
        <v>BTBK</v>
      </c>
      <c r="B3794" s="1" t="str">
        <f ca="1">IFERROR(__xludf.DUMMYFUNCTION("""COMPUTED_VALUE"""),"Visky Tünde")</f>
        <v>Visky Tünde</v>
      </c>
      <c r="C3794" s="1"/>
      <c r="D3794" s="1" t="str">
        <f ca="1">IFERROR(__xludf.DUMMYFUNCTION("""COMPUTED_VALUE"""),"Nő")</f>
        <v>Nő</v>
      </c>
      <c r="E3794" s="1"/>
      <c r="F3794" s="1">
        <f ca="1">IFERROR(__xludf.DUMMYFUNCTION("""COMPUTED_VALUE"""),1980)</f>
        <v>1980</v>
      </c>
      <c r="G3794" s="1">
        <f ca="1">IFERROR(__xludf.DUMMYFUNCTION("""COMPUTED_VALUE"""),1128)</f>
        <v>1128</v>
      </c>
      <c r="H3794" s="1" t="str">
        <f ca="1">IFERROR(__xludf.DUMMYFUNCTION("""COMPUTED_VALUE"""),"MTLSZ001128A02")</f>
        <v>MTLSZ001128A02</v>
      </c>
      <c r="I3794" s="2">
        <f ca="1">IFERROR(__xludf.DUMMYFUNCTION("""COMPUTED_VALUE"""),37622)</f>
        <v>37622</v>
      </c>
      <c r="J3794" s="2">
        <f ca="1">IFERROR(__xludf.DUMMYFUNCTION("""COMPUTED_VALUE"""),37986)</f>
        <v>37986</v>
      </c>
    </row>
    <row r="3795" spans="1:10" x14ac:dyDescent="0.25">
      <c r="A3795" s="1" t="str">
        <f ca="1">IFERROR(__xludf.DUMMYFUNCTION("""COMPUTED_VALUE"""),"DSK")</f>
        <v>DSK</v>
      </c>
      <c r="B3795" s="1" t="str">
        <f ca="1">IFERROR(__xludf.DUMMYFUNCTION("""COMPUTED_VALUE"""),"Erdős Mónika")</f>
        <v>Erdős Mónika</v>
      </c>
      <c r="C3795" s="1"/>
      <c r="D3795" s="1" t="str">
        <f ca="1">IFERROR(__xludf.DUMMYFUNCTION("""COMPUTED_VALUE"""),"Nő")</f>
        <v>Nő</v>
      </c>
      <c r="E3795" s="1"/>
      <c r="F3795" s="1">
        <f ca="1">IFERROR(__xludf.DUMMYFUNCTION("""COMPUTED_VALUE"""),1985)</f>
        <v>1985</v>
      </c>
      <c r="G3795" s="1">
        <f ca="1">IFERROR(__xludf.DUMMYFUNCTION("""COMPUTED_VALUE"""),220)</f>
        <v>220</v>
      </c>
      <c r="H3795" s="1" t="str">
        <f ca="1">IFERROR(__xludf.DUMMYFUNCTION("""COMPUTED_VALUE"""),"MTLSZ000220A02")</f>
        <v>MTLSZ000220A02</v>
      </c>
      <c r="I3795" s="2">
        <f ca="1">IFERROR(__xludf.DUMMYFUNCTION("""COMPUTED_VALUE"""),37622)</f>
        <v>37622</v>
      </c>
      <c r="J3795" s="2">
        <f ca="1">IFERROR(__xludf.DUMMYFUNCTION("""COMPUTED_VALUE"""),37986)</f>
        <v>37986</v>
      </c>
    </row>
    <row r="3796" spans="1:10" x14ac:dyDescent="0.25">
      <c r="A3796" s="1" t="str">
        <f ca="1">IFERROR(__xludf.DUMMYFUNCTION("""COMPUTED_VALUE"""),"DSK")</f>
        <v>DSK</v>
      </c>
      <c r="B3796" s="1" t="str">
        <f ca="1">IFERROR(__xludf.DUMMYFUNCTION("""COMPUTED_VALUE"""),"Földvárszki Krisztina")</f>
        <v>Földvárszki Krisztina</v>
      </c>
      <c r="C3796" s="1"/>
      <c r="D3796" s="1" t="str">
        <f ca="1">IFERROR(__xludf.DUMMYFUNCTION("""COMPUTED_VALUE"""),"Nő")</f>
        <v>Nő</v>
      </c>
      <c r="E3796" s="1"/>
      <c r="F3796" s="1">
        <f ca="1">IFERROR(__xludf.DUMMYFUNCTION("""COMPUTED_VALUE"""),1990)</f>
        <v>1990</v>
      </c>
      <c r="G3796" s="1">
        <f ca="1">IFERROR(__xludf.DUMMYFUNCTION("""COMPUTED_VALUE"""),270)</f>
        <v>270</v>
      </c>
      <c r="H3796" s="1" t="str">
        <f ca="1">IFERROR(__xludf.DUMMYFUNCTION("""COMPUTED_VALUE"""),"MTLSZ000270A02")</f>
        <v>MTLSZ000270A02</v>
      </c>
      <c r="I3796" s="2">
        <f ca="1">IFERROR(__xludf.DUMMYFUNCTION("""COMPUTED_VALUE"""),37622)</f>
        <v>37622</v>
      </c>
      <c r="J3796" s="2">
        <f ca="1">IFERROR(__xludf.DUMMYFUNCTION("""COMPUTED_VALUE"""),37986)</f>
        <v>37986</v>
      </c>
    </row>
    <row r="3797" spans="1:10" x14ac:dyDescent="0.25">
      <c r="A3797" s="1" t="str">
        <f ca="1">IFERROR(__xludf.DUMMYFUNCTION("""COMPUTED_VALUE"""),"DSK")</f>
        <v>DSK</v>
      </c>
      <c r="B3797" s="1" t="str">
        <f ca="1">IFERROR(__xludf.DUMMYFUNCTION("""COMPUTED_VALUE"""),"Gulyás Mihály")</f>
        <v>Gulyás Mihály</v>
      </c>
      <c r="C3797" s="1"/>
      <c r="D3797" s="1" t="str">
        <f ca="1">IFERROR(__xludf.DUMMYFUNCTION("""COMPUTED_VALUE"""),"Férfi")</f>
        <v>Férfi</v>
      </c>
      <c r="E3797" s="1"/>
      <c r="F3797" s="1">
        <f ca="1">IFERROR(__xludf.DUMMYFUNCTION("""COMPUTED_VALUE"""),1987)</f>
        <v>1987</v>
      </c>
      <c r="G3797" s="1">
        <f ca="1">IFERROR(__xludf.DUMMYFUNCTION("""COMPUTED_VALUE"""),311)</f>
        <v>311</v>
      </c>
      <c r="H3797" s="1" t="str">
        <f ca="1">IFERROR(__xludf.DUMMYFUNCTION("""COMPUTED_VALUE"""),"MTLSZ000311A02")</f>
        <v>MTLSZ000311A02</v>
      </c>
      <c r="I3797" s="2">
        <f ca="1">IFERROR(__xludf.DUMMYFUNCTION("""COMPUTED_VALUE"""),37622)</f>
        <v>37622</v>
      </c>
      <c r="J3797" s="2">
        <f ca="1">IFERROR(__xludf.DUMMYFUNCTION("""COMPUTED_VALUE"""),37986)</f>
        <v>37986</v>
      </c>
    </row>
    <row r="3798" spans="1:10" x14ac:dyDescent="0.25">
      <c r="A3798" s="1" t="str">
        <f ca="1">IFERROR(__xludf.DUMMYFUNCTION("""COMPUTED_VALUE"""),"DSK")</f>
        <v>DSK</v>
      </c>
      <c r="B3798" s="1" t="str">
        <f ca="1">IFERROR(__xludf.DUMMYFUNCTION("""COMPUTED_VALUE"""),"Hegyvári János")</f>
        <v>Hegyvári János</v>
      </c>
      <c r="C3798" s="1"/>
      <c r="D3798" s="1" t="str">
        <f ca="1">IFERROR(__xludf.DUMMYFUNCTION("""COMPUTED_VALUE"""),"Férfi")</f>
        <v>Férfi</v>
      </c>
      <c r="E3798" s="1"/>
      <c r="F3798" s="1">
        <f ca="1">IFERROR(__xludf.DUMMYFUNCTION("""COMPUTED_VALUE"""),1990)</f>
        <v>1990</v>
      </c>
      <c r="G3798" s="1">
        <f ca="1">IFERROR(__xludf.DUMMYFUNCTION("""COMPUTED_VALUE"""),355)</f>
        <v>355</v>
      </c>
      <c r="H3798" s="1" t="str">
        <f ca="1">IFERROR(__xludf.DUMMYFUNCTION("""COMPUTED_VALUE"""),"MTLSZ000355A02")</f>
        <v>MTLSZ000355A02</v>
      </c>
      <c r="I3798" s="2">
        <f ca="1">IFERROR(__xludf.DUMMYFUNCTION("""COMPUTED_VALUE"""),37622)</f>
        <v>37622</v>
      </c>
      <c r="J3798" s="2">
        <f ca="1">IFERROR(__xludf.DUMMYFUNCTION("""COMPUTED_VALUE"""),37986)</f>
        <v>37986</v>
      </c>
    </row>
    <row r="3799" spans="1:10" x14ac:dyDescent="0.25">
      <c r="A3799" s="1" t="str">
        <f ca="1">IFERROR(__xludf.DUMMYFUNCTION("""COMPUTED_VALUE"""),"DSK")</f>
        <v>DSK</v>
      </c>
      <c r="B3799" s="1" t="str">
        <f ca="1">IFERROR(__xludf.DUMMYFUNCTION("""COMPUTED_VALUE"""),"Huszti Boglárka")</f>
        <v>Huszti Boglárka</v>
      </c>
      <c r="C3799" s="1"/>
      <c r="D3799" s="1" t="str">
        <f ca="1">IFERROR(__xludf.DUMMYFUNCTION("""COMPUTED_VALUE"""),"Nő")</f>
        <v>Nő</v>
      </c>
      <c r="E3799" s="1"/>
      <c r="F3799" s="1">
        <f ca="1">IFERROR(__xludf.DUMMYFUNCTION("""COMPUTED_VALUE"""),1980)</f>
        <v>1980</v>
      </c>
      <c r="G3799" s="1">
        <f ca="1">IFERROR(__xludf.DUMMYFUNCTION("""COMPUTED_VALUE"""),391)</f>
        <v>391</v>
      </c>
      <c r="H3799" s="1" t="str">
        <f ca="1">IFERROR(__xludf.DUMMYFUNCTION("""COMPUTED_VALUE"""),"MTLSZ000391A02")</f>
        <v>MTLSZ000391A02</v>
      </c>
      <c r="I3799" s="2">
        <f ca="1">IFERROR(__xludf.DUMMYFUNCTION("""COMPUTED_VALUE"""),37622)</f>
        <v>37622</v>
      </c>
      <c r="J3799" s="2">
        <f ca="1">IFERROR(__xludf.DUMMYFUNCTION("""COMPUTED_VALUE"""),37986)</f>
        <v>37986</v>
      </c>
    </row>
    <row r="3800" spans="1:10" x14ac:dyDescent="0.25">
      <c r="A3800" s="1" t="str">
        <f ca="1">IFERROR(__xludf.DUMMYFUNCTION("""COMPUTED_VALUE"""),"DSK")</f>
        <v>DSK</v>
      </c>
      <c r="B3800" s="1" t="str">
        <f ca="1">IFERROR(__xludf.DUMMYFUNCTION("""COMPUTED_VALUE"""),"Jeruska Adrienn")</f>
        <v>Jeruska Adrienn</v>
      </c>
      <c r="C3800" s="1"/>
      <c r="D3800" s="1" t="str">
        <f ca="1">IFERROR(__xludf.DUMMYFUNCTION("""COMPUTED_VALUE"""),"Nő")</f>
        <v>Nő</v>
      </c>
      <c r="E3800" s="1"/>
      <c r="F3800" s="1">
        <f ca="1">IFERROR(__xludf.DUMMYFUNCTION("""COMPUTED_VALUE"""),1985)</f>
        <v>1985</v>
      </c>
      <c r="G3800" s="1">
        <f ca="1">IFERROR(__xludf.DUMMYFUNCTION("""COMPUTED_VALUE"""),411)</f>
        <v>411</v>
      </c>
      <c r="H3800" s="1" t="str">
        <f ca="1">IFERROR(__xludf.DUMMYFUNCTION("""COMPUTED_VALUE"""),"MTLSZ000411A02")</f>
        <v>MTLSZ000411A02</v>
      </c>
      <c r="I3800" s="2">
        <f ca="1">IFERROR(__xludf.DUMMYFUNCTION("""COMPUTED_VALUE"""),37622)</f>
        <v>37622</v>
      </c>
      <c r="J3800" s="2">
        <f ca="1">IFERROR(__xludf.DUMMYFUNCTION("""COMPUTED_VALUE"""),37986)</f>
        <v>37986</v>
      </c>
    </row>
    <row r="3801" spans="1:10" x14ac:dyDescent="0.25">
      <c r="A3801" s="1" t="str">
        <f ca="1">IFERROR(__xludf.DUMMYFUNCTION("""COMPUTED_VALUE"""),"DSK")</f>
        <v>DSK</v>
      </c>
      <c r="B3801" s="1" t="str">
        <f ca="1">IFERROR(__xludf.DUMMYFUNCTION("""COMPUTED_VALUE"""),"Kálcza Tamás")</f>
        <v>Kálcza Tamás</v>
      </c>
      <c r="C3801" s="1"/>
      <c r="D3801" s="1" t="str">
        <f ca="1">IFERROR(__xludf.DUMMYFUNCTION("""COMPUTED_VALUE"""),"Férfi")</f>
        <v>Férfi</v>
      </c>
      <c r="E3801" s="1"/>
      <c r="F3801" s="1">
        <f ca="1">IFERROR(__xludf.DUMMYFUNCTION("""COMPUTED_VALUE"""),1985)</f>
        <v>1985</v>
      </c>
      <c r="G3801" s="1">
        <f ca="1">IFERROR(__xludf.DUMMYFUNCTION("""COMPUTED_VALUE"""),420)</f>
        <v>420</v>
      </c>
      <c r="H3801" s="1" t="str">
        <f ca="1">IFERROR(__xludf.DUMMYFUNCTION("""COMPUTED_VALUE"""),"MTLSZ000420A02")</f>
        <v>MTLSZ000420A02</v>
      </c>
      <c r="I3801" s="2">
        <f ca="1">IFERROR(__xludf.DUMMYFUNCTION("""COMPUTED_VALUE"""),37622)</f>
        <v>37622</v>
      </c>
      <c r="J3801" s="2">
        <f ca="1">IFERROR(__xludf.DUMMYFUNCTION("""COMPUTED_VALUE"""),37986)</f>
        <v>37986</v>
      </c>
    </row>
    <row r="3802" spans="1:10" x14ac:dyDescent="0.25">
      <c r="A3802" s="1" t="str">
        <f ca="1">IFERROR(__xludf.DUMMYFUNCTION("""COMPUTED_VALUE"""),"DSK")</f>
        <v>DSK</v>
      </c>
      <c r="B3802" s="1" t="str">
        <f ca="1">IFERROR(__xludf.DUMMYFUNCTION("""COMPUTED_VALUE"""),"Kanyó Balázs")</f>
        <v>Kanyó Balázs</v>
      </c>
      <c r="C3802" s="1"/>
      <c r="D3802" s="1" t="str">
        <f ca="1">IFERROR(__xludf.DUMMYFUNCTION("""COMPUTED_VALUE"""),"Férfi")</f>
        <v>Férfi</v>
      </c>
      <c r="E3802" s="1"/>
      <c r="F3802" s="1">
        <f ca="1">IFERROR(__xludf.DUMMYFUNCTION("""COMPUTED_VALUE"""),1985)</f>
        <v>1985</v>
      </c>
      <c r="G3802" s="1">
        <f ca="1">IFERROR(__xludf.DUMMYFUNCTION("""COMPUTED_VALUE"""),429)</f>
        <v>429</v>
      </c>
      <c r="H3802" s="1" t="str">
        <f ca="1">IFERROR(__xludf.DUMMYFUNCTION("""COMPUTED_VALUE"""),"MTLSZ000429A02")</f>
        <v>MTLSZ000429A02</v>
      </c>
      <c r="I3802" s="2">
        <f ca="1">IFERROR(__xludf.DUMMYFUNCTION("""COMPUTED_VALUE"""),37622)</f>
        <v>37622</v>
      </c>
      <c r="J3802" s="2">
        <f ca="1">IFERROR(__xludf.DUMMYFUNCTION("""COMPUTED_VALUE"""),37986)</f>
        <v>37986</v>
      </c>
    </row>
    <row r="3803" spans="1:10" x14ac:dyDescent="0.25">
      <c r="A3803" s="1" t="str">
        <f ca="1">IFERROR(__xludf.DUMMYFUNCTION("""COMPUTED_VALUE"""),"DSK")</f>
        <v>DSK</v>
      </c>
      <c r="B3803" s="1" t="str">
        <f ca="1">IFERROR(__xludf.DUMMYFUNCTION("""COMPUTED_VALUE"""),"Katinszki Diána")</f>
        <v>Katinszki Diána</v>
      </c>
      <c r="C3803" s="1"/>
      <c r="D3803" s="1" t="str">
        <f ca="1">IFERROR(__xludf.DUMMYFUNCTION("""COMPUTED_VALUE"""),"Nő")</f>
        <v>Nő</v>
      </c>
      <c r="E3803" s="1"/>
      <c r="F3803" s="1">
        <f ca="1">IFERROR(__xludf.DUMMYFUNCTION("""COMPUTED_VALUE"""),1988)</f>
        <v>1988</v>
      </c>
      <c r="G3803" s="1">
        <f ca="1">IFERROR(__xludf.DUMMYFUNCTION("""COMPUTED_VALUE"""),443)</f>
        <v>443</v>
      </c>
      <c r="H3803" s="1" t="str">
        <f ca="1">IFERROR(__xludf.DUMMYFUNCTION("""COMPUTED_VALUE"""),"MTLSZ000443A02")</f>
        <v>MTLSZ000443A02</v>
      </c>
      <c r="I3803" s="2">
        <f ca="1">IFERROR(__xludf.DUMMYFUNCTION("""COMPUTED_VALUE"""),37622)</f>
        <v>37622</v>
      </c>
      <c r="J3803" s="2">
        <f ca="1">IFERROR(__xludf.DUMMYFUNCTION("""COMPUTED_VALUE"""),37986)</f>
        <v>37986</v>
      </c>
    </row>
    <row r="3804" spans="1:10" x14ac:dyDescent="0.25">
      <c r="A3804" s="1" t="str">
        <f ca="1">IFERROR(__xludf.DUMMYFUNCTION("""COMPUTED_VALUE"""),"DSK")</f>
        <v>DSK</v>
      </c>
      <c r="B3804" s="1" t="str">
        <f ca="1">IFERROR(__xludf.DUMMYFUNCTION("""COMPUTED_VALUE"""),"Kis Bálint")</f>
        <v>Kis Bálint</v>
      </c>
      <c r="C3804" s="1"/>
      <c r="D3804" s="1" t="str">
        <f ca="1">IFERROR(__xludf.DUMMYFUNCTION("""COMPUTED_VALUE"""),"Férfi")</f>
        <v>Férfi</v>
      </c>
      <c r="E3804" s="1"/>
      <c r="F3804" s="1">
        <f ca="1">IFERROR(__xludf.DUMMYFUNCTION("""COMPUTED_VALUE"""),1982)</f>
        <v>1982</v>
      </c>
      <c r="G3804" s="1">
        <f ca="1">IFERROR(__xludf.DUMMYFUNCTION("""COMPUTED_VALUE"""),472)</f>
        <v>472</v>
      </c>
      <c r="H3804" s="1" t="str">
        <f ca="1">IFERROR(__xludf.DUMMYFUNCTION("""COMPUTED_VALUE"""),"MTLSZ000472A02")</f>
        <v>MTLSZ000472A02</v>
      </c>
      <c r="I3804" s="2">
        <f ca="1">IFERROR(__xludf.DUMMYFUNCTION("""COMPUTED_VALUE"""),37622)</f>
        <v>37622</v>
      </c>
      <c r="J3804" s="2">
        <f ca="1">IFERROR(__xludf.DUMMYFUNCTION("""COMPUTED_VALUE"""),37986)</f>
        <v>37986</v>
      </c>
    </row>
    <row r="3805" spans="1:10" x14ac:dyDescent="0.25">
      <c r="A3805" s="1" t="str">
        <f ca="1">IFERROR(__xludf.DUMMYFUNCTION("""COMPUTED_VALUE"""),"DSK")</f>
        <v>DSK</v>
      </c>
      <c r="B3805" s="1" t="str">
        <f ca="1">IFERROR(__xludf.DUMMYFUNCTION("""COMPUTED_VALUE"""),"Kis Lázár")</f>
        <v>Kis Lázár</v>
      </c>
      <c r="C3805" s="1"/>
      <c r="D3805" s="1" t="str">
        <f ca="1">IFERROR(__xludf.DUMMYFUNCTION("""COMPUTED_VALUE"""),"Férfi")</f>
        <v>Férfi</v>
      </c>
      <c r="E3805" s="1"/>
      <c r="F3805" s="1">
        <f ca="1">IFERROR(__xludf.DUMMYFUNCTION("""COMPUTED_VALUE"""),1984)</f>
        <v>1984</v>
      </c>
      <c r="G3805" s="1">
        <f ca="1">IFERROR(__xludf.DUMMYFUNCTION("""COMPUTED_VALUE"""),475)</f>
        <v>475</v>
      </c>
      <c r="H3805" s="1" t="str">
        <f ca="1">IFERROR(__xludf.DUMMYFUNCTION("""COMPUTED_VALUE"""),"MTLSZ000475A02")</f>
        <v>MTLSZ000475A02</v>
      </c>
      <c r="I3805" s="2">
        <f ca="1">IFERROR(__xludf.DUMMYFUNCTION("""COMPUTED_VALUE"""),37622)</f>
        <v>37622</v>
      </c>
      <c r="J3805" s="2">
        <f ca="1">IFERROR(__xludf.DUMMYFUNCTION("""COMPUTED_VALUE"""),37986)</f>
        <v>37986</v>
      </c>
    </row>
    <row r="3806" spans="1:10" x14ac:dyDescent="0.25">
      <c r="A3806" s="1" t="str">
        <f ca="1">IFERROR(__xludf.DUMMYFUNCTION("""COMPUTED_VALUE"""),"DSK")</f>
        <v>DSK</v>
      </c>
      <c r="B3806" s="1" t="str">
        <f ca="1">IFERROR(__xludf.DUMMYFUNCTION("""COMPUTED_VALUE"""),"Kis Réka")</f>
        <v>Kis Réka</v>
      </c>
      <c r="C3806" s="1"/>
      <c r="D3806" s="1" t="str">
        <f ca="1">IFERROR(__xludf.DUMMYFUNCTION("""COMPUTED_VALUE"""),"Nő")</f>
        <v>Nő</v>
      </c>
      <c r="E3806" s="1"/>
      <c r="F3806" s="1">
        <f ca="1">IFERROR(__xludf.DUMMYFUNCTION("""COMPUTED_VALUE"""),1987)</f>
        <v>1987</v>
      </c>
      <c r="G3806" s="1">
        <f ca="1">IFERROR(__xludf.DUMMYFUNCTION("""COMPUTED_VALUE"""),477)</f>
        <v>477</v>
      </c>
      <c r="H3806" s="1" t="str">
        <f ca="1">IFERROR(__xludf.DUMMYFUNCTION("""COMPUTED_VALUE"""),"MTLSZ000477A02")</f>
        <v>MTLSZ000477A02</v>
      </c>
      <c r="I3806" s="2">
        <f ca="1">IFERROR(__xludf.DUMMYFUNCTION("""COMPUTED_VALUE"""),37622)</f>
        <v>37622</v>
      </c>
      <c r="J3806" s="2">
        <f ca="1">IFERROR(__xludf.DUMMYFUNCTION("""COMPUTED_VALUE"""),37986)</f>
        <v>37986</v>
      </c>
    </row>
    <row r="3807" spans="1:10" x14ac:dyDescent="0.25">
      <c r="A3807" s="1" t="str">
        <f ca="1">IFERROR(__xludf.DUMMYFUNCTION("""COMPUTED_VALUE"""),"DSK")</f>
        <v>DSK</v>
      </c>
      <c r="B3807" s="1" t="str">
        <f ca="1">IFERROR(__xludf.DUMMYFUNCTION("""COMPUTED_VALUE"""),"Lakati László")</f>
        <v>Lakati László</v>
      </c>
      <c r="C3807" s="1"/>
      <c r="D3807" s="1" t="str">
        <f ca="1">IFERROR(__xludf.DUMMYFUNCTION("""COMPUTED_VALUE"""),"Férfi")</f>
        <v>Férfi</v>
      </c>
      <c r="E3807" s="1"/>
      <c r="F3807" s="1">
        <f ca="1">IFERROR(__xludf.DUMMYFUNCTION("""COMPUTED_VALUE"""),1986)</f>
        <v>1986</v>
      </c>
      <c r="G3807" s="1">
        <f ca="1">IFERROR(__xludf.DUMMYFUNCTION("""COMPUTED_VALUE"""),565)</f>
        <v>565</v>
      </c>
      <c r="H3807" s="1" t="str">
        <f ca="1">IFERROR(__xludf.DUMMYFUNCTION("""COMPUTED_VALUE"""),"MTLSZ000565A02")</f>
        <v>MTLSZ000565A02</v>
      </c>
      <c r="I3807" s="2">
        <f ca="1">IFERROR(__xludf.DUMMYFUNCTION("""COMPUTED_VALUE"""),37622)</f>
        <v>37622</v>
      </c>
      <c r="J3807" s="2">
        <f ca="1">IFERROR(__xludf.DUMMYFUNCTION("""COMPUTED_VALUE"""),37986)</f>
        <v>37986</v>
      </c>
    </row>
    <row r="3808" spans="1:10" x14ac:dyDescent="0.25">
      <c r="A3808" s="1" t="str">
        <f ca="1">IFERROR(__xludf.DUMMYFUNCTION("""COMPUTED_VALUE"""),"DSK")</f>
        <v>DSK</v>
      </c>
      <c r="B3808" s="1" t="str">
        <f ca="1">IFERROR(__xludf.DUMMYFUNCTION("""COMPUTED_VALUE"""),"Lestákné Krizsán Klára")</f>
        <v>Lestákné Krizsán Klára</v>
      </c>
      <c r="C3808" s="1"/>
      <c r="D3808" s="1" t="str">
        <f ca="1">IFERROR(__xludf.DUMMYFUNCTION("""COMPUTED_VALUE"""),"Nő")</f>
        <v>Nő</v>
      </c>
      <c r="E3808" s="1"/>
      <c r="F3808" s="1">
        <f ca="1">IFERROR(__xludf.DUMMYFUNCTION("""COMPUTED_VALUE"""),1964)</f>
        <v>1964</v>
      </c>
      <c r="G3808" s="1">
        <f ca="1">IFERROR(__xludf.DUMMYFUNCTION("""COMPUTED_VALUE"""),589)</f>
        <v>589</v>
      </c>
      <c r="H3808" s="1" t="str">
        <f ca="1">IFERROR(__xludf.DUMMYFUNCTION("""COMPUTED_VALUE"""),"MTLSZ000589A02")</f>
        <v>MTLSZ000589A02</v>
      </c>
      <c r="I3808" s="2">
        <f ca="1">IFERROR(__xludf.DUMMYFUNCTION("""COMPUTED_VALUE"""),37622)</f>
        <v>37622</v>
      </c>
      <c r="J3808" s="2">
        <f ca="1">IFERROR(__xludf.DUMMYFUNCTION("""COMPUTED_VALUE"""),37986)</f>
        <v>37986</v>
      </c>
    </row>
    <row r="3809" spans="1:10" x14ac:dyDescent="0.25">
      <c r="A3809" s="1" t="str">
        <f ca="1">IFERROR(__xludf.DUMMYFUNCTION("""COMPUTED_VALUE"""),"DSK")</f>
        <v>DSK</v>
      </c>
      <c r="B3809" s="1" t="str">
        <f ca="1">IFERROR(__xludf.DUMMYFUNCTION("""COMPUTED_VALUE"""),"Ligeti Ágnes")</f>
        <v>Ligeti Ágnes</v>
      </c>
      <c r="C3809" s="1"/>
      <c r="D3809" s="1" t="str">
        <f ca="1">IFERROR(__xludf.DUMMYFUNCTION("""COMPUTED_VALUE"""),"Nő")</f>
        <v>Nő</v>
      </c>
      <c r="E3809" s="1"/>
      <c r="F3809" s="1">
        <f ca="1">IFERROR(__xludf.DUMMYFUNCTION("""COMPUTED_VALUE"""),1987)</f>
        <v>1987</v>
      </c>
      <c r="G3809" s="1">
        <f ca="1">IFERROR(__xludf.DUMMYFUNCTION("""COMPUTED_VALUE"""),590)</f>
        <v>590</v>
      </c>
      <c r="H3809" s="1" t="str">
        <f ca="1">IFERROR(__xludf.DUMMYFUNCTION("""COMPUTED_VALUE"""),"MTLSZ000590A02")</f>
        <v>MTLSZ000590A02</v>
      </c>
      <c r="I3809" s="2">
        <f ca="1">IFERROR(__xludf.DUMMYFUNCTION("""COMPUTED_VALUE"""),37622)</f>
        <v>37622</v>
      </c>
      <c r="J3809" s="2">
        <f ca="1">IFERROR(__xludf.DUMMYFUNCTION("""COMPUTED_VALUE"""),37986)</f>
        <v>37986</v>
      </c>
    </row>
    <row r="3810" spans="1:10" x14ac:dyDescent="0.25">
      <c r="A3810" s="1" t="str">
        <f ca="1">IFERROR(__xludf.DUMMYFUNCTION("""COMPUTED_VALUE"""),"DSK")</f>
        <v>DSK</v>
      </c>
      <c r="B3810" s="1" t="str">
        <f ca="1">IFERROR(__xludf.DUMMYFUNCTION("""COMPUTED_VALUE"""),"Luzsák Anett")</f>
        <v>Luzsák Anett</v>
      </c>
      <c r="C3810" s="1"/>
      <c r="D3810" s="1" t="str">
        <f ca="1">IFERROR(__xludf.DUMMYFUNCTION("""COMPUTED_VALUE"""),"Nő")</f>
        <v>Nő</v>
      </c>
      <c r="E3810" s="1"/>
      <c r="F3810" s="1">
        <f ca="1">IFERROR(__xludf.DUMMYFUNCTION("""COMPUTED_VALUE"""),1989)</f>
        <v>1989</v>
      </c>
      <c r="G3810" s="1">
        <f ca="1">IFERROR(__xludf.DUMMYFUNCTION("""COMPUTED_VALUE"""),600)</f>
        <v>600</v>
      </c>
      <c r="H3810" s="1" t="str">
        <f ca="1">IFERROR(__xludf.DUMMYFUNCTION("""COMPUTED_VALUE"""),"MTLSZ000600A02")</f>
        <v>MTLSZ000600A02</v>
      </c>
      <c r="I3810" s="2">
        <f ca="1">IFERROR(__xludf.DUMMYFUNCTION("""COMPUTED_VALUE"""),37622)</f>
        <v>37622</v>
      </c>
      <c r="J3810" s="2">
        <f ca="1">IFERROR(__xludf.DUMMYFUNCTION("""COMPUTED_VALUE"""),37986)</f>
        <v>37986</v>
      </c>
    </row>
    <row r="3811" spans="1:10" x14ac:dyDescent="0.25">
      <c r="A3811" s="1" t="str">
        <f ca="1">IFERROR(__xludf.DUMMYFUNCTION("""COMPUTED_VALUE"""),"DSK")</f>
        <v>DSK</v>
      </c>
      <c r="B3811" s="1" t="str">
        <f ca="1">IFERROR(__xludf.DUMMYFUNCTION("""COMPUTED_VALUE"""),"Mészáros Adrián")</f>
        <v>Mészáros Adrián</v>
      </c>
      <c r="C3811" s="1"/>
      <c r="D3811" s="1" t="str">
        <f ca="1">IFERROR(__xludf.DUMMYFUNCTION("""COMPUTED_VALUE"""),"Férfi")</f>
        <v>Férfi</v>
      </c>
      <c r="E3811" s="1"/>
      <c r="F3811" s="1">
        <f ca="1">IFERROR(__xludf.DUMMYFUNCTION("""COMPUTED_VALUE"""),1988)</f>
        <v>1988</v>
      </c>
      <c r="G3811" s="1">
        <f ca="1">IFERROR(__xludf.DUMMYFUNCTION("""COMPUTED_VALUE"""),638)</f>
        <v>638</v>
      </c>
      <c r="H3811" s="1" t="str">
        <f ca="1">IFERROR(__xludf.DUMMYFUNCTION("""COMPUTED_VALUE"""),"MTLSZ000638A02")</f>
        <v>MTLSZ000638A02</v>
      </c>
      <c r="I3811" s="2">
        <f ca="1">IFERROR(__xludf.DUMMYFUNCTION("""COMPUTED_VALUE"""),37622)</f>
        <v>37622</v>
      </c>
      <c r="J3811" s="2">
        <f ca="1">IFERROR(__xludf.DUMMYFUNCTION("""COMPUTED_VALUE"""),37986)</f>
        <v>37986</v>
      </c>
    </row>
    <row r="3812" spans="1:10" x14ac:dyDescent="0.25">
      <c r="A3812" s="1" t="str">
        <f ca="1">IFERROR(__xludf.DUMMYFUNCTION("""COMPUTED_VALUE"""),"DSK")</f>
        <v>DSK</v>
      </c>
      <c r="B3812" s="1" t="str">
        <f ca="1">IFERROR(__xludf.DUMMYFUNCTION("""COMPUTED_VALUE"""),"Molnár Melinda")</f>
        <v>Molnár Melinda</v>
      </c>
      <c r="C3812" s="1"/>
      <c r="D3812" s="1" t="str">
        <f ca="1">IFERROR(__xludf.DUMMYFUNCTION("""COMPUTED_VALUE"""),"Nő")</f>
        <v>Nő</v>
      </c>
      <c r="E3812" s="1"/>
      <c r="F3812" s="1">
        <f ca="1">IFERROR(__xludf.DUMMYFUNCTION("""COMPUTED_VALUE"""),1979)</f>
        <v>1979</v>
      </c>
      <c r="G3812" s="1">
        <f ca="1">IFERROR(__xludf.DUMMYFUNCTION("""COMPUTED_VALUE"""),664)</f>
        <v>664</v>
      </c>
      <c r="H3812" s="1" t="str">
        <f ca="1">IFERROR(__xludf.DUMMYFUNCTION("""COMPUTED_VALUE"""),"MTLSZ000664A02")</f>
        <v>MTLSZ000664A02</v>
      </c>
      <c r="I3812" s="2">
        <f ca="1">IFERROR(__xludf.DUMMYFUNCTION("""COMPUTED_VALUE"""),37622)</f>
        <v>37622</v>
      </c>
      <c r="J3812" s="2">
        <f ca="1">IFERROR(__xludf.DUMMYFUNCTION("""COMPUTED_VALUE"""),37986)</f>
        <v>37986</v>
      </c>
    </row>
    <row r="3813" spans="1:10" x14ac:dyDescent="0.25">
      <c r="A3813" s="1" t="str">
        <f ca="1">IFERROR(__xludf.DUMMYFUNCTION("""COMPUTED_VALUE"""),"DSK")</f>
        <v>DSK</v>
      </c>
      <c r="B3813" s="1" t="str">
        <f ca="1">IFERROR(__xludf.DUMMYFUNCTION("""COMPUTED_VALUE"""),"Nakladál Richárd")</f>
        <v>Nakladál Richárd</v>
      </c>
      <c r="C3813" s="1"/>
      <c r="D3813" s="1" t="str">
        <f ca="1">IFERROR(__xludf.DUMMYFUNCTION("""COMPUTED_VALUE"""),"Férfi")</f>
        <v>Férfi</v>
      </c>
      <c r="E3813" s="1"/>
      <c r="F3813" s="1">
        <f ca="1">IFERROR(__xludf.DUMMYFUNCTION("""COMPUTED_VALUE"""),1988)</f>
        <v>1988</v>
      </c>
      <c r="G3813" s="1">
        <f ca="1">IFERROR(__xludf.DUMMYFUNCTION("""COMPUTED_VALUE"""),703)</f>
        <v>703</v>
      </c>
      <c r="H3813" s="1" t="str">
        <f ca="1">IFERROR(__xludf.DUMMYFUNCTION("""COMPUTED_VALUE"""),"MTLSZ000703A02")</f>
        <v>MTLSZ000703A02</v>
      </c>
      <c r="I3813" s="2">
        <f ca="1">IFERROR(__xludf.DUMMYFUNCTION("""COMPUTED_VALUE"""),37622)</f>
        <v>37622</v>
      </c>
      <c r="J3813" s="2">
        <f ca="1">IFERROR(__xludf.DUMMYFUNCTION("""COMPUTED_VALUE"""),37986)</f>
        <v>37986</v>
      </c>
    </row>
    <row r="3814" spans="1:10" x14ac:dyDescent="0.25">
      <c r="A3814" s="1" t="str">
        <f ca="1">IFERROR(__xludf.DUMMYFUNCTION("""COMPUTED_VALUE"""),"DSK")</f>
        <v>DSK</v>
      </c>
      <c r="B3814" s="1" t="str">
        <f ca="1">IFERROR(__xludf.DUMMYFUNCTION("""COMPUTED_VALUE"""),"Oros József")</f>
        <v>Oros József</v>
      </c>
      <c r="C3814" s="1"/>
      <c r="D3814" s="1" t="str">
        <f ca="1">IFERROR(__xludf.DUMMYFUNCTION("""COMPUTED_VALUE"""),"Férfi")</f>
        <v>Férfi</v>
      </c>
      <c r="E3814" s="1"/>
      <c r="F3814" s="1">
        <f ca="1">IFERROR(__xludf.DUMMYFUNCTION("""COMPUTED_VALUE"""),1945)</f>
        <v>1945</v>
      </c>
      <c r="G3814" s="1">
        <f ca="1">IFERROR(__xludf.DUMMYFUNCTION("""COMPUTED_VALUE"""),721)</f>
        <v>721</v>
      </c>
      <c r="H3814" s="1" t="str">
        <f ca="1">IFERROR(__xludf.DUMMYFUNCTION("""COMPUTED_VALUE"""),"MTLSZ000721A02")</f>
        <v>MTLSZ000721A02</v>
      </c>
      <c r="I3814" s="2">
        <f ca="1">IFERROR(__xludf.DUMMYFUNCTION("""COMPUTED_VALUE"""),37622)</f>
        <v>37622</v>
      </c>
      <c r="J3814" s="2">
        <f ca="1">IFERROR(__xludf.DUMMYFUNCTION("""COMPUTED_VALUE"""),37986)</f>
        <v>37986</v>
      </c>
    </row>
    <row r="3815" spans="1:10" x14ac:dyDescent="0.25">
      <c r="A3815" s="1" t="str">
        <f ca="1">IFERROR(__xludf.DUMMYFUNCTION("""COMPUTED_VALUE"""),"DSK")</f>
        <v>DSK</v>
      </c>
      <c r="B3815" s="1" t="str">
        <f ca="1">IFERROR(__xludf.DUMMYFUNCTION("""COMPUTED_VALUE"""),"Ország Erika")</f>
        <v>Ország Erika</v>
      </c>
      <c r="C3815" s="1"/>
      <c r="D3815" s="1" t="str">
        <f ca="1">IFERROR(__xludf.DUMMYFUNCTION("""COMPUTED_VALUE"""),"Nő")</f>
        <v>Nő</v>
      </c>
      <c r="E3815" s="1"/>
      <c r="F3815" s="1">
        <f ca="1">IFERROR(__xludf.DUMMYFUNCTION("""COMPUTED_VALUE"""),1989)</f>
        <v>1989</v>
      </c>
      <c r="G3815" s="1">
        <f ca="1">IFERROR(__xludf.DUMMYFUNCTION("""COMPUTED_VALUE"""),725)</f>
        <v>725</v>
      </c>
      <c r="H3815" s="1" t="str">
        <f ca="1">IFERROR(__xludf.DUMMYFUNCTION("""COMPUTED_VALUE"""),"MTLSZ000725A02")</f>
        <v>MTLSZ000725A02</v>
      </c>
      <c r="I3815" s="2">
        <f ca="1">IFERROR(__xludf.DUMMYFUNCTION("""COMPUTED_VALUE"""),37622)</f>
        <v>37622</v>
      </c>
      <c r="J3815" s="2">
        <f ca="1">IFERROR(__xludf.DUMMYFUNCTION("""COMPUTED_VALUE"""),37986)</f>
        <v>37986</v>
      </c>
    </row>
    <row r="3816" spans="1:10" x14ac:dyDescent="0.25">
      <c r="A3816" s="1" t="str">
        <f ca="1">IFERROR(__xludf.DUMMYFUNCTION("""COMPUTED_VALUE"""),"DSK")</f>
        <v>DSK</v>
      </c>
      <c r="B3816" s="1" t="str">
        <f ca="1">IFERROR(__xludf.DUMMYFUNCTION("""COMPUTED_VALUE"""),"Ribai Anikó")</f>
        <v>Ribai Anikó</v>
      </c>
      <c r="C3816" s="1"/>
      <c r="D3816" s="1" t="str">
        <f ca="1">IFERROR(__xludf.DUMMYFUNCTION("""COMPUTED_VALUE"""),"Nő")</f>
        <v>Nő</v>
      </c>
      <c r="E3816" s="1"/>
      <c r="F3816" s="1">
        <f ca="1">IFERROR(__xludf.DUMMYFUNCTION("""COMPUTED_VALUE"""),1982)</f>
        <v>1982</v>
      </c>
      <c r="G3816" s="1">
        <f ca="1">IFERROR(__xludf.DUMMYFUNCTION("""COMPUTED_VALUE"""),813)</f>
        <v>813</v>
      </c>
      <c r="H3816" s="1" t="str">
        <f ca="1">IFERROR(__xludf.DUMMYFUNCTION("""COMPUTED_VALUE"""),"MTLSZ000813A02")</f>
        <v>MTLSZ000813A02</v>
      </c>
      <c r="I3816" s="2">
        <f ca="1">IFERROR(__xludf.DUMMYFUNCTION("""COMPUTED_VALUE"""),37622)</f>
        <v>37622</v>
      </c>
      <c r="J3816" s="2">
        <f ca="1">IFERROR(__xludf.DUMMYFUNCTION("""COMPUTED_VALUE"""),37986)</f>
        <v>37986</v>
      </c>
    </row>
    <row r="3817" spans="1:10" x14ac:dyDescent="0.25">
      <c r="A3817" s="1" t="str">
        <f ca="1">IFERROR(__xludf.DUMMYFUNCTION("""COMPUTED_VALUE"""),"DSK")</f>
        <v>DSK</v>
      </c>
      <c r="B3817" s="1" t="str">
        <f ca="1">IFERROR(__xludf.DUMMYFUNCTION("""COMPUTED_VALUE"""),"Szabó Anna")</f>
        <v>Szabó Anna</v>
      </c>
      <c r="C3817" s="1"/>
      <c r="D3817" s="1" t="str">
        <f ca="1">IFERROR(__xludf.DUMMYFUNCTION("""COMPUTED_VALUE"""),"Nő")</f>
        <v>Nő</v>
      </c>
      <c r="E3817" s="1"/>
      <c r="F3817" s="1">
        <f ca="1">IFERROR(__xludf.DUMMYFUNCTION("""COMPUTED_VALUE"""),1970)</f>
        <v>1970</v>
      </c>
      <c r="G3817" s="1">
        <f ca="1">IFERROR(__xludf.DUMMYFUNCTION("""COMPUTED_VALUE"""),880)</f>
        <v>880</v>
      </c>
      <c r="H3817" s="1" t="str">
        <f ca="1">IFERROR(__xludf.DUMMYFUNCTION("""COMPUTED_VALUE"""),"MTLSZ000880A02")</f>
        <v>MTLSZ000880A02</v>
      </c>
      <c r="I3817" s="2">
        <f ca="1">IFERROR(__xludf.DUMMYFUNCTION("""COMPUTED_VALUE"""),37622)</f>
        <v>37622</v>
      </c>
      <c r="J3817" s="2">
        <f ca="1">IFERROR(__xludf.DUMMYFUNCTION("""COMPUTED_VALUE"""),37986)</f>
        <v>37986</v>
      </c>
    </row>
    <row r="3818" spans="1:10" x14ac:dyDescent="0.25">
      <c r="A3818" s="1" t="str">
        <f ca="1">IFERROR(__xludf.DUMMYFUNCTION("""COMPUTED_VALUE"""),"DSK")</f>
        <v>DSK</v>
      </c>
      <c r="B3818" s="1" t="str">
        <f ca="1">IFERROR(__xludf.DUMMYFUNCTION("""COMPUTED_VALUE"""),"Szeidenléder Pál")</f>
        <v>Szeidenléder Pál</v>
      </c>
      <c r="C3818" s="1"/>
      <c r="D3818" s="1" t="str">
        <f ca="1">IFERROR(__xludf.DUMMYFUNCTION("""COMPUTED_VALUE"""),"Férfi")</f>
        <v>Férfi</v>
      </c>
      <c r="E3818" s="1"/>
      <c r="F3818" s="1">
        <f ca="1">IFERROR(__xludf.DUMMYFUNCTION("""COMPUTED_VALUE"""),1982)</f>
        <v>1982</v>
      </c>
      <c r="G3818" s="1">
        <f ca="1">IFERROR(__xludf.DUMMYFUNCTION("""COMPUTED_VALUE"""),925)</f>
        <v>925</v>
      </c>
      <c r="H3818" s="1" t="str">
        <f ca="1">IFERROR(__xludf.DUMMYFUNCTION("""COMPUTED_VALUE"""),"MTLSZ000925A02")</f>
        <v>MTLSZ000925A02</v>
      </c>
      <c r="I3818" s="2">
        <f ca="1">IFERROR(__xludf.DUMMYFUNCTION("""COMPUTED_VALUE"""),37622)</f>
        <v>37622</v>
      </c>
      <c r="J3818" s="2">
        <f ca="1">IFERROR(__xludf.DUMMYFUNCTION("""COMPUTED_VALUE"""),37986)</f>
        <v>37986</v>
      </c>
    </row>
    <row r="3819" spans="1:10" x14ac:dyDescent="0.25">
      <c r="A3819" s="1" t="str">
        <f ca="1">IFERROR(__xludf.DUMMYFUNCTION("""COMPUTED_VALUE"""),"DSK")</f>
        <v>DSK</v>
      </c>
      <c r="B3819" s="1" t="str">
        <f ca="1">IFERROR(__xludf.DUMMYFUNCTION("""COMPUTED_VALUE"""),"Sztrátya Zsolt")</f>
        <v>Sztrátya Zsolt</v>
      </c>
      <c r="C3819" s="1"/>
      <c r="D3819" s="1" t="str">
        <f ca="1">IFERROR(__xludf.DUMMYFUNCTION("""COMPUTED_VALUE"""),"Férfi")</f>
        <v>Férfi</v>
      </c>
      <c r="E3819" s="1"/>
      <c r="F3819" s="1">
        <f ca="1">IFERROR(__xludf.DUMMYFUNCTION("""COMPUTED_VALUE"""),1979)</f>
        <v>1979</v>
      </c>
      <c r="G3819" s="1">
        <f ca="1">IFERROR(__xludf.DUMMYFUNCTION("""COMPUTED_VALUE"""),974)</f>
        <v>974</v>
      </c>
      <c r="H3819" s="1" t="str">
        <f ca="1">IFERROR(__xludf.DUMMYFUNCTION("""COMPUTED_VALUE"""),"MTLSZ000974A02")</f>
        <v>MTLSZ000974A02</v>
      </c>
      <c r="I3819" s="2">
        <f ca="1">IFERROR(__xludf.DUMMYFUNCTION("""COMPUTED_VALUE"""),37622)</f>
        <v>37622</v>
      </c>
      <c r="J3819" s="2">
        <f ca="1">IFERROR(__xludf.DUMMYFUNCTION("""COMPUTED_VALUE"""),37986)</f>
        <v>37986</v>
      </c>
    </row>
    <row r="3820" spans="1:10" x14ac:dyDescent="0.25">
      <c r="A3820" s="1" t="str">
        <f ca="1">IFERROR(__xludf.DUMMYFUNCTION("""COMPUTED_VALUE"""),"DSK")</f>
        <v>DSK</v>
      </c>
      <c r="B3820" s="1" t="str">
        <f ca="1">IFERROR(__xludf.DUMMYFUNCTION("""COMPUTED_VALUE"""),"Urbán Csaba")</f>
        <v>Urbán Csaba</v>
      </c>
      <c r="C3820" s="1"/>
      <c r="D3820" s="1" t="str">
        <f ca="1">IFERROR(__xludf.DUMMYFUNCTION("""COMPUTED_VALUE"""),"Férfi")</f>
        <v>Férfi</v>
      </c>
      <c r="E3820" s="1"/>
      <c r="F3820" s="1">
        <f ca="1">IFERROR(__xludf.DUMMYFUNCTION("""COMPUTED_VALUE"""),1973)</f>
        <v>1973</v>
      </c>
      <c r="G3820" s="1">
        <f ca="1">IFERROR(__xludf.DUMMYFUNCTION("""COMPUTED_VALUE"""),1075)</f>
        <v>1075</v>
      </c>
      <c r="H3820" s="1" t="str">
        <f ca="1">IFERROR(__xludf.DUMMYFUNCTION("""COMPUTED_VALUE"""),"MTLSZ001075A02")</f>
        <v>MTLSZ001075A02</v>
      </c>
      <c r="I3820" s="2">
        <f ca="1">IFERROR(__xludf.DUMMYFUNCTION("""COMPUTED_VALUE"""),37622)</f>
        <v>37622</v>
      </c>
      <c r="J3820" s="2">
        <f ca="1">IFERROR(__xludf.DUMMYFUNCTION("""COMPUTED_VALUE"""),37986)</f>
        <v>37986</v>
      </c>
    </row>
    <row r="3821" spans="1:10" x14ac:dyDescent="0.25">
      <c r="A3821" s="1" t="str">
        <f ca="1">IFERROR(__xludf.DUMMYFUNCTION("""COMPUTED_VALUE"""),"DSK")</f>
        <v>DSK</v>
      </c>
      <c r="B3821" s="1" t="str">
        <f ca="1">IFERROR(__xludf.DUMMYFUNCTION("""COMPUTED_VALUE"""),"Vécsei Veronika")</f>
        <v>Vécsei Veronika</v>
      </c>
      <c r="C3821" s="1"/>
      <c r="D3821" s="1" t="str">
        <f ca="1">IFERROR(__xludf.DUMMYFUNCTION("""COMPUTED_VALUE"""),"Nő")</f>
        <v>Nő</v>
      </c>
      <c r="E3821" s="1"/>
      <c r="F3821" s="1">
        <f ca="1">IFERROR(__xludf.DUMMYFUNCTION("""COMPUTED_VALUE"""),1975)</f>
        <v>1975</v>
      </c>
      <c r="G3821" s="1">
        <f ca="1">IFERROR(__xludf.DUMMYFUNCTION("""COMPUTED_VALUE"""),1108)</f>
        <v>1108</v>
      </c>
      <c r="H3821" s="1" t="str">
        <f ca="1">IFERROR(__xludf.DUMMYFUNCTION("""COMPUTED_VALUE"""),"MTLSZ001108A02")</f>
        <v>MTLSZ001108A02</v>
      </c>
      <c r="I3821" s="2">
        <f ca="1">IFERROR(__xludf.DUMMYFUNCTION("""COMPUTED_VALUE"""),37622)</f>
        <v>37622</v>
      </c>
      <c r="J3821" s="2">
        <f ca="1">IFERROR(__xludf.DUMMYFUNCTION("""COMPUTED_VALUE"""),37986)</f>
        <v>37986</v>
      </c>
    </row>
    <row r="3822" spans="1:10" x14ac:dyDescent="0.25">
      <c r="A3822" s="1" t="str">
        <f ca="1">IFERROR(__xludf.DUMMYFUNCTION("""COMPUTED_VALUE"""),"DSK")</f>
        <v>DSK</v>
      </c>
      <c r="B3822" s="1" t="str">
        <f ca="1">IFERROR(__xludf.DUMMYFUNCTION("""COMPUTED_VALUE"""),"Zsigó Péter")</f>
        <v>Zsigó Péter</v>
      </c>
      <c r="C3822" s="1"/>
      <c r="D3822" s="1" t="str">
        <f ca="1">IFERROR(__xludf.DUMMYFUNCTION("""COMPUTED_VALUE"""),"Férfi")</f>
        <v>Férfi</v>
      </c>
      <c r="E3822" s="1"/>
      <c r="F3822" s="1">
        <f ca="1">IFERROR(__xludf.DUMMYFUNCTION("""COMPUTED_VALUE"""),1983)</f>
        <v>1983</v>
      </c>
      <c r="G3822" s="1">
        <f ca="1">IFERROR(__xludf.DUMMYFUNCTION("""COMPUTED_VALUE"""),1151)</f>
        <v>1151</v>
      </c>
      <c r="H3822" s="1" t="str">
        <f ca="1">IFERROR(__xludf.DUMMYFUNCTION("""COMPUTED_VALUE"""),"MTLSZ001151A02")</f>
        <v>MTLSZ001151A02</v>
      </c>
      <c r="I3822" s="2">
        <f ca="1">IFERROR(__xludf.DUMMYFUNCTION("""COMPUTED_VALUE"""),37622)</f>
        <v>37622</v>
      </c>
      <c r="J3822" s="2">
        <f ca="1">IFERROR(__xludf.DUMMYFUNCTION("""COMPUTED_VALUE"""),37986)</f>
        <v>37986</v>
      </c>
    </row>
    <row r="3823" spans="1:10" x14ac:dyDescent="0.25">
      <c r="A3823" s="1" t="str">
        <f ca="1">IFERROR(__xludf.DUMMYFUNCTION("""COMPUTED_VALUE"""),"DSC-SI")</f>
        <v>DSC-SI</v>
      </c>
      <c r="B3823" s="1" t="str">
        <f ca="1">IFERROR(__xludf.DUMMYFUNCTION("""COMPUTED_VALUE"""),"Bezzeg Edina")</f>
        <v>Bezzeg Edina</v>
      </c>
      <c r="C3823" s="1"/>
      <c r="D3823" s="1" t="str">
        <f ca="1">IFERROR(__xludf.DUMMYFUNCTION("""COMPUTED_VALUE"""),"Nő")</f>
        <v>Nő</v>
      </c>
      <c r="E3823" s="1"/>
      <c r="F3823" s="1">
        <f ca="1">IFERROR(__xludf.DUMMYFUNCTION("""COMPUTED_VALUE"""),1980)</f>
        <v>1980</v>
      </c>
      <c r="G3823" s="1">
        <f ca="1">IFERROR(__xludf.DUMMYFUNCTION("""COMPUTED_VALUE"""),1246)</f>
        <v>1246</v>
      </c>
      <c r="H3823" s="1" t="str">
        <f ca="1">IFERROR(__xludf.DUMMYFUNCTION("""COMPUTED_VALUE"""),"MTLSZ001246A02")</f>
        <v>MTLSZ001246A02</v>
      </c>
      <c r="I3823" s="2">
        <f ca="1">IFERROR(__xludf.DUMMYFUNCTION("""COMPUTED_VALUE"""),37622)</f>
        <v>37622</v>
      </c>
      <c r="J3823" s="2">
        <f ca="1">IFERROR(__xludf.DUMMYFUNCTION("""COMPUTED_VALUE"""),37986)</f>
        <v>37986</v>
      </c>
    </row>
    <row r="3824" spans="1:10" x14ac:dyDescent="0.25">
      <c r="A3824" s="1" t="str">
        <f ca="1">IFERROR(__xludf.DUMMYFUNCTION("""COMPUTED_VALUE"""),"DSC-SI")</f>
        <v>DSC-SI</v>
      </c>
      <c r="B3824" s="1" t="str">
        <f ca="1">IFERROR(__xludf.DUMMYFUNCTION("""COMPUTED_VALUE"""),"Bíró Barbara")</f>
        <v>Bíró Barbara</v>
      </c>
      <c r="C3824" s="1"/>
      <c r="D3824" s="1" t="str">
        <f ca="1">IFERROR(__xludf.DUMMYFUNCTION("""COMPUTED_VALUE"""),"Nő")</f>
        <v>Nő</v>
      </c>
      <c r="E3824" s="1"/>
      <c r="F3824" s="1">
        <f ca="1">IFERROR(__xludf.DUMMYFUNCTION("""COMPUTED_VALUE"""),1988)</f>
        <v>1988</v>
      </c>
      <c r="G3824" s="1">
        <f ca="1">IFERROR(__xludf.DUMMYFUNCTION("""COMPUTED_VALUE"""),89)</f>
        <v>89</v>
      </c>
      <c r="H3824" s="1" t="str">
        <f ca="1">IFERROR(__xludf.DUMMYFUNCTION("""COMPUTED_VALUE"""),"MTLSZ000089A02")</f>
        <v>MTLSZ000089A02</v>
      </c>
      <c r="I3824" s="2">
        <f ca="1">IFERROR(__xludf.DUMMYFUNCTION("""COMPUTED_VALUE"""),37622)</f>
        <v>37622</v>
      </c>
      <c r="J3824" s="2">
        <f ca="1">IFERROR(__xludf.DUMMYFUNCTION("""COMPUTED_VALUE"""),37986)</f>
        <v>37986</v>
      </c>
    </row>
    <row r="3825" spans="1:10" x14ac:dyDescent="0.25">
      <c r="A3825" s="1" t="str">
        <f ca="1">IFERROR(__xludf.DUMMYFUNCTION("""COMPUTED_VALUE"""),"DSC-SI")</f>
        <v>DSC-SI</v>
      </c>
      <c r="B3825" s="1" t="str">
        <f ca="1">IFERROR(__xludf.DUMMYFUNCTION("""COMPUTED_VALUE"""),"Borbély Sándor")</f>
        <v>Borbély Sándor</v>
      </c>
      <c r="C3825" s="1"/>
      <c r="D3825" s="1" t="str">
        <f ca="1">IFERROR(__xludf.DUMMYFUNCTION("""COMPUTED_VALUE"""),"Férfi")</f>
        <v>Férfi</v>
      </c>
      <c r="E3825" s="1"/>
      <c r="F3825" s="1">
        <f ca="1">IFERROR(__xludf.DUMMYFUNCTION("""COMPUTED_VALUE"""),1954)</f>
        <v>1954</v>
      </c>
      <c r="G3825" s="1">
        <f ca="1">IFERROR(__xludf.DUMMYFUNCTION("""COMPUTED_VALUE"""),103)</f>
        <v>103</v>
      </c>
      <c r="H3825" s="1" t="str">
        <f ca="1">IFERROR(__xludf.DUMMYFUNCTION("""COMPUTED_VALUE"""),"MTLSZ000103A02")</f>
        <v>MTLSZ000103A02</v>
      </c>
      <c r="I3825" s="2">
        <f ca="1">IFERROR(__xludf.DUMMYFUNCTION("""COMPUTED_VALUE"""),37622)</f>
        <v>37622</v>
      </c>
      <c r="J3825" s="2">
        <f ca="1">IFERROR(__xludf.DUMMYFUNCTION("""COMPUTED_VALUE"""),37986)</f>
        <v>37986</v>
      </c>
    </row>
    <row r="3826" spans="1:10" x14ac:dyDescent="0.25">
      <c r="A3826" s="1" t="str">
        <f ca="1">IFERROR(__xludf.DUMMYFUNCTION("""COMPUTED_VALUE"""),"DSC-SI")</f>
        <v>DSC-SI</v>
      </c>
      <c r="B3826" s="1" t="str">
        <f ca="1">IFERROR(__xludf.DUMMYFUNCTION("""COMPUTED_VALUE"""),"Boros Veronika")</f>
        <v>Boros Veronika</v>
      </c>
      <c r="C3826" s="1"/>
      <c r="D3826" s="1" t="str">
        <f ca="1">IFERROR(__xludf.DUMMYFUNCTION("""COMPUTED_VALUE"""),"Nő")</f>
        <v>Nő</v>
      </c>
      <c r="E3826" s="1"/>
      <c r="F3826" s="1">
        <f ca="1">IFERROR(__xludf.DUMMYFUNCTION("""COMPUTED_VALUE"""),1988)</f>
        <v>1988</v>
      </c>
      <c r="G3826" s="1">
        <f ca="1">IFERROR(__xludf.DUMMYFUNCTION("""COMPUTED_VALUE"""),107)</f>
        <v>107</v>
      </c>
      <c r="H3826" s="1" t="str">
        <f ca="1">IFERROR(__xludf.DUMMYFUNCTION("""COMPUTED_VALUE"""),"MTLSZ000107A02")</f>
        <v>MTLSZ000107A02</v>
      </c>
      <c r="I3826" s="2">
        <f ca="1">IFERROR(__xludf.DUMMYFUNCTION("""COMPUTED_VALUE"""),37622)</f>
        <v>37622</v>
      </c>
      <c r="J3826" s="2">
        <f ca="1">IFERROR(__xludf.DUMMYFUNCTION("""COMPUTED_VALUE"""),37986)</f>
        <v>37986</v>
      </c>
    </row>
    <row r="3827" spans="1:10" x14ac:dyDescent="0.25">
      <c r="A3827" s="1" t="str">
        <f ca="1">IFERROR(__xludf.DUMMYFUNCTION("""COMPUTED_VALUE"""),"DSC-SI")</f>
        <v>DSC-SI</v>
      </c>
      <c r="B3827" s="1" t="str">
        <f ca="1">IFERROR(__xludf.DUMMYFUNCTION("""COMPUTED_VALUE"""),"Csiszér István")</f>
        <v>Csiszér István</v>
      </c>
      <c r="C3827" s="1"/>
      <c r="D3827" s="1" t="str">
        <f ca="1">IFERROR(__xludf.DUMMYFUNCTION("""COMPUTED_VALUE"""),"Férfi")</f>
        <v>Férfi</v>
      </c>
      <c r="E3827" s="1"/>
      <c r="F3827" s="1">
        <f ca="1">IFERROR(__xludf.DUMMYFUNCTION("""COMPUTED_VALUE"""),1983)</f>
        <v>1983</v>
      </c>
      <c r="G3827" s="1">
        <f ca="1">IFERROR(__xludf.DUMMYFUNCTION("""COMPUTED_VALUE"""),149)</f>
        <v>149</v>
      </c>
      <c r="H3827" s="1" t="str">
        <f ca="1">IFERROR(__xludf.DUMMYFUNCTION("""COMPUTED_VALUE"""),"MTLSZ000149A02")</f>
        <v>MTLSZ000149A02</v>
      </c>
      <c r="I3827" s="2">
        <f ca="1">IFERROR(__xludf.DUMMYFUNCTION("""COMPUTED_VALUE"""),37622)</f>
        <v>37622</v>
      </c>
      <c r="J3827" s="2">
        <f ca="1">IFERROR(__xludf.DUMMYFUNCTION("""COMPUTED_VALUE"""),37986)</f>
        <v>37986</v>
      </c>
    </row>
    <row r="3828" spans="1:10" x14ac:dyDescent="0.25">
      <c r="A3828" s="1" t="str">
        <f ca="1">IFERROR(__xludf.DUMMYFUNCTION("""COMPUTED_VALUE"""),"DSC-SI")</f>
        <v>DSC-SI</v>
      </c>
      <c r="B3828" s="1" t="str">
        <f ca="1">IFERROR(__xludf.DUMMYFUNCTION("""COMPUTED_VALUE"""),"Elek Odett")</f>
        <v>Elek Odett</v>
      </c>
      <c r="C3828" s="1"/>
      <c r="D3828" s="1" t="str">
        <f ca="1">IFERROR(__xludf.DUMMYFUNCTION("""COMPUTED_VALUE"""),"Nő")</f>
        <v>Nő</v>
      </c>
      <c r="E3828" s="1"/>
      <c r="F3828" s="1">
        <f ca="1">IFERROR(__xludf.DUMMYFUNCTION("""COMPUTED_VALUE"""),1991)</f>
        <v>1991</v>
      </c>
      <c r="G3828" s="1">
        <f ca="1">IFERROR(__xludf.DUMMYFUNCTION("""COMPUTED_VALUE"""),213)</f>
        <v>213</v>
      </c>
      <c r="H3828" s="1" t="str">
        <f ca="1">IFERROR(__xludf.DUMMYFUNCTION("""COMPUTED_VALUE"""),"MTLSZ000213A02")</f>
        <v>MTLSZ000213A02</v>
      </c>
      <c r="I3828" s="2">
        <f ca="1">IFERROR(__xludf.DUMMYFUNCTION("""COMPUTED_VALUE"""),37622)</f>
        <v>37622</v>
      </c>
      <c r="J3828" s="2">
        <f ca="1">IFERROR(__xludf.DUMMYFUNCTION("""COMPUTED_VALUE"""),37986)</f>
        <v>37986</v>
      </c>
    </row>
    <row r="3829" spans="1:10" x14ac:dyDescent="0.25">
      <c r="A3829" s="1" t="str">
        <f ca="1">IFERROR(__xludf.DUMMYFUNCTION("""COMPUTED_VALUE"""),"DSC-SI")</f>
        <v>DSC-SI</v>
      </c>
      <c r="B3829" s="1" t="str">
        <f ca="1">IFERROR(__xludf.DUMMYFUNCTION("""COMPUTED_VALUE"""),"Elek Zsolt")</f>
        <v>Elek Zsolt</v>
      </c>
      <c r="C3829" s="1"/>
      <c r="D3829" s="1" t="str">
        <f ca="1">IFERROR(__xludf.DUMMYFUNCTION("""COMPUTED_VALUE"""),"Férfi")</f>
        <v>Férfi</v>
      </c>
      <c r="E3829" s="1"/>
      <c r="F3829" s="1">
        <f ca="1">IFERROR(__xludf.DUMMYFUNCTION("""COMPUTED_VALUE"""),1985)</f>
        <v>1985</v>
      </c>
      <c r="G3829" s="1">
        <f ca="1">IFERROR(__xludf.DUMMYFUNCTION("""COMPUTED_VALUE"""),214)</f>
        <v>214</v>
      </c>
      <c r="H3829" s="1" t="str">
        <f ca="1">IFERROR(__xludf.DUMMYFUNCTION("""COMPUTED_VALUE"""),"MTLSZ000214A02")</f>
        <v>MTLSZ000214A02</v>
      </c>
      <c r="I3829" s="2">
        <f ca="1">IFERROR(__xludf.DUMMYFUNCTION("""COMPUTED_VALUE"""),37622)</f>
        <v>37622</v>
      </c>
      <c r="J3829" s="2">
        <f ca="1">IFERROR(__xludf.DUMMYFUNCTION("""COMPUTED_VALUE"""),37986)</f>
        <v>37986</v>
      </c>
    </row>
    <row r="3830" spans="1:10" x14ac:dyDescent="0.25">
      <c r="A3830" s="1" t="str">
        <f ca="1">IFERROR(__xludf.DUMMYFUNCTION("""COMPUTED_VALUE"""),"DSC-SI")</f>
        <v>DSC-SI</v>
      </c>
      <c r="B3830" s="1" t="str">
        <f ca="1">IFERROR(__xludf.DUMMYFUNCTION("""COMPUTED_VALUE"""),"Fábián Zsolt")</f>
        <v>Fábián Zsolt</v>
      </c>
      <c r="C3830" s="1"/>
      <c r="D3830" s="1" t="str">
        <f ca="1">IFERROR(__xludf.DUMMYFUNCTION("""COMPUTED_VALUE"""),"Férfi")</f>
        <v>Férfi</v>
      </c>
      <c r="E3830" s="1"/>
      <c r="F3830" s="1">
        <f ca="1">IFERROR(__xludf.DUMMYFUNCTION("""COMPUTED_VALUE"""),1968)</f>
        <v>1968</v>
      </c>
      <c r="G3830" s="1">
        <f ca="1">IFERROR(__xludf.DUMMYFUNCTION("""COMPUTED_VALUE"""),224)</f>
        <v>224</v>
      </c>
      <c r="H3830" s="1" t="str">
        <f ca="1">IFERROR(__xludf.DUMMYFUNCTION("""COMPUTED_VALUE"""),"MTLSZ000224A02")</f>
        <v>MTLSZ000224A02</v>
      </c>
      <c r="I3830" s="2">
        <f ca="1">IFERROR(__xludf.DUMMYFUNCTION("""COMPUTED_VALUE"""),37622)</f>
        <v>37622</v>
      </c>
      <c r="J3830" s="2">
        <f ca="1">IFERROR(__xludf.DUMMYFUNCTION("""COMPUTED_VALUE"""),37986)</f>
        <v>37986</v>
      </c>
    </row>
    <row r="3831" spans="1:10" x14ac:dyDescent="0.25">
      <c r="A3831" s="1" t="str">
        <f ca="1">IFERROR(__xludf.DUMMYFUNCTION("""COMPUTED_VALUE"""),"DSC-SI")</f>
        <v>DSC-SI</v>
      </c>
      <c r="B3831" s="1" t="str">
        <f ca="1">IFERROR(__xludf.DUMMYFUNCTION("""COMPUTED_VALUE"""),"Ferenczi István")</f>
        <v>Ferenczi István</v>
      </c>
      <c r="C3831" s="1"/>
      <c r="D3831" s="1" t="str">
        <f ca="1">IFERROR(__xludf.DUMMYFUNCTION("""COMPUTED_VALUE"""),"Férfi")</f>
        <v>Férfi</v>
      </c>
      <c r="E3831" s="1"/>
      <c r="F3831" s="1">
        <f ca="1">IFERROR(__xludf.DUMMYFUNCTION("""COMPUTED_VALUE"""),1973)</f>
        <v>1973</v>
      </c>
      <c r="G3831" s="1">
        <f ca="1">IFERROR(__xludf.DUMMYFUNCTION("""COMPUTED_VALUE"""),248)</f>
        <v>248</v>
      </c>
      <c r="H3831" s="1" t="str">
        <f ca="1">IFERROR(__xludf.DUMMYFUNCTION("""COMPUTED_VALUE"""),"MTLSZ000248A02")</f>
        <v>MTLSZ000248A02</v>
      </c>
      <c r="I3831" s="2">
        <f ca="1">IFERROR(__xludf.DUMMYFUNCTION("""COMPUTED_VALUE"""),37622)</f>
        <v>37622</v>
      </c>
      <c r="J3831" s="2">
        <f ca="1">IFERROR(__xludf.DUMMYFUNCTION("""COMPUTED_VALUE"""),37986)</f>
        <v>37986</v>
      </c>
    </row>
    <row r="3832" spans="1:10" x14ac:dyDescent="0.25">
      <c r="A3832" s="1" t="str">
        <f ca="1">IFERROR(__xludf.DUMMYFUNCTION("""COMPUTED_VALUE"""),"DSC-SI")</f>
        <v>DSC-SI</v>
      </c>
      <c r="B3832" s="1" t="str">
        <f ca="1">IFERROR(__xludf.DUMMYFUNCTION("""COMPUTED_VALUE"""),"Füzesi Tamás")</f>
        <v>Füzesi Tamás</v>
      </c>
      <c r="C3832" s="1"/>
      <c r="D3832" s="1" t="str">
        <f ca="1">IFERROR(__xludf.DUMMYFUNCTION("""COMPUTED_VALUE"""),"Férfi")</f>
        <v>Férfi</v>
      </c>
      <c r="E3832" s="1"/>
      <c r="F3832" s="1">
        <f ca="1">IFERROR(__xludf.DUMMYFUNCTION("""COMPUTED_VALUE"""),1985)</f>
        <v>1985</v>
      </c>
      <c r="G3832" s="1">
        <f ca="1">IFERROR(__xludf.DUMMYFUNCTION("""COMPUTED_VALUE"""),266)</f>
        <v>266</v>
      </c>
      <c r="H3832" s="1" t="str">
        <f ca="1">IFERROR(__xludf.DUMMYFUNCTION("""COMPUTED_VALUE"""),"MTLSZ000266A02")</f>
        <v>MTLSZ000266A02</v>
      </c>
      <c r="I3832" s="2">
        <f ca="1">IFERROR(__xludf.DUMMYFUNCTION("""COMPUTED_VALUE"""),37622)</f>
        <v>37622</v>
      </c>
      <c r="J3832" s="2">
        <f ca="1">IFERROR(__xludf.DUMMYFUNCTION("""COMPUTED_VALUE"""),37986)</f>
        <v>37986</v>
      </c>
    </row>
    <row r="3833" spans="1:10" x14ac:dyDescent="0.25">
      <c r="A3833" s="1" t="str">
        <f ca="1">IFERROR(__xludf.DUMMYFUNCTION("""COMPUTED_VALUE"""),"DSC-SI")</f>
        <v>DSC-SI</v>
      </c>
      <c r="B3833" s="1" t="str">
        <f ca="1">IFERROR(__xludf.DUMMYFUNCTION("""COMPUTED_VALUE"""),"Goóz István")</f>
        <v>Goóz István</v>
      </c>
      <c r="C3833" s="1"/>
      <c r="D3833" s="1" t="str">
        <f ca="1">IFERROR(__xludf.DUMMYFUNCTION("""COMPUTED_VALUE"""),"Férfi")</f>
        <v>Férfi</v>
      </c>
      <c r="E3833" s="1"/>
      <c r="F3833" s="1">
        <f ca="1">IFERROR(__xludf.DUMMYFUNCTION("""COMPUTED_VALUE"""),1986)</f>
        <v>1986</v>
      </c>
      <c r="G3833" s="1">
        <f ca="1">IFERROR(__xludf.DUMMYFUNCTION("""COMPUTED_VALUE"""),301)</f>
        <v>301</v>
      </c>
      <c r="H3833" s="1" t="str">
        <f ca="1">IFERROR(__xludf.DUMMYFUNCTION("""COMPUTED_VALUE"""),"MTLSZ000301A02")</f>
        <v>MTLSZ000301A02</v>
      </c>
      <c r="I3833" s="2">
        <f ca="1">IFERROR(__xludf.DUMMYFUNCTION("""COMPUTED_VALUE"""),37622)</f>
        <v>37622</v>
      </c>
      <c r="J3833" s="2">
        <f ca="1">IFERROR(__xludf.DUMMYFUNCTION("""COMPUTED_VALUE"""),37986)</f>
        <v>37986</v>
      </c>
    </row>
    <row r="3834" spans="1:10" x14ac:dyDescent="0.25">
      <c r="A3834" s="1" t="str">
        <f ca="1">IFERROR(__xludf.DUMMYFUNCTION("""COMPUTED_VALUE"""),"DSC-SI")</f>
        <v>DSC-SI</v>
      </c>
      <c r="B3834" s="1" t="str">
        <f ca="1">IFERROR(__xludf.DUMMYFUNCTION("""COMPUTED_VALUE"""),"Győrffy Zsuzsa")</f>
        <v>Győrffy Zsuzsa</v>
      </c>
      <c r="C3834" s="1"/>
      <c r="D3834" s="1" t="str">
        <f ca="1">IFERROR(__xludf.DUMMYFUNCTION("""COMPUTED_VALUE"""),"Nő")</f>
        <v>Nő</v>
      </c>
      <c r="E3834" s="1"/>
      <c r="F3834" s="1">
        <f ca="1">IFERROR(__xludf.DUMMYFUNCTION("""COMPUTED_VALUE"""),1985)</f>
        <v>1985</v>
      </c>
      <c r="G3834" s="1">
        <f ca="1">IFERROR(__xludf.DUMMYFUNCTION("""COMPUTED_VALUE"""),315)</f>
        <v>315</v>
      </c>
      <c r="H3834" s="1" t="str">
        <f ca="1">IFERROR(__xludf.DUMMYFUNCTION("""COMPUTED_VALUE"""),"MTLSZ000315A02")</f>
        <v>MTLSZ000315A02</v>
      </c>
      <c r="I3834" s="2">
        <f ca="1">IFERROR(__xludf.DUMMYFUNCTION("""COMPUTED_VALUE"""),37622)</f>
        <v>37622</v>
      </c>
      <c r="J3834" s="2">
        <f ca="1">IFERROR(__xludf.DUMMYFUNCTION("""COMPUTED_VALUE"""),37986)</f>
        <v>37986</v>
      </c>
    </row>
    <row r="3835" spans="1:10" x14ac:dyDescent="0.25">
      <c r="A3835" s="1" t="str">
        <f ca="1">IFERROR(__xludf.DUMMYFUNCTION("""COMPUTED_VALUE"""),"DSC-SI")</f>
        <v>DSC-SI</v>
      </c>
      <c r="B3835" s="1" t="str">
        <f ca="1">IFERROR(__xludf.DUMMYFUNCTION("""COMPUTED_VALUE"""),"Hangyál Zsófia")</f>
        <v>Hangyál Zsófia</v>
      </c>
      <c r="C3835" s="1"/>
      <c r="D3835" s="1" t="str">
        <f ca="1">IFERROR(__xludf.DUMMYFUNCTION("""COMPUTED_VALUE"""),"Nő")</f>
        <v>Nő</v>
      </c>
      <c r="E3835" s="1"/>
      <c r="F3835" s="1">
        <f ca="1">IFERROR(__xludf.DUMMYFUNCTION("""COMPUTED_VALUE"""),1986)</f>
        <v>1986</v>
      </c>
      <c r="G3835" s="1">
        <f ca="1">IFERROR(__xludf.DUMMYFUNCTION("""COMPUTED_VALUE"""),338)</f>
        <v>338</v>
      </c>
      <c r="H3835" s="1" t="str">
        <f ca="1">IFERROR(__xludf.DUMMYFUNCTION("""COMPUTED_VALUE"""),"MTLSZ000338A02")</f>
        <v>MTLSZ000338A02</v>
      </c>
      <c r="I3835" s="2">
        <f ca="1">IFERROR(__xludf.DUMMYFUNCTION("""COMPUTED_VALUE"""),37622)</f>
        <v>37622</v>
      </c>
      <c r="J3835" s="2">
        <f ca="1">IFERROR(__xludf.DUMMYFUNCTION("""COMPUTED_VALUE"""),37986)</f>
        <v>37986</v>
      </c>
    </row>
    <row r="3836" spans="1:10" x14ac:dyDescent="0.25">
      <c r="A3836" s="1" t="str">
        <f ca="1">IFERROR(__xludf.DUMMYFUNCTION("""COMPUTED_VALUE"""),"DSC-SI")</f>
        <v>DSC-SI</v>
      </c>
      <c r="B3836" s="1" t="str">
        <f ca="1">IFERROR(__xludf.DUMMYFUNCTION("""COMPUTED_VALUE"""),"Juhász Sára")</f>
        <v>Juhász Sára</v>
      </c>
      <c r="C3836" s="1"/>
      <c r="D3836" s="1" t="str">
        <f ca="1">IFERROR(__xludf.DUMMYFUNCTION("""COMPUTED_VALUE"""),"Nő")</f>
        <v>Nő</v>
      </c>
      <c r="E3836" s="1"/>
      <c r="F3836" s="1">
        <f ca="1">IFERROR(__xludf.DUMMYFUNCTION("""COMPUTED_VALUE"""),1988)</f>
        <v>1988</v>
      </c>
      <c r="G3836" s="1">
        <f ca="1">IFERROR(__xludf.DUMMYFUNCTION("""COMPUTED_VALUE"""),416)</f>
        <v>416</v>
      </c>
      <c r="H3836" s="1" t="str">
        <f ca="1">IFERROR(__xludf.DUMMYFUNCTION("""COMPUTED_VALUE"""),"MTLSZ000416A02")</f>
        <v>MTLSZ000416A02</v>
      </c>
      <c r="I3836" s="2">
        <f ca="1">IFERROR(__xludf.DUMMYFUNCTION("""COMPUTED_VALUE"""),37622)</f>
        <v>37622</v>
      </c>
      <c r="J3836" s="2">
        <f ca="1">IFERROR(__xludf.DUMMYFUNCTION("""COMPUTED_VALUE"""),37986)</f>
        <v>37986</v>
      </c>
    </row>
    <row r="3837" spans="1:10" x14ac:dyDescent="0.25">
      <c r="A3837" s="1" t="str">
        <f ca="1">IFERROR(__xludf.DUMMYFUNCTION("""COMPUTED_VALUE"""),"DSC-SI")</f>
        <v>DSC-SI</v>
      </c>
      <c r="B3837" s="1" t="str">
        <f ca="1">IFERROR(__xludf.DUMMYFUNCTION("""COMPUTED_VALUE"""),"Kántor Csaba")</f>
        <v>Kántor Csaba</v>
      </c>
      <c r="C3837" s="1"/>
      <c r="D3837" s="1" t="str">
        <f ca="1">IFERROR(__xludf.DUMMYFUNCTION("""COMPUTED_VALUE"""),"Férfi")</f>
        <v>Férfi</v>
      </c>
      <c r="E3837" s="1"/>
      <c r="F3837" s="1">
        <f ca="1">IFERROR(__xludf.DUMMYFUNCTION("""COMPUTED_VALUE"""),1990)</f>
        <v>1990</v>
      </c>
      <c r="G3837" s="1">
        <f ca="1">IFERROR(__xludf.DUMMYFUNCTION("""COMPUTED_VALUE"""),425)</f>
        <v>425</v>
      </c>
      <c r="H3837" s="1" t="str">
        <f ca="1">IFERROR(__xludf.DUMMYFUNCTION("""COMPUTED_VALUE"""),"MTLSZ000425A02")</f>
        <v>MTLSZ000425A02</v>
      </c>
      <c r="I3837" s="2">
        <f ca="1">IFERROR(__xludf.DUMMYFUNCTION("""COMPUTED_VALUE"""),37622)</f>
        <v>37622</v>
      </c>
      <c r="J3837" s="2">
        <f ca="1">IFERROR(__xludf.DUMMYFUNCTION("""COMPUTED_VALUE"""),37986)</f>
        <v>37986</v>
      </c>
    </row>
    <row r="3838" spans="1:10" x14ac:dyDescent="0.25">
      <c r="A3838" s="1" t="str">
        <f ca="1">IFERROR(__xludf.DUMMYFUNCTION("""COMPUTED_VALUE"""),"DSC-SI")</f>
        <v>DSC-SI</v>
      </c>
      <c r="B3838" s="1" t="str">
        <f ca="1">IFERROR(__xludf.DUMMYFUNCTION("""COMPUTED_VALUE"""),"Kéry Anita")</f>
        <v>Kéry Anita</v>
      </c>
      <c r="C3838" s="1"/>
      <c r="D3838" s="1" t="str">
        <f ca="1">IFERROR(__xludf.DUMMYFUNCTION("""COMPUTED_VALUE"""),"Nő")</f>
        <v>Nő</v>
      </c>
      <c r="E3838" s="1"/>
      <c r="F3838" s="1">
        <f ca="1">IFERROR(__xludf.DUMMYFUNCTION("""COMPUTED_VALUE"""),1985)</f>
        <v>1985</v>
      </c>
      <c r="G3838" s="1">
        <f ca="1">IFERROR(__xludf.DUMMYFUNCTION("""COMPUTED_VALUE"""),461)</f>
        <v>461</v>
      </c>
      <c r="H3838" s="1" t="str">
        <f ca="1">IFERROR(__xludf.DUMMYFUNCTION("""COMPUTED_VALUE"""),"MTLSZ000461A02")</f>
        <v>MTLSZ000461A02</v>
      </c>
      <c r="I3838" s="2">
        <f ca="1">IFERROR(__xludf.DUMMYFUNCTION("""COMPUTED_VALUE"""),37622)</f>
        <v>37622</v>
      </c>
      <c r="J3838" s="2">
        <f ca="1">IFERROR(__xludf.DUMMYFUNCTION("""COMPUTED_VALUE"""),37986)</f>
        <v>37986</v>
      </c>
    </row>
    <row r="3839" spans="1:10" x14ac:dyDescent="0.25">
      <c r="A3839" s="1" t="str">
        <f ca="1">IFERROR(__xludf.DUMMYFUNCTION("""COMPUTED_VALUE"""),"DSC-SI")</f>
        <v>DSC-SI</v>
      </c>
      <c r="B3839" s="1" t="str">
        <f ca="1">IFERROR(__xludf.DUMMYFUNCTION("""COMPUTED_VALUE"""),"Kiss Mónika")</f>
        <v>Kiss Mónika</v>
      </c>
      <c r="C3839" s="1"/>
      <c r="D3839" s="1" t="str">
        <f ca="1">IFERROR(__xludf.DUMMYFUNCTION("""COMPUTED_VALUE"""),"Nő")</f>
        <v>Nő</v>
      </c>
      <c r="E3839" s="1"/>
      <c r="F3839" s="1">
        <f ca="1">IFERROR(__xludf.DUMMYFUNCTION("""COMPUTED_VALUE"""),1986)</f>
        <v>1986</v>
      </c>
      <c r="G3839" s="1">
        <f ca="1">IFERROR(__xludf.DUMMYFUNCTION("""COMPUTED_VALUE"""),488)</f>
        <v>488</v>
      </c>
      <c r="H3839" s="1" t="str">
        <f ca="1">IFERROR(__xludf.DUMMYFUNCTION("""COMPUTED_VALUE"""),"MTLSZ000488A02")</f>
        <v>MTLSZ000488A02</v>
      </c>
      <c r="I3839" s="2">
        <f ca="1">IFERROR(__xludf.DUMMYFUNCTION("""COMPUTED_VALUE"""),37622)</f>
        <v>37622</v>
      </c>
      <c r="J3839" s="2">
        <f ca="1">IFERROR(__xludf.DUMMYFUNCTION("""COMPUTED_VALUE"""),37986)</f>
        <v>37986</v>
      </c>
    </row>
    <row r="3840" spans="1:10" x14ac:dyDescent="0.25">
      <c r="A3840" s="1" t="str">
        <f ca="1">IFERROR(__xludf.DUMMYFUNCTION("""COMPUTED_VALUE"""),"DSC-SI")</f>
        <v>DSC-SI</v>
      </c>
      <c r="B3840" s="1" t="str">
        <f ca="1">IFERROR(__xludf.DUMMYFUNCTION("""COMPUTED_VALUE"""),"Kocsis Adrienn")</f>
        <v>Kocsis Adrienn</v>
      </c>
      <c r="C3840" s="1"/>
      <c r="D3840" s="1" t="str">
        <f ca="1">IFERROR(__xludf.DUMMYFUNCTION("""COMPUTED_VALUE"""),"Nő")</f>
        <v>Nő</v>
      </c>
      <c r="E3840" s="1"/>
      <c r="F3840" s="1">
        <f ca="1">IFERROR(__xludf.DUMMYFUNCTION("""COMPUTED_VALUE"""),1973)</f>
        <v>1973</v>
      </c>
      <c r="G3840" s="1">
        <f ca="1">IFERROR(__xludf.DUMMYFUNCTION("""COMPUTED_VALUE"""),503)</f>
        <v>503</v>
      </c>
      <c r="H3840" s="1" t="str">
        <f ca="1">IFERROR(__xludf.DUMMYFUNCTION("""COMPUTED_VALUE"""),"MTLSZ000503A02")</f>
        <v>MTLSZ000503A02</v>
      </c>
      <c r="I3840" s="2">
        <f ca="1">IFERROR(__xludf.DUMMYFUNCTION("""COMPUTED_VALUE"""),37622)</f>
        <v>37622</v>
      </c>
      <c r="J3840" s="2">
        <f ca="1">IFERROR(__xludf.DUMMYFUNCTION("""COMPUTED_VALUE"""),37986)</f>
        <v>37986</v>
      </c>
    </row>
    <row r="3841" spans="1:10" x14ac:dyDescent="0.25">
      <c r="A3841" s="1" t="str">
        <f ca="1">IFERROR(__xludf.DUMMYFUNCTION("""COMPUTED_VALUE"""),"DSC-SI")</f>
        <v>DSC-SI</v>
      </c>
      <c r="B3841" s="1" t="str">
        <f ca="1">IFERROR(__xludf.DUMMYFUNCTION("""COMPUTED_VALUE"""),"Kocsis Orsolya")</f>
        <v>Kocsis Orsolya</v>
      </c>
      <c r="C3841" s="1"/>
      <c r="D3841" s="1" t="str">
        <f ca="1">IFERROR(__xludf.DUMMYFUNCTION("""COMPUTED_VALUE"""),"Nő")</f>
        <v>Nő</v>
      </c>
      <c r="E3841" s="1"/>
      <c r="F3841" s="1">
        <f ca="1">IFERROR(__xludf.DUMMYFUNCTION("""COMPUTED_VALUE"""),1982)</f>
        <v>1982</v>
      </c>
      <c r="G3841" s="1">
        <f ca="1">IFERROR(__xludf.DUMMYFUNCTION("""COMPUTED_VALUE"""),507)</f>
        <v>507</v>
      </c>
      <c r="H3841" s="1" t="str">
        <f ca="1">IFERROR(__xludf.DUMMYFUNCTION("""COMPUTED_VALUE"""),"MTLSZ000507A02")</f>
        <v>MTLSZ000507A02</v>
      </c>
      <c r="I3841" s="2">
        <f ca="1">IFERROR(__xludf.DUMMYFUNCTION("""COMPUTED_VALUE"""),37622)</f>
        <v>37622</v>
      </c>
      <c r="J3841" s="2">
        <f ca="1">IFERROR(__xludf.DUMMYFUNCTION("""COMPUTED_VALUE"""),37986)</f>
        <v>37986</v>
      </c>
    </row>
    <row r="3842" spans="1:10" x14ac:dyDescent="0.25">
      <c r="A3842" s="1" t="str">
        <f ca="1">IFERROR(__xludf.DUMMYFUNCTION("""COMPUTED_VALUE"""),"DSC-SI")</f>
        <v>DSC-SI</v>
      </c>
      <c r="B3842" s="1" t="str">
        <f ca="1">IFERROR(__xludf.DUMMYFUNCTION("""COMPUTED_VALUE"""),"Konyári István")</f>
        <v>Konyári István</v>
      </c>
      <c r="C3842" s="1"/>
      <c r="D3842" s="1" t="str">
        <f ca="1">IFERROR(__xludf.DUMMYFUNCTION("""COMPUTED_VALUE"""),"Férfi")</f>
        <v>Férfi</v>
      </c>
      <c r="E3842" s="1"/>
      <c r="F3842" s="1">
        <f ca="1">IFERROR(__xludf.DUMMYFUNCTION("""COMPUTED_VALUE"""),1985)</f>
        <v>1985</v>
      </c>
      <c r="G3842" s="1">
        <f ca="1">IFERROR(__xludf.DUMMYFUNCTION("""COMPUTED_VALUE"""),519)</f>
        <v>519</v>
      </c>
      <c r="H3842" s="1" t="str">
        <f ca="1">IFERROR(__xludf.DUMMYFUNCTION("""COMPUTED_VALUE"""),"MTLSZ000519A02")</f>
        <v>MTLSZ000519A02</v>
      </c>
      <c r="I3842" s="2">
        <f ca="1">IFERROR(__xludf.DUMMYFUNCTION("""COMPUTED_VALUE"""),37622)</f>
        <v>37622</v>
      </c>
      <c r="J3842" s="2">
        <f ca="1">IFERROR(__xludf.DUMMYFUNCTION("""COMPUTED_VALUE"""),37986)</f>
        <v>37986</v>
      </c>
    </row>
    <row r="3843" spans="1:10" x14ac:dyDescent="0.25">
      <c r="A3843" s="1" t="str">
        <f ca="1">IFERROR(__xludf.DUMMYFUNCTION("""COMPUTED_VALUE"""),"DSC-SI")</f>
        <v>DSC-SI</v>
      </c>
      <c r="B3843" s="1" t="str">
        <f ca="1">IFERROR(__xludf.DUMMYFUNCTION("""COMPUTED_VALUE"""),"Kövér Tamás")</f>
        <v>Kövér Tamás</v>
      </c>
      <c r="C3843" s="1"/>
      <c r="D3843" s="1" t="str">
        <f ca="1">IFERROR(__xludf.DUMMYFUNCTION("""COMPUTED_VALUE"""),"Férfi")</f>
        <v>Férfi</v>
      </c>
      <c r="E3843" s="1"/>
      <c r="F3843" s="1">
        <f ca="1">IFERROR(__xludf.DUMMYFUNCTION("""COMPUTED_VALUE"""),1982)</f>
        <v>1982</v>
      </c>
      <c r="G3843" s="1">
        <f ca="1">IFERROR(__xludf.DUMMYFUNCTION("""COMPUTED_VALUE"""),559)</f>
        <v>559</v>
      </c>
      <c r="H3843" s="1" t="str">
        <f ca="1">IFERROR(__xludf.DUMMYFUNCTION("""COMPUTED_VALUE"""),"MTLSZ000559A02")</f>
        <v>MTLSZ000559A02</v>
      </c>
      <c r="I3843" s="2">
        <f ca="1">IFERROR(__xludf.DUMMYFUNCTION("""COMPUTED_VALUE"""),37622)</f>
        <v>37622</v>
      </c>
      <c r="J3843" s="2">
        <f ca="1">IFERROR(__xludf.DUMMYFUNCTION("""COMPUTED_VALUE"""),37986)</f>
        <v>37986</v>
      </c>
    </row>
    <row r="3844" spans="1:10" x14ac:dyDescent="0.25">
      <c r="A3844" s="1" t="str">
        <f ca="1">IFERROR(__xludf.DUMMYFUNCTION("""COMPUTED_VALUE"""),"DSC-SI")</f>
        <v>DSC-SI</v>
      </c>
      <c r="B3844" s="1" t="str">
        <f ca="1">IFERROR(__xludf.DUMMYFUNCTION("""COMPUTED_VALUE"""),"Lengyel Petra")</f>
        <v>Lengyel Petra</v>
      </c>
      <c r="C3844" s="1"/>
      <c r="D3844" s="1" t="str">
        <f ca="1">IFERROR(__xludf.DUMMYFUNCTION("""COMPUTED_VALUE"""),"Nő")</f>
        <v>Nő</v>
      </c>
      <c r="E3844" s="1"/>
      <c r="F3844" s="1">
        <f ca="1">IFERROR(__xludf.DUMMYFUNCTION("""COMPUTED_VALUE"""),1982)</f>
        <v>1982</v>
      </c>
      <c r="G3844" s="1">
        <f ca="1">IFERROR(__xludf.DUMMYFUNCTION("""COMPUTED_VALUE"""),585)</f>
        <v>585</v>
      </c>
      <c r="H3844" s="1" t="str">
        <f ca="1">IFERROR(__xludf.DUMMYFUNCTION("""COMPUTED_VALUE"""),"MTLSZ000585A02")</f>
        <v>MTLSZ000585A02</v>
      </c>
      <c r="I3844" s="2">
        <f ca="1">IFERROR(__xludf.DUMMYFUNCTION("""COMPUTED_VALUE"""),37622)</f>
        <v>37622</v>
      </c>
      <c r="J3844" s="2">
        <f ca="1">IFERROR(__xludf.DUMMYFUNCTION("""COMPUTED_VALUE"""),37986)</f>
        <v>37986</v>
      </c>
    </row>
    <row r="3845" spans="1:10" x14ac:dyDescent="0.25">
      <c r="A3845" s="1" t="str">
        <f ca="1">IFERROR(__xludf.DUMMYFUNCTION("""COMPUTED_VALUE"""),"DSC-SI")</f>
        <v>DSC-SI</v>
      </c>
      <c r="B3845" s="1" t="str">
        <f ca="1">IFERROR(__xludf.DUMMYFUNCTION("""COMPUTED_VALUE"""),"Máriássi Nikolett")</f>
        <v>Máriássi Nikolett</v>
      </c>
      <c r="C3845" s="1"/>
      <c r="D3845" s="1" t="str">
        <f ca="1">IFERROR(__xludf.DUMMYFUNCTION("""COMPUTED_VALUE"""),"Nő")</f>
        <v>Nő</v>
      </c>
      <c r="E3845" s="1"/>
      <c r="F3845" s="1">
        <f ca="1">IFERROR(__xludf.DUMMYFUNCTION("""COMPUTED_VALUE"""),1986)</f>
        <v>1986</v>
      </c>
      <c r="G3845" s="1">
        <f ca="1">IFERROR(__xludf.DUMMYFUNCTION("""COMPUTED_VALUE"""),615)</f>
        <v>615</v>
      </c>
      <c r="H3845" s="1" t="str">
        <f ca="1">IFERROR(__xludf.DUMMYFUNCTION("""COMPUTED_VALUE"""),"MTLSZ000615A02")</f>
        <v>MTLSZ000615A02</v>
      </c>
      <c r="I3845" s="2">
        <f ca="1">IFERROR(__xludf.DUMMYFUNCTION("""COMPUTED_VALUE"""),37622)</f>
        <v>37622</v>
      </c>
      <c r="J3845" s="2">
        <f ca="1">IFERROR(__xludf.DUMMYFUNCTION("""COMPUTED_VALUE"""),37986)</f>
        <v>37986</v>
      </c>
    </row>
    <row r="3846" spans="1:10" x14ac:dyDescent="0.25">
      <c r="A3846" s="1" t="str">
        <f ca="1">IFERROR(__xludf.DUMMYFUNCTION("""COMPUTED_VALUE"""),"DSC-SI")</f>
        <v>DSC-SI</v>
      </c>
      <c r="B3846" s="1" t="str">
        <f ca="1">IFERROR(__xludf.DUMMYFUNCTION("""COMPUTED_VALUE"""),"Mátyus Tibor")</f>
        <v>Mátyus Tibor</v>
      </c>
      <c r="C3846" s="1"/>
      <c r="D3846" s="1" t="str">
        <f ca="1">IFERROR(__xludf.DUMMYFUNCTION("""COMPUTED_VALUE"""),"Férfi")</f>
        <v>Férfi</v>
      </c>
      <c r="E3846" s="1"/>
      <c r="F3846" s="1">
        <f ca="1">IFERROR(__xludf.DUMMYFUNCTION("""COMPUTED_VALUE"""),1968)</f>
        <v>1968</v>
      </c>
      <c r="G3846" s="1">
        <f ca="1">IFERROR(__xludf.DUMMYFUNCTION("""COMPUTED_VALUE"""),627)</f>
        <v>627</v>
      </c>
      <c r="H3846" s="1" t="str">
        <f ca="1">IFERROR(__xludf.DUMMYFUNCTION("""COMPUTED_VALUE"""),"MTLSZ000627A02")</f>
        <v>MTLSZ000627A02</v>
      </c>
      <c r="I3846" s="2">
        <f ca="1">IFERROR(__xludf.DUMMYFUNCTION("""COMPUTED_VALUE"""),37622)</f>
        <v>37622</v>
      </c>
      <c r="J3846" s="2">
        <f ca="1">IFERROR(__xludf.DUMMYFUNCTION("""COMPUTED_VALUE"""),37986)</f>
        <v>37986</v>
      </c>
    </row>
    <row r="3847" spans="1:10" x14ac:dyDescent="0.25">
      <c r="A3847" s="1" t="str">
        <f ca="1">IFERROR(__xludf.DUMMYFUNCTION("""COMPUTED_VALUE"""),"DSC-SI")</f>
        <v>DSC-SI</v>
      </c>
      <c r="B3847" s="1" t="str">
        <f ca="1">IFERROR(__xludf.DUMMYFUNCTION("""COMPUTED_VALUE"""),"Mészáros Norbert")</f>
        <v>Mészáros Norbert</v>
      </c>
      <c r="C3847" s="1"/>
      <c r="D3847" s="1" t="str">
        <f ca="1">IFERROR(__xludf.DUMMYFUNCTION("""COMPUTED_VALUE"""),"Férfi")</f>
        <v>Férfi</v>
      </c>
      <c r="E3847" s="1"/>
      <c r="F3847" s="1">
        <f ca="1">IFERROR(__xludf.DUMMYFUNCTION("""COMPUTED_VALUE"""),1989)</f>
        <v>1989</v>
      </c>
      <c r="G3847" s="1">
        <f ca="1">IFERROR(__xludf.DUMMYFUNCTION("""COMPUTED_VALUE"""),640)</f>
        <v>640</v>
      </c>
      <c r="H3847" s="1" t="str">
        <f ca="1">IFERROR(__xludf.DUMMYFUNCTION("""COMPUTED_VALUE"""),"MTLSZ000640A02")</f>
        <v>MTLSZ000640A02</v>
      </c>
      <c r="I3847" s="2">
        <f ca="1">IFERROR(__xludf.DUMMYFUNCTION("""COMPUTED_VALUE"""),37622)</f>
        <v>37622</v>
      </c>
      <c r="J3847" s="2">
        <f ca="1">IFERROR(__xludf.DUMMYFUNCTION("""COMPUTED_VALUE"""),37986)</f>
        <v>37986</v>
      </c>
    </row>
    <row r="3848" spans="1:10" x14ac:dyDescent="0.25">
      <c r="A3848" s="1" t="str">
        <f ca="1">IFERROR(__xludf.DUMMYFUNCTION("""COMPUTED_VALUE"""),"DSC-SI")</f>
        <v>DSC-SI</v>
      </c>
      <c r="B3848" s="1" t="str">
        <f ca="1">IFERROR(__xludf.DUMMYFUNCTION("""COMPUTED_VALUE"""),"Miklósi Dávid")</f>
        <v>Miklósi Dávid</v>
      </c>
      <c r="C3848" s="1"/>
      <c r="D3848" s="1" t="str">
        <f ca="1">IFERROR(__xludf.DUMMYFUNCTION("""COMPUTED_VALUE"""),"Férfi")</f>
        <v>Férfi</v>
      </c>
      <c r="E3848" s="1"/>
      <c r="F3848" s="1">
        <f ca="1">IFERROR(__xludf.DUMMYFUNCTION("""COMPUTED_VALUE"""),1988)</f>
        <v>1988</v>
      </c>
      <c r="G3848" s="1">
        <f ca="1">IFERROR(__xludf.DUMMYFUNCTION("""COMPUTED_VALUE"""),648)</f>
        <v>648</v>
      </c>
      <c r="H3848" s="1" t="str">
        <f ca="1">IFERROR(__xludf.DUMMYFUNCTION("""COMPUTED_VALUE"""),"MTLSZ000648A02")</f>
        <v>MTLSZ000648A02</v>
      </c>
      <c r="I3848" s="2">
        <f ca="1">IFERROR(__xludf.DUMMYFUNCTION("""COMPUTED_VALUE"""),37622)</f>
        <v>37622</v>
      </c>
      <c r="J3848" s="2">
        <f ca="1">IFERROR(__xludf.DUMMYFUNCTION("""COMPUTED_VALUE"""),37986)</f>
        <v>37986</v>
      </c>
    </row>
    <row r="3849" spans="1:10" x14ac:dyDescent="0.25">
      <c r="A3849" s="1" t="str">
        <f ca="1">IFERROR(__xludf.DUMMYFUNCTION("""COMPUTED_VALUE"""),"DSC-SI")</f>
        <v>DSC-SI</v>
      </c>
      <c r="B3849" s="1" t="str">
        <f ca="1">IFERROR(__xludf.DUMMYFUNCTION("""COMPUTED_VALUE"""),"Nagy Mihály")</f>
        <v>Nagy Mihály</v>
      </c>
      <c r="C3849" s="1"/>
      <c r="D3849" s="1" t="str">
        <f ca="1">IFERROR(__xludf.DUMMYFUNCTION("""COMPUTED_VALUE"""),"Férfi")</f>
        <v>Férfi</v>
      </c>
      <c r="E3849" s="1"/>
      <c r="F3849" s="1">
        <f ca="1">IFERROR(__xludf.DUMMYFUNCTION("""COMPUTED_VALUE"""),1990)</f>
        <v>1990</v>
      </c>
      <c r="G3849" s="1">
        <f ca="1">IFERROR(__xludf.DUMMYFUNCTION("""COMPUTED_VALUE"""),688)</f>
        <v>688</v>
      </c>
      <c r="H3849" s="1" t="str">
        <f ca="1">IFERROR(__xludf.DUMMYFUNCTION("""COMPUTED_VALUE"""),"MTLSZ000688A02")</f>
        <v>MTLSZ000688A02</v>
      </c>
      <c r="I3849" s="2">
        <f ca="1">IFERROR(__xludf.DUMMYFUNCTION("""COMPUTED_VALUE"""),37622)</f>
        <v>37622</v>
      </c>
      <c r="J3849" s="2">
        <f ca="1">IFERROR(__xludf.DUMMYFUNCTION("""COMPUTED_VALUE"""),37986)</f>
        <v>37986</v>
      </c>
    </row>
    <row r="3850" spans="1:10" x14ac:dyDescent="0.25">
      <c r="A3850" s="1" t="str">
        <f ca="1">IFERROR(__xludf.DUMMYFUNCTION("""COMPUTED_VALUE"""),"DSC-SI")</f>
        <v>DSC-SI</v>
      </c>
      <c r="B3850" s="1" t="str">
        <f ca="1">IFERROR(__xludf.DUMMYFUNCTION("""COMPUTED_VALUE"""),"Nagy Norbert")</f>
        <v>Nagy Norbert</v>
      </c>
      <c r="C3850" s="1"/>
      <c r="D3850" s="1" t="str">
        <f ca="1">IFERROR(__xludf.DUMMYFUNCTION("""COMPUTED_VALUE"""),"Férfi")</f>
        <v>Férfi</v>
      </c>
      <c r="E3850" s="1"/>
      <c r="F3850" s="1">
        <f ca="1">IFERROR(__xludf.DUMMYFUNCTION("""COMPUTED_VALUE"""),1990)</f>
        <v>1990</v>
      </c>
      <c r="G3850" s="1">
        <f ca="1">IFERROR(__xludf.DUMMYFUNCTION("""COMPUTED_VALUE"""),692)</f>
        <v>692</v>
      </c>
      <c r="H3850" s="1" t="str">
        <f ca="1">IFERROR(__xludf.DUMMYFUNCTION("""COMPUTED_VALUE"""),"MTLSZ000692A02")</f>
        <v>MTLSZ000692A02</v>
      </c>
      <c r="I3850" s="2">
        <f ca="1">IFERROR(__xludf.DUMMYFUNCTION("""COMPUTED_VALUE"""),37622)</f>
        <v>37622</v>
      </c>
      <c r="J3850" s="2">
        <f ca="1">IFERROR(__xludf.DUMMYFUNCTION("""COMPUTED_VALUE"""),37986)</f>
        <v>37986</v>
      </c>
    </row>
    <row r="3851" spans="1:10" x14ac:dyDescent="0.25">
      <c r="A3851" s="1" t="str">
        <f ca="1">IFERROR(__xludf.DUMMYFUNCTION("""COMPUTED_VALUE"""),"DSC-SI")</f>
        <v>DSC-SI</v>
      </c>
      <c r="B3851" s="1" t="str">
        <f ca="1">IFERROR(__xludf.DUMMYFUNCTION("""COMPUTED_VALUE"""),"Nagy Róbert")</f>
        <v>Nagy Róbert</v>
      </c>
      <c r="C3851" s="1"/>
      <c r="D3851" s="1" t="str">
        <f ca="1">IFERROR(__xludf.DUMMYFUNCTION("""COMPUTED_VALUE"""),"Férfi")</f>
        <v>Férfi</v>
      </c>
      <c r="E3851" s="1"/>
      <c r="F3851" s="1">
        <f ca="1">IFERROR(__xludf.DUMMYFUNCTION("""COMPUTED_VALUE"""),1984)</f>
        <v>1984</v>
      </c>
      <c r="G3851" s="1">
        <f ca="1">IFERROR(__xludf.DUMMYFUNCTION("""COMPUTED_VALUE"""),696)</f>
        <v>696</v>
      </c>
      <c r="H3851" s="1" t="str">
        <f ca="1">IFERROR(__xludf.DUMMYFUNCTION("""COMPUTED_VALUE"""),"MTLSZ000696A02")</f>
        <v>MTLSZ000696A02</v>
      </c>
      <c r="I3851" s="2">
        <f ca="1">IFERROR(__xludf.DUMMYFUNCTION("""COMPUTED_VALUE"""),37622)</f>
        <v>37622</v>
      </c>
      <c r="J3851" s="2">
        <f ca="1">IFERROR(__xludf.DUMMYFUNCTION("""COMPUTED_VALUE"""),37986)</f>
        <v>37986</v>
      </c>
    </row>
    <row r="3852" spans="1:10" x14ac:dyDescent="0.25">
      <c r="A3852" s="1" t="str">
        <f ca="1">IFERROR(__xludf.DUMMYFUNCTION("""COMPUTED_VALUE"""),"DSC-SI")</f>
        <v>DSC-SI</v>
      </c>
      <c r="B3852" s="1" t="str">
        <f ca="1">IFERROR(__xludf.DUMMYFUNCTION("""COMPUTED_VALUE"""),"Oláh Zoltán")</f>
        <v>Oláh Zoltán</v>
      </c>
      <c r="C3852" s="1"/>
      <c r="D3852" s="1" t="str">
        <f ca="1">IFERROR(__xludf.DUMMYFUNCTION("""COMPUTED_VALUE"""),"Férfi")</f>
        <v>Férfi</v>
      </c>
      <c r="E3852" s="1"/>
      <c r="F3852" s="1">
        <f ca="1">IFERROR(__xludf.DUMMYFUNCTION("""COMPUTED_VALUE"""),1984)</f>
        <v>1984</v>
      </c>
      <c r="G3852" s="1">
        <f ca="1">IFERROR(__xludf.DUMMYFUNCTION("""COMPUTED_VALUE"""),715)</f>
        <v>715</v>
      </c>
      <c r="H3852" s="1" t="str">
        <f ca="1">IFERROR(__xludf.DUMMYFUNCTION("""COMPUTED_VALUE"""),"MTLSZ000715A02")</f>
        <v>MTLSZ000715A02</v>
      </c>
      <c r="I3852" s="2">
        <f ca="1">IFERROR(__xludf.DUMMYFUNCTION("""COMPUTED_VALUE"""),37622)</f>
        <v>37622</v>
      </c>
      <c r="J3852" s="2">
        <f ca="1">IFERROR(__xludf.DUMMYFUNCTION("""COMPUTED_VALUE"""),37986)</f>
        <v>37986</v>
      </c>
    </row>
    <row r="3853" spans="1:10" x14ac:dyDescent="0.25">
      <c r="A3853" s="1" t="str">
        <f ca="1">IFERROR(__xludf.DUMMYFUNCTION("""COMPUTED_VALUE"""),"DSC-SI")</f>
        <v>DSC-SI</v>
      </c>
      <c r="B3853" s="1" t="str">
        <f ca="1">IFERROR(__xludf.DUMMYFUNCTION("""COMPUTED_VALUE"""),"Pocsai Boglárka")</f>
        <v>Pocsai Boglárka</v>
      </c>
      <c r="C3853" s="1"/>
      <c r="D3853" s="1" t="str">
        <f ca="1">IFERROR(__xludf.DUMMYFUNCTION("""COMPUTED_VALUE"""),"Nő")</f>
        <v>Nő</v>
      </c>
      <c r="E3853" s="1"/>
      <c r="F3853" s="1">
        <f ca="1">IFERROR(__xludf.DUMMYFUNCTION("""COMPUTED_VALUE"""),1985)</f>
        <v>1985</v>
      </c>
      <c r="G3853" s="1">
        <f ca="1">IFERROR(__xludf.DUMMYFUNCTION("""COMPUTED_VALUE"""),778)</f>
        <v>778</v>
      </c>
      <c r="H3853" s="1" t="str">
        <f ca="1">IFERROR(__xludf.DUMMYFUNCTION("""COMPUTED_VALUE"""),"MTLSZ000778A02")</f>
        <v>MTLSZ000778A02</v>
      </c>
      <c r="I3853" s="2">
        <f ca="1">IFERROR(__xludf.DUMMYFUNCTION("""COMPUTED_VALUE"""),37622)</f>
        <v>37622</v>
      </c>
      <c r="J3853" s="2">
        <f ca="1">IFERROR(__xludf.DUMMYFUNCTION("""COMPUTED_VALUE"""),37986)</f>
        <v>37986</v>
      </c>
    </row>
    <row r="3854" spans="1:10" x14ac:dyDescent="0.25">
      <c r="A3854" s="1" t="str">
        <f ca="1">IFERROR(__xludf.DUMMYFUNCTION("""COMPUTED_VALUE"""),"DSC-SI")</f>
        <v>DSC-SI</v>
      </c>
      <c r="B3854" s="1" t="str">
        <f ca="1">IFERROR(__xludf.DUMMYFUNCTION("""COMPUTED_VALUE"""),"Rizán Ádám")</f>
        <v>Rizán Ádám</v>
      </c>
      <c r="C3854" s="1"/>
      <c r="D3854" s="1" t="str">
        <f ca="1">IFERROR(__xludf.DUMMYFUNCTION("""COMPUTED_VALUE"""),"Férfi")</f>
        <v>Férfi</v>
      </c>
      <c r="E3854" s="1"/>
      <c r="F3854" s="1">
        <f ca="1">IFERROR(__xludf.DUMMYFUNCTION("""COMPUTED_VALUE"""),1987)</f>
        <v>1987</v>
      </c>
      <c r="G3854" s="1">
        <f ca="1">IFERROR(__xludf.DUMMYFUNCTION("""COMPUTED_VALUE"""),815)</f>
        <v>815</v>
      </c>
      <c r="H3854" s="1" t="str">
        <f ca="1">IFERROR(__xludf.DUMMYFUNCTION("""COMPUTED_VALUE"""),"MTLSZ000815A02")</f>
        <v>MTLSZ000815A02</v>
      </c>
      <c r="I3854" s="2">
        <f ca="1">IFERROR(__xludf.DUMMYFUNCTION("""COMPUTED_VALUE"""),37622)</f>
        <v>37622</v>
      </c>
      <c r="J3854" s="2">
        <f ca="1">IFERROR(__xludf.DUMMYFUNCTION("""COMPUTED_VALUE"""),37986)</f>
        <v>37986</v>
      </c>
    </row>
    <row r="3855" spans="1:10" x14ac:dyDescent="0.25">
      <c r="A3855" s="1" t="str">
        <f ca="1">IFERROR(__xludf.DUMMYFUNCTION("""COMPUTED_VALUE"""),"DSC-SI")</f>
        <v>DSC-SI</v>
      </c>
      <c r="B3855" s="1" t="str">
        <f ca="1">IFERROR(__xludf.DUMMYFUNCTION("""COMPUTED_VALUE"""),"Siska Zsolt")</f>
        <v>Siska Zsolt</v>
      </c>
      <c r="C3855" s="1"/>
      <c r="D3855" s="1" t="str">
        <f ca="1">IFERROR(__xludf.DUMMYFUNCTION("""COMPUTED_VALUE"""),"Férfi")</f>
        <v>Férfi</v>
      </c>
      <c r="E3855" s="1"/>
      <c r="F3855" s="1">
        <f ca="1">IFERROR(__xludf.DUMMYFUNCTION("""COMPUTED_VALUE"""),1967)</f>
        <v>1967</v>
      </c>
      <c r="G3855" s="1">
        <f ca="1">IFERROR(__xludf.DUMMYFUNCTION("""COMPUTED_VALUE"""),861)</f>
        <v>861</v>
      </c>
      <c r="H3855" s="1" t="str">
        <f ca="1">IFERROR(__xludf.DUMMYFUNCTION("""COMPUTED_VALUE"""),"MTLSZ000861A02")</f>
        <v>MTLSZ000861A02</v>
      </c>
      <c r="I3855" s="2">
        <f ca="1">IFERROR(__xludf.DUMMYFUNCTION("""COMPUTED_VALUE"""),37622)</f>
        <v>37622</v>
      </c>
      <c r="J3855" s="2">
        <f ca="1">IFERROR(__xludf.DUMMYFUNCTION("""COMPUTED_VALUE"""),37986)</f>
        <v>37986</v>
      </c>
    </row>
    <row r="3856" spans="1:10" x14ac:dyDescent="0.25">
      <c r="A3856" s="1" t="str">
        <f ca="1">IFERROR(__xludf.DUMMYFUNCTION("""COMPUTED_VALUE"""),"DSC-SI")</f>
        <v>DSC-SI</v>
      </c>
      <c r="B3856" s="1" t="str">
        <f ca="1">IFERROR(__xludf.DUMMYFUNCTION("""COMPUTED_VALUE"""),"Szabó Attila")</f>
        <v>Szabó Attila</v>
      </c>
      <c r="C3856" s="1"/>
      <c r="D3856" s="1" t="str">
        <f ca="1">IFERROR(__xludf.DUMMYFUNCTION("""COMPUTED_VALUE"""),"Férfi")</f>
        <v>Férfi</v>
      </c>
      <c r="E3856" s="1"/>
      <c r="F3856" s="1">
        <f ca="1">IFERROR(__xludf.DUMMYFUNCTION("""COMPUTED_VALUE"""),1986)</f>
        <v>1986</v>
      </c>
      <c r="G3856" s="1">
        <f ca="1">IFERROR(__xludf.DUMMYFUNCTION("""COMPUTED_VALUE"""),881)</f>
        <v>881</v>
      </c>
      <c r="H3856" s="1" t="str">
        <f ca="1">IFERROR(__xludf.DUMMYFUNCTION("""COMPUTED_VALUE"""),"MTLSZ000881A02")</f>
        <v>MTLSZ000881A02</v>
      </c>
      <c r="I3856" s="2">
        <f ca="1">IFERROR(__xludf.DUMMYFUNCTION("""COMPUTED_VALUE"""),37622)</f>
        <v>37622</v>
      </c>
      <c r="J3856" s="2">
        <f ca="1">IFERROR(__xludf.DUMMYFUNCTION("""COMPUTED_VALUE"""),37986)</f>
        <v>37986</v>
      </c>
    </row>
    <row r="3857" spans="1:10" x14ac:dyDescent="0.25">
      <c r="A3857" s="1" t="str">
        <f ca="1">IFERROR(__xludf.DUMMYFUNCTION("""COMPUTED_VALUE"""),"DSC-SI")</f>
        <v>DSC-SI</v>
      </c>
      <c r="B3857" s="1" t="str">
        <f ca="1">IFERROR(__xludf.DUMMYFUNCTION("""COMPUTED_VALUE"""),"Szabó Éva")</f>
        <v>Szabó Éva</v>
      </c>
      <c r="C3857" s="1"/>
      <c r="D3857" s="1" t="str">
        <f ca="1">IFERROR(__xludf.DUMMYFUNCTION("""COMPUTED_VALUE"""),"Nő")</f>
        <v>Nő</v>
      </c>
      <c r="E3857" s="1"/>
      <c r="F3857" s="1">
        <f ca="1">IFERROR(__xludf.DUMMYFUNCTION("""COMPUTED_VALUE"""),1986)</f>
        <v>1986</v>
      </c>
      <c r="G3857" s="1">
        <f ca="1">IFERROR(__xludf.DUMMYFUNCTION("""COMPUTED_VALUE"""),887)</f>
        <v>887</v>
      </c>
      <c r="H3857" s="1" t="str">
        <f ca="1">IFERROR(__xludf.DUMMYFUNCTION("""COMPUTED_VALUE"""),"MTLSZ000887A02")</f>
        <v>MTLSZ000887A02</v>
      </c>
      <c r="I3857" s="2">
        <f ca="1">IFERROR(__xludf.DUMMYFUNCTION("""COMPUTED_VALUE"""),37622)</f>
        <v>37622</v>
      </c>
      <c r="J3857" s="2">
        <f ca="1">IFERROR(__xludf.DUMMYFUNCTION("""COMPUTED_VALUE"""),37986)</f>
        <v>37986</v>
      </c>
    </row>
    <row r="3858" spans="1:10" x14ac:dyDescent="0.25">
      <c r="A3858" s="1" t="str">
        <f ca="1">IFERROR(__xludf.DUMMYFUNCTION("""COMPUTED_VALUE"""),"DSC-SI")</f>
        <v>DSC-SI</v>
      </c>
      <c r="B3858" s="1" t="str">
        <f ca="1">IFERROR(__xludf.DUMMYFUNCTION("""COMPUTED_VALUE"""),"Szabó Tibor")</f>
        <v>Szabó Tibor</v>
      </c>
      <c r="C3858" s="1"/>
      <c r="D3858" s="1" t="str">
        <f ca="1">IFERROR(__xludf.DUMMYFUNCTION("""COMPUTED_VALUE"""),"Férfi")</f>
        <v>Férfi</v>
      </c>
      <c r="E3858" s="1"/>
      <c r="F3858" s="1">
        <f ca="1">IFERROR(__xludf.DUMMYFUNCTION("""COMPUTED_VALUE"""),1988)</f>
        <v>1988</v>
      </c>
      <c r="G3858" s="1">
        <f ca="1">IFERROR(__xludf.DUMMYFUNCTION("""COMPUTED_VALUE"""),904)</f>
        <v>904</v>
      </c>
      <c r="H3858" s="1" t="str">
        <f ca="1">IFERROR(__xludf.DUMMYFUNCTION("""COMPUTED_VALUE"""),"MTLSZ000904A02")</f>
        <v>MTLSZ000904A02</v>
      </c>
      <c r="I3858" s="2">
        <f ca="1">IFERROR(__xludf.DUMMYFUNCTION("""COMPUTED_VALUE"""),37622)</f>
        <v>37622</v>
      </c>
      <c r="J3858" s="2">
        <f ca="1">IFERROR(__xludf.DUMMYFUNCTION("""COMPUTED_VALUE"""),37986)</f>
        <v>37986</v>
      </c>
    </row>
    <row r="3859" spans="1:10" x14ac:dyDescent="0.25">
      <c r="A3859" s="1" t="str">
        <f ca="1">IFERROR(__xludf.DUMMYFUNCTION("""COMPUTED_VALUE"""),"DSC-SI")</f>
        <v>DSC-SI</v>
      </c>
      <c r="B3859" s="1" t="str">
        <f ca="1">IFERROR(__xludf.DUMMYFUNCTION("""COMPUTED_VALUE"""),"Szanyi Zsolt")</f>
        <v>Szanyi Zsolt</v>
      </c>
      <c r="C3859" s="1"/>
      <c r="D3859" s="1" t="str">
        <f ca="1">IFERROR(__xludf.DUMMYFUNCTION("""COMPUTED_VALUE"""),"Férfi")</f>
        <v>Férfi</v>
      </c>
      <c r="E3859" s="1"/>
      <c r="F3859" s="1">
        <f ca="1">IFERROR(__xludf.DUMMYFUNCTION("""COMPUTED_VALUE"""),1989)</f>
        <v>1989</v>
      </c>
      <c r="G3859" s="1">
        <f ca="1">IFERROR(__xludf.DUMMYFUNCTION("""COMPUTED_VALUE"""),914)</f>
        <v>914</v>
      </c>
      <c r="H3859" s="1" t="str">
        <f ca="1">IFERROR(__xludf.DUMMYFUNCTION("""COMPUTED_VALUE"""),"MTLSZ000914A02")</f>
        <v>MTLSZ000914A02</v>
      </c>
      <c r="I3859" s="2">
        <f ca="1">IFERROR(__xludf.DUMMYFUNCTION("""COMPUTED_VALUE"""),37622)</f>
        <v>37622</v>
      </c>
      <c r="J3859" s="2">
        <f ca="1">IFERROR(__xludf.DUMMYFUNCTION("""COMPUTED_VALUE"""),37986)</f>
        <v>37986</v>
      </c>
    </row>
    <row r="3860" spans="1:10" x14ac:dyDescent="0.25">
      <c r="A3860" s="1" t="str">
        <f ca="1">IFERROR(__xludf.DUMMYFUNCTION("""COMPUTED_VALUE"""),"DSC-SI")</f>
        <v>DSC-SI</v>
      </c>
      <c r="B3860" s="1" t="str">
        <f ca="1">IFERROR(__xludf.DUMMYFUNCTION("""COMPUTED_VALUE"""),"Takács Eszter")</f>
        <v>Takács Eszter</v>
      </c>
      <c r="C3860" s="1"/>
      <c r="D3860" s="1" t="str">
        <f ca="1">IFERROR(__xludf.DUMMYFUNCTION("""COMPUTED_VALUE"""),"Nő")</f>
        <v>Nő</v>
      </c>
      <c r="E3860" s="1"/>
      <c r="F3860" s="1">
        <f ca="1">IFERROR(__xludf.DUMMYFUNCTION("""COMPUTED_VALUE"""),1984)</f>
        <v>1984</v>
      </c>
      <c r="G3860" s="1">
        <f ca="1">IFERROR(__xludf.DUMMYFUNCTION("""COMPUTED_VALUE"""),990)</f>
        <v>990</v>
      </c>
      <c r="H3860" s="1" t="str">
        <f ca="1">IFERROR(__xludf.DUMMYFUNCTION("""COMPUTED_VALUE"""),"MTLSZ000990A02")</f>
        <v>MTLSZ000990A02</v>
      </c>
      <c r="I3860" s="2">
        <f ca="1">IFERROR(__xludf.DUMMYFUNCTION("""COMPUTED_VALUE"""),37622)</f>
        <v>37622</v>
      </c>
      <c r="J3860" s="2">
        <f ca="1">IFERROR(__xludf.DUMMYFUNCTION("""COMPUTED_VALUE"""),37986)</f>
        <v>37986</v>
      </c>
    </row>
    <row r="3861" spans="1:10" x14ac:dyDescent="0.25">
      <c r="A3861" s="1" t="str">
        <f ca="1">IFERROR(__xludf.DUMMYFUNCTION("""COMPUTED_VALUE"""),"DSC-SI")</f>
        <v>DSC-SI</v>
      </c>
      <c r="B3861" s="1" t="str">
        <f ca="1">IFERROR(__xludf.DUMMYFUNCTION("""COMPUTED_VALUE"""),"Tárkány Alíz")</f>
        <v>Tárkány Alíz</v>
      </c>
      <c r="C3861" s="1"/>
      <c r="D3861" s="1" t="str">
        <f ca="1">IFERROR(__xludf.DUMMYFUNCTION("""COMPUTED_VALUE"""),"Nő")</f>
        <v>Nő</v>
      </c>
      <c r="E3861" s="1"/>
      <c r="F3861" s="1">
        <f ca="1">IFERROR(__xludf.DUMMYFUNCTION("""COMPUTED_VALUE"""),1982)</f>
        <v>1982</v>
      </c>
      <c r="G3861" s="1">
        <f ca="1">IFERROR(__xludf.DUMMYFUNCTION("""COMPUTED_VALUE"""),1001)</f>
        <v>1001</v>
      </c>
      <c r="H3861" s="1" t="str">
        <f ca="1">IFERROR(__xludf.DUMMYFUNCTION("""COMPUTED_VALUE"""),"MTLSZ001001A02")</f>
        <v>MTLSZ001001A02</v>
      </c>
      <c r="I3861" s="2">
        <f ca="1">IFERROR(__xludf.DUMMYFUNCTION("""COMPUTED_VALUE"""),37622)</f>
        <v>37622</v>
      </c>
      <c r="J3861" s="2">
        <f ca="1">IFERROR(__xludf.DUMMYFUNCTION("""COMPUTED_VALUE"""),37986)</f>
        <v>37986</v>
      </c>
    </row>
    <row r="3862" spans="1:10" x14ac:dyDescent="0.25">
      <c r="A3862" s="1" t="str">
        <f ca="1">IFERROR(__xludf.DUMMYFUNCTION("""COMPUTED_VALUE"""),"DSC-SI")</f>
        <v>DSC-SI</v>
      </c>
      <c r="B3862" s="1" t="str">
        <f ca="1">IFERROR(__xludf.DUMMYFUNCTION("""COMPUTED_VALUE"""),"Tier József")</f>
        <v>Tier József</v>
      </c>
      <c r="C3862" s="1"/>
      <c r="D3862" s="1" t="str">
        <f ca="1">IFERROR(__xludf.DUMMYFUNCTION("""COMPUTED_VALUE"""),"Férfi")</f>
        <v>Férfi</v>
      </c>
      <c r="E3862" s="1"/>
      <c r="F3862" s="1">
        <f ca="1">IFERROR(__xludf.DUMMYFUNCTION("""COMPUTED_VALUE"""),1981)</f>
        <v>1981</v>
      </c>
      <c r="G3862" s="1">
        <f ca="1">IFERROR(__xludf.DUMMYFUNCTION("""COMPUTED_VALUE"""),1007)</f>
        <v>1007</v>
      </c>
      <c r="H3862" s="1" t="str">
        <f ca="1">IFERROR(__xludf.DUMMYFUNCTION("""COMPUTED_VALUE"""),"MTLSZ001007A02")</f>
        <v>MTLSZ001007A02</v>
      </c>
      <c r="I3862" s="2">
        <f ca="1">IFERROR(__xludf.DUMMYFUNCTION("""COMPUTED_VALUE"""),37622)</f>
        <v>37622</v>
      </c>
      <c r="J3862" s="2">
        <f ca="1">IFERROR(__xludf.DUMMYFUNCTION("""COMPUTED_VALUE"""),37986)</f>
        <v>37986</v>
      </c>
    </row>
    <row r="3863" spans="1:10" x14ac:dyDescent="0.25">
      <c r="A3863" s="1" t="str">
        <f ca="1">IFERROR(__xludf.DUMMYFUNCTION("""COMPUTED_VALUE"""),"DSC-SI")</f>
        <v>DSC-SI</v>
      </c>
      <c r="B3863" s="1" t="str">
        <f ca="1">IFERROR(__xludf.DUMMYFUNCTION("""COMPUTED_VALUE"""),"Tokaji Ágnes")</f>
        <v>Tokaji Ágnes</v>
      </c>
      <c r="C3863" s="1"/>
      <c r="D3863" s="1" t="str">
        <f ca="1">IFERROR(__xludf.DUMMYFUNCTION("""COMPUTED_VALUE"""),"Nő")</f>
        <v>Nő</v>
      </c>
      <c r="E3863" s="1"/>
      <c r="F3863" s="1">
        <f ca="1">IFERROR(__xludf.DUMMYFUNCTION("""COMPUTED_VALUE"""),1989)</f>
        <v>1989</v>
      </c>
      <c r="G3863" s="1">
        <f ca="1">IFERROR(__xludf.DUMMYFUNCTION("""COMPUTED_VALUE"""),1011)</f>
        <v>1011</v>
      </c>
      <c r="H3863" s="1" t="str">
        <f ca="1">IFERROR(__xludf.DUMMYFUNCTION("""COMPUTED_VALUE"""),"MTLSZ001011A02")</f>
        <v>MTLSZ001011A02</v>
      </c>
      <c r="I3863" s="2">
        <f ca="1">IFERROR(__xludf.DUMMYFUNCTION("""COMPUTED_VALUE"""),37622)</f>
        <v>37622</v>
      </c>
      <c r="J3863" s="2">
        <f ca="1">IFERROR(__xludf.DUMMYFUNCTION("""COMPUTED_VALUE"""),37986)</f>
        <v>37986</v>
      </c>
    </row>
    <row r="3864" spans="1:10" x14ac:dyDescent="0.25">
      <c r="A3864" s="1" t="str">
        <f ca="1">IFERROR(__xludf.DUMMYFUNCTION("""COMPUTED_VALUE"""),"DSC-SI")</f>
        <v>DSC-SI</v>
      </c>
      <c r="B3864" s="1" t="str">
        <f ca="1">IFERROR(__xludf.DUMMYFUNCTION("""COMPUTED_VALUE"""),"Tóth Orsolya")</f>
        <v>Tóth Orsolya</v>
      </c>
      <c r="C3864" s="1"/>
      <c r="D3864" s="1" t="str">
        <f ca="1">IFERROR(__xludf.DUMMYFUNCTION("""COMPUTED_VALUE"""),"Nő")</f>
        <v>Nő</v>
      </c>
      <c r="E3864" s="1"/>
      <c r="F3864" s="1">
        <f ca="1">IFERROR(__xludf.DUMMYFUNCTION("""COMPUTED_VALUE"""),1983)</f>
        <v>1983</v>
      </c>
      <c r="G3864" s="1">
        <f ca="1">IFERROR(__xludf.DUMMYFUNCTION("""COMPUTED_VALUE"""),1041)</f>
        <v>1041</v>
      </c>
      <c r="H3864" s="1" t="str">
        <f ca="1">IFERROR(__xludf.DUMMYFUNCTION("""COMPUTED_VALUE"""),"MTLSZ001041A02")</f>
        <v>MTLSZ001041A02</v>
      </c>
      <c r="I3864" s="2">
        <f ca="1">IFERROR(__xludf.DUMMYFUNCTION("""COMPUTED_VALUE"""),37622)</f>
        <v>37622</v>
      </c>
      <c r="J3864" s="2">
        <f ca="1">IFERROR(__xludf.DUMMYFUNCTION("""COMPUTED_VALUE"""),37986)</f>
        <v>37986</v>
      </c>
    </row>
    <row r="3865" spans="1:10" x14ac:dyDescent="0.25">
      <c r="A3865" s="1" t="str">
        <f ca="1">IFERROR(__xludf.DUMMYFUNCTION("""COMPUTED_VALUE"""),"DSC-SI")</f>
        <v>DSC-SI</v>
      </c>
      <c r="B3865" s="1" t="str">
        <f ca="1">IFERROR(__xludf.DUMMYFUNCTION("""COMPUTED_VALUE"""),"Tóth Zsófia")</f>
        <v>Tóth Zsófia</v>
      </c>
      <c r="C3865" s="1"/>
      <c r="D3865" s="1" t="str">
        <f ca="1">IFERROR(__xludf.DUMMYFUNCTION("""COMPUTED_VALUE"""),"Nő")</f>
        <v>Nő</v>
      </c>
      <c r="E3865" s="1"/>
      <c r="F3865" s="1">
        <f ca="1">IFERROR(__xludf.DUMMYFUNCTION("""COMPUTED_VALUE"""),1981)</f>
        <v>1981</v>
      </c>
      <c r="G3865" s="1">
        <f ca="1">IFERROR(__xludf.DUMMYFUNCTION("""COMPUTED_VALUE"""),1053)</f>
        <v>1053</v>
      </c>
      <c r="H3865" s="1" t="str">
        <f ca="1">IFERROR(__xludf.DUMMYFUNCTION("""COMPUTED_VALUE"""),"MTLSZ001053A02")</f>
        <v>MTLSZ001053A02</v>
      </c>
      <c r="I3865" s="2">
        <f ca="1">IFERROR(__xludf.DUMMYFUNCTION("""COMPUTED_VALUE"""),37622)</f>
        <v>37622</v>
      </c>
      <c r="J3865" s="2">
        <f ca="1">IFERROR(__xludf.DUMMYFUNCTION("""COMPUTED_VALUE"""),37986)</f>
        <v>37986</v>
      </c>
    </row>
    <row r="3866" spans="1:10" x14ac:dyDescent="0.25">
      <c r="A3866" s="1" t="str">
        <f ca="1">IFERROR(__xludf.DUMMYFUNCTION("""COMPUTED_VALUE"""),"DSC-SI")</f>
        <v>DSC-SI</v>
      </c>
      <c r="B3866" s="1" t="str">
        <f ca="1">IFERROR(__xludf.DUMMYFUNCTION("""COMPUTED_VALUE"""),"Túri Péter")</f>
        <v>Túri Péter</v>
      </c>
      <c r="C3866" s="1"/>
      <c r="D3866" s="1" t="str">
        <f ca="1">IFERROR(__xludf.DUMMYFUNCTION("""COMPUTED_VALUE"""),"Férfi")</f>
        <v>Férfi</v>
      </c>
      <c r="E3866" s="1"/>
      <c r="F3866" s="1">
        <f ca="1">IFERROR(__xludf.DUMMYFUNCTION("""COMPUTED_VALUE"""),1985)</f>
        <v>1985</v>
      </c>
      <c r="G3866" s="1">
        <f ca="1">IFERROR(__xludf.DUMMYFUNCTION("""COMPUTED_VALUE"""),1062)</f>
        <v>1062</v>
      </c>
      <c r="H3866" s="1" t="str">
        <f ca="1">IFERROR(__xludf.DUMMYFUNCTION("""COMPUTED_VALUE"""),"MTLSZ001062A02")</f>
        <v>MTLSZ001062A02</v>
      </c>
      <c r="I3866" s="2">
        <f ca="1">IFERROR(__xludf.DUMMYFUNCTION("""COMPUTED_VALUE"""),37622)</f>
        <v>37622</v>
      </c>
      <c r="J3866" s="2">
        <f ca="1">IFERROR(__xludf.DUMMYFUNCTION("""COMPUTED_VALUE"""),37986)</f>
        <v>37986</v>
      </c>
    </row>
    <row r="3867" spans="1:10" x14ac:dyDescent="0.25">
      <c r="A3867" s="1" t="str">
        <f ca="1">IFERROR(__xludf.DUMMYFUNCTION("""COMPUTED_VALUE"""),"DSC-SI")</f>
        <v>DSC-SI</v>
      </c>
      <c r="B3867" s="1" t="str">
        <f ca="1">IFERROR(__xludf.DUMMYFUNCTION("""COMPUTED_VALUE"""),"Varga László")</f>
        <v>Varga László</v>
      </c>
      <c r="C3867" s="1"/>
      <c r="D3867" s="1" t="str">
        <f ca="1">IFERROR(__xludf.DUMMYFUNCTION("""COMPUTED_VALUE"""),"Férfi")</f>
        <v>Férfi</v>
      </c>
      <c r="E3867" s="1"/>
      <c r="F3867" s="1">
        <f ca="1">IFERROR(__xludf.DUMMYFUNCTION("""COMPUTED_VALUE"""),1979)</f>
        <v>1979</v>
      </c>
      <c r="G3867" s="1">
        <f ca="1">IFERROR(__xludf.DUMMYFUNCTION("""COMPUTED_VALUE"""),1092)</f>
        <v>1092</v>
      </c>
      <c r="H3867" s="1" t="str">
        <f ca="1">IFERROR(__xludf.DUMMYFUNCTION("""COMPUTED_VALUE"""),"MTLSZ001092A02")</f>
        <v>MTLSZ001092A02</v>
      </c>
      <c r="I3867" s="2">
        <f ca="1">IFERROR(__xludf.DUMMYFUNCTION("""COMPUTED_VALUE"""),37622)</f>
        <v>37622</v>
      </c>
      <c r="J3867" s="2">
        <f ca="1">IFERROR(__xludf.DUMMYFUNCTION("""COMPUTED_VALUE"""),37986)</f>
        <v>37986</v>
      </c>
    </row>
    <row r="3868" spans="1:10" x14ac:dyDescent="0.25">
      <c r="A3868" s="1" t="str">
        <f ca="1">IFERROR(__xludf.DUMMYFUNCTION("""COMPUTED_VALUE"""),"DSC-SI")</f>
        <v>DSC-SI</v>
      </c>
      <c r="B3868" s="1" t="str">
        <f ca="1">IFERROR(__xludf.DUMMYFUNCTION("""COMPUTED_VALUE"""),"Venczel Miklós")</f>
        <v>Venczel Miklós</v>
      </c>
      <c r="C3868" s="1"/>
      <c r="D3868" s="1" t="str">
        <f ca="1">IFERROR(__xludf.DUMMYFUNCTION("""COMPUTED_VALUE"""),"Férfi")</f>
        <v>Férfi</v>
      </c>
      <c r="E3868" s="1"/>
      <c r="F3868" s="1">
        <f ca="1">IFERROR(__xludf.DUMMYFUNCTION("""COMPUTED_VALUE"""),1984)</f>
        <v>1984</v>
      </c>
      <c r="G3868" s="1">
        <f ca="1">IFERROR(__xludf.DUMMYFUNCTION("""COMPUTED_VALUE"""),1111)</f>
        <v>1111</v>
      </c>
      <c r="H3868" s="1" t="str">
        <f ca="1">IFERROR(__xludf.DUMMYFUNCTION("""COMPUTED_VALUE"""),"MTLSZ001111A02")</f>
        <v>MTLSZ001111A02</v>
      </c>
      <c r="I3868" s="2">
        <f ca="1">IFERROR(__xludf.DUMMYFUNCTION("""COMPUTED_VALUE"""),37622)</f>
        <v>37622</v>
      </c>
      <c r="J3868" s="2">
        <f ca="1">IFERROR(__xludf.DUMMYFUNCTION("""COMPUTED_VALUE"""),37986)</f>
        <v>37986</v>
      </c>
    </row>
    <row r="3869" spans="1:10" x14ac:dyDescent="0.25">
      <c r="A3869" s="1" t="str">
        <f ca="1">IFERROR(__xludf.DUMMYFUNCTION("""COMPUTED_VALUE"""),"Diaboló SE")</f>
        <v>Diaboló SE</v>
      </c>
      <c r="B3869" s="1" t="str">
        <f ca="1">IFERROR(__xludf.DUMMYFUNCTION("""COMPUTED_VALUE"""),"Mátray Botond")</f>
        <v>Mátray Botond</v>
      </c>
      <c r="C3869" s="1"/>
      <c r="D3869" s="1" t="str">
        <f ca="1">IFERROR(__xludf.DUMMYFUNCTION("""COMPUTED_VALUE"""),"Férfi")</f>
        <v>Férfi</v>
      </c>
      <c r="E3869" s="1"/>
      <c r="F3869" s="1">
        <f ca="1">IFERROR(__xludf.DUMMYFUNCTION("""COMPUTED_VALUE"""),1987)</f>
        <v>1987</v>
      </c>
      <c r="G3869" s="1">
        <f ca="1">IFERROR(__xludf.DUMMYFUNCTION("""COMPUTED_VALUE"""),626)</f>
        <v>626</v>
      </c>
      <c r="H3869" s="1" t="str">
        <f ca="1">IFERROR(__xludf.DUMMYFUNCTION("""COMPUTED_VALUE"""),"MTLSZ000626A02")</f>
        <v>MTLSZ000626A02</v>
      </c>
      <c r="I3869" s="2">
        <f ca="1">IFERROR(__xludf.DUMMYFUNCTION("""COMPUTED_VALUE"""),37622)</f>
        <v>37622</v>
      </c>
      <c r="J3869" s="2">
        <f ca="1">IFERROR(__xludf.DUMMYFUNCTION("""COMPUTED_VALUE"""),37986)</f>
        <v>37986</v>
      </c>
    </row>
    <row r="3870" spans="1:10" x14ac:dyDescent="0.25">
      <c r="A3870" s="1" t="str">
        <f ca="1">IFERROR(__xludf.DUMMYFUNCTION("""COMPUTED_VALUE"""),"Érdi VSE")</f>
        <v>Érdi VSE</v>
      </c>
      <c r="B3870" s="1" t="str">
        <f ca="1">IFERROR(__xludf.DUMMYFUNCTION("""COMPUTED_VALUE"""),"Tamás Adrienn")</f>
        <v>Tamás Adrienn</v>
      </c>
      <c r="C3870" s="1"/>
      <c r="D3870" s="1" t="str">
        <f ca="1">IFERROR(__xludf.DUMMYFUNCTION("""COMPUTED_VALUE"""),"Nő")</f>
        <v>Nő</v>
      </c>
      <c r="E3870" s="1"/>
      <c r="F3870" s="1">
        <f ca="1">IFERROR(__xludf.DUMMYFUNCTION("""COMPUTED_VALUE"""),1987)</f>
        <v>1987</v>
      </c>
      <c r="G3870" s="1">
        <f ca="1">IFERROR(__xludf.DUMMYFUNCTION("""COMPUTED_VALUE"""),999)</f>
        <v>999</v>
      </c>
      <c r="H3870" s="1" t="str">
        <f ca="1">IFERROR(__xludf.DUMMYFUNCTION("""COMPUTED_VALUE"""),"MTLSZ000999A02")</f>
        <v>MTLSZ000999A02</v>
      </c>
      <c r="I3870" s="2">
        <f ca="1">IFERROR(__xludf.DUMMYFUNCTION("""COMPUTED_VALUE"""),37622)</f>
        <v>37622</v>
      </c>
      <c r="J3870" s="2">
        <f ca="1">IFERROR(__xludf.DUMMYFUNCTION("""COMPUTED_VALUE"""),37986)</f>
        <v>37986</v>
      </c>
    </row>
    <row r="3871" spans="1:10" x14ac:dyDescent="0.25">
      <c r="A3871" s="1" t="str">
        <f ca="1">IFERROR(__xludf.DUMMYFUNCTION("""COMPUTED_VALUE"""),"#N/A")</f>
        <v>#N/A</v>
      </c>
      <c r="B3871" s="1" t="str">
        <f ca="1">IFERROR(__xludf.DUMMYFUNCTION("""COMPUTED_VALUE"""),"Ludányi Ágota")</f>
        <v>Ludányi Ágota</v>
      </c>
      <c r="C3871" s="1"/>
      <c r="D3871" s="1" t="str">
        <f ca="1">IFERROR(__xludf.DUMMYFUNCTION("""COMPUTED_VALUE"""),"Nő")</f>
        <v>Nő</v>
      </c>
      <c r="E3871" s="1"/>
      <c r="F3871" s="1">
        <f ca="1">IFERROR(__xludf.DUMMYFUNCTION("""COMPUTED_VALUE"""),2000)</f>
        <v>2000</v>
      </c>
      <c r="G3871" s="1">
        <f ca="1">IFERROR(__xludf.DUMMYFUNCTION("""COMPUTED_VALUE"""),597)</f>
        <v>597</v>
      </c>
      <c r="H3871" s="1" t="str">
        <f ca="1">IFERROR(__xludf.DUMMYFUNCTION("""COMPUTED_VALUE"""),"MTLSZ000597A02")</f>
        <v>MTLSZ000597A02</v>
      </c>
      <c r="I3871" s="2">
        <f ca="1">IFERROR(__xludf.DUMMYFUNCTION("""COMPUTED_VALUE"""),37622)</f>
        <v>37622</v>
      </c>
      <c r="J3871" s="2">
        <f ca="1">IFERROR(__xludf.DUMMYFUNCTION("""COMPUTED_VALUE"""),37986)</f>
        <v>37986</v>
      </c>
    </row>
    <row r="3872" spans="1:10" x14ac:dyDescent="0.25">
      <c r="A3872" s="1" t="str">
        <f ca="1">IFERROR(__xludf.DUMMYFUNCTION("""COMPUTED_VALUE"""),"#N/A")</f>
        <v>#N/A</v>
      </c>
      <c r="B3872" s="1" t="str">
        <f ca="1">IFERROR(__xludf.DUMMYFUNCTION("""COMPUTED_VALUE"""),"Ludányi Bence")</f>
        <v>Ludányi Bence</v>
      </c>
      <c r="C3872" s="1"/>
      <c r="D3872" s="1" t="str">
        <f ca="1">IFERROR(__xludf.DUMMYFUNCTION("""COMPUTED_VALUE"""),"Férfi")</f>
        <v>Férfi</v>
      </c>
      <c r="E3872" s="1"/>
      <c r="F3872" s="1">
        <f ca="1">IFERROR(__xludf.DUMMYFUNCTION("""COMPUTED_VALUE"""),2000)</f>
        <v>2000</v>
      </c>
      <c r="G3872" s="1">
        <f ca="1">IFERROR(__xludf.DUMMYFUNCTION("""COMPUTED_VALUE"""),598)</f>
        <v>598</v>
      </c>
      <c r="H3872" s="1" t="str">
        <f ca="1">IFERROR(__xludf.DUMMYFUNCTION("""COMPUTED_VALUE"""),"MTLSZ000598A02")</f>
        <v>MTLSZ000598A02</v>
      </c>
      <c r="I3872" s="2">
        <f ca="1">IFERROR(__xludf.DUMMYFUNCTION("""COMPUTED_VALUE"""),37622)</f>
        <v>37622</v>
      </c>
      <c r="J3872" s="2">
        <f ca="1">IFERROR(__xludf.DUMMYFUNCTION("""COMPUTED_VALUE"""),37986)</f>
        <v>37986</v>
      </c>
    </row>
    <row r="3873" spans="1:10" x14ac:dyDescent="0.25">
      <c r="A3873" s="1" t="str">
        <f ca="1">IFERROR(__xludf.DUMMYFUNCTION("""COMPUTED_VALUE"""),"#N/A")</f>
        <v>#N/A</v>
      </c>
      <c r="B3873" s="1" t="str">
        <f ca="1">IFERROR(__xludf.DUMMYFUNCTION("""COMPUTED_VALUE"""),"Nyesőné Maksa Erika")</f>
        <v>Nyesőné Maksa Erika</v>
      </c>
      <c r="C3873" s="1"/>
      <c r="D3873" s="1" t="str">
        <f ca="1">IFERROR(__xludf.DUMMYFUNCTION("""COMPUTED_VALUE"""),"Nő")</f>
        <v>Nő</v>
      </c>
      <c r="E3873" s="1"/>
      <c r="F3873" s="1">
        <f ca="1">IFERROR(__xludf.DUMMYFUNCTION("""COMPUTED_VALUE"""),1969)</f>
        <v>1969</v>
      </c>
      <c r="G3873" s="1">
        <f ca="1">IFERROR(__xludf.DUMMYFUNCTION("""COMPUTED_VALUE"""),712)</f>
        <v>712</v>
      </c>
      <c r="H3873" s="1" t="str">
        <f ca="1">IFERROR(__xludf.DUMMYFUNCTION("""COMPUTED_VALUE"""),"MTLSZ000712A02")</f>
        <v>MTLSZ000712A02</v>
      </c>
      <c r="I3873" s="2">
        <f ca="1">IFERROR(__xludf.DUMMYFUNCTION("""COMPUTED_VALUE"""),37622)</f>
        <v>37622</v>
      </c>
      <c r="J3873" s="2">
        <f ca="1">IFERROR(__xludf.DUMMYFUNCTION("""COMPUTED_VALUE"""),37986)</f>
        <v>37986</v>
      </c>
    </row>
    <row r="3874" spans="1:10" x14ac:dyDescent="0.25">
      <c r="A3874" s="1" t="str">
        <f ca="1">IFERROR(__xludf.DUMMYFUNCTION("""COMPUTED_VALUE"""),"Gyöngyösoroszi SK")</f>
        <v>Gyöngyösoroszi SK</v>
      </c>
      <c r="B3874" s="1" t="str">
        <f ca="1">IFERROR(__xludf.DUMMYFUNCTION("""COMPUTED_VALUE"""),"Dudásné Nemcsik Éva")</f>
        <v>Dudásné Nemcsik Éva</v>
      </c>
      <c r="C3874" s="1"/>
      <c r="D3874" s="1" t="str">
        <f ca="1">IFERROR(__xludf.DUMMYFUNCTION("""COMPUTED_VALUE"""),"Nő")</f>
        <v>Nő</v>
      </c>
      <c r="E3874" s="1"/>
      <c r="F3874" s="1">
        <f ca="1">IFERROR(__xludf.DUMMYFUNCTION("""COMPUTED_VALUE"""),1974)</f>
        <v>1974</v>
      </c>
      <c r="G3874" s="1">
        <f ca="1">IFERROR(__xludf.DUMMYFUNCTION("""COMPUTED_VALUE"""),202)</f>
        <v>202</v>
      </c>
      <c r="H3874" s="1" t="str">
        <f ca="1">IFERROR(__xludf.DUMMYFUNCTION("""COMPUTED_VALUE"""),"MTLSZ000202A02")</f>
        <v>MTLSZ000202A02</v>
      </c>
      <c r="I3874" s="2">
        <f ca="1">IFERROR(__xludf.DUMMYFUNCTION("""COMPUTED_VALUE"""),37622)</f>
        <v>37622</v>
      </c>
      <c r="J3874" s="2">
        <f ca="1">IFERROR(__xludf.DUMMYFUNCTION("""COMPUTED_VALUE"""),37986)</f>
        <v>37986</v>
      </c>
    </row>
    <row r="3875" spans="1:10" x14ac:dyDescent="0.25">
      <c r="A3875" s="1" t="str">
        <f ca="1">IFERROR(__xludf.DUMMYFUNCTION("""COMPUTED_VALUE"""),"Gyöngyösoroszi SK")</f>
        <v>Gyöngyösoroszi SK</v>
      </c>
      <c r="B3875" s="1" t="str">
        <f ca="1">IFERROR(__xludf.DUMMYFUNCTION("""COMPUTED_VALUE"""),"Gubancsik Gyula")</f>
        <v>Gubancsik Gyula</v>
      </c>
      <c r="C3875" s="1"/>
      <c r="D3875" s="1" t="str">
        <f ca="1">IFERROR(__xludf.DUMMYFUNCTION("""COMPUTED_VALUE"""),"Férfi")</f>
        <v>Férfi</v>
      </c>
      <c r="E3875" s="1"/>
      <c r="F3875" s="1">
        <f ca="1">IFERROR(__xludf.DUMMYFUNCTION("""COMPUTED_VALUE"""),1974)</f>
        <v>1974</v>
      </c>
      <c r="G3875" s="1">
        <f ca="1">IFERROR(__xludf.DUMMYFUNCTION("""COMPUTED_VALUE"""),307)</f>
        <v>307</v>
      </c>
      <c r="H3875" s="1" t="str">
        <f ca="1">IFERROR(__xludf.DUMMYFUNCTION("""COMPUTED_VALUE"""),"MTLSZ000307A02")</f>
        <v>MTLSZ000307A02</v>
      </c>
      <c r="I3875" s="2">
        <f ca="1">IFERROR(__xludf.DUMMYFUNCTION("""COMPUTED_VALUE"""),37622)</f>
        <v>37622</v>
      </c>
      <c r="J3875" s="2">
        <f ca="1">IFERROR(__xludf.DUMMYFUNCTION("""COMPUTED_VALUE"""),37986)</f>
        <v>37986</v>
      </c>
    </row>
    <row r="3876" spans="1:10" x14ac:dyDescent="0.25">
      <c r="A3876" s="1" t="str">
        <f ca="1">IFERROR(__xludf.DUMMYFUNCTION("""COMPUTED_VALUE"""),"Gyöngyösoroszi SK")</f>
        <v>Gyöngyösoroszi SK</v>
      </c>
      <c r="B3876" s="1" t="str">
        <f ca="1">IFERROR(__xludf.DUMMYFUNCTION("""COMPUTED_VALUE"""),"Horváth Beáta")</f>
        <v>Horváth Beáta</v>
      </c>
      <c r="C3876" s="1"/>
      <c r="D3876" s="1" t="str">
        <f ca="1">IFERROR(__xludf.DUMMYFUNCTION("""COMPUTED_VALUE"""),"Nő")</f>
        <v>Nő</v>
      </c>
      <c r="E3876" s="1"/>
      <c r="F3876" s="1">
        <f ca="1">IFERROR(__xludf.DUMMYFUNCTION("""COMPUTED_VALUE"""),1985)</f>
        <v>1985</v>
      </c>
      <c r="G3876" s="1">
        <f ca="1">IFERROR(__xludf.DUMMYFUNCTION("""COMPUTED_VALUE"""),368)</f>
        <v>368</v>
      </c>
      <c r="H3876" s="1" t="str">
        <f ca="1">IFERROR(__xludf.DUMMYFUNCTION("""COMPUTED_VALUE"""),"MTLSZ000368A02")</f>
        <v>MTLSZ000368A02</v>
      </c>
      <c r="I3876" s="2">
        <f ca="1">IFERROR(__xludf.DUMMYFUNCTION("""COMPUTED_VALUE"""),37622)</f>
        <v>37622</v>
      </c>
      <c r="J3876" s="2">
        <f ca="1">IFERROR(__xludf.DUMMYFUNCTION("""COMPUTED_VALUE"""),37986)</f>
        <v>37986</v>
      </c>
    </row>
    <row r="3877" spans="1:10" x14ac:dyDescent="0.25">
      <c r="A3877" s="1" t="str">
        <f ca="1">IFERROR(__xludf.DUMMYFUNCTION("""COMPUTED_VALUE"""),"Gyöngyösoroszi SK")</f>
        <v>Gyöngyösoroszi SK</v>
      </c>
      <c r="B3877" s="1" t="str">
        <f ca="1">IFERROR(__xludf.DUMMYFUNCTION("""COMPUTED_VALUE"""),"Horváth Ildikó")</f>
        <v>Horváth Ildikó</v>
      </c>
      <c r="C3877" s="1"/>
      <c r="D3877" s="1" t="str">
        <f ca="1">IFERROR(__xludf.DUMMYFUNCTION("""COMPUTED_VALUE"""),"Nő")</f>
        <v>Nő</v>
      </c>
      <c r="E3877" s="1"/>
      <c r="F3877" s="1">
        <f ca="1">IFERROR(__xludf.DUMMYFUNCTION("""COMPUTED_VALUE"""),1982)</f>
        <v>1982</v>
      </c>
      <c r="G3877" s="1">
        <f ca="1">IFERROR(__xludf.DUMMYFUNCTION("""COMPUTED_VALUE"""),373)</f>
        <v>373</v>
      </c>
      <c r="H3877" s="1" t="str">
        <f ca="1">IFERROR(__xludf.DUMMYFUNCTION("""COMPUTED_VALUE"""),"MTLSZ000373A02")</f>
        <v>MTLSZ000373A02</v>
      </c>
      <c r="I3877" s="2">
        <f ca="1">IFERROR(__xludf.DUMMYFUNCTION("""COMPUTED_VALUE"""),37622)</f>
        <v>37622</v>
      </c>
      <c r="J3877" s="2">
        <f ca="1">IFERROR(__xludf.DUMMYFUNCTION("""COMPUTED_VALUE"""),37986)</f>
        <v>37986</v>
      </c>
    </row>
    <row r="3878" spans="1:10" x14ac:dyDescent="0.25">
      <c r="A3878" s="1" t="str">
        <f ca="1">IFERROR(__xludf.DUMMYFUNCTION("""COMPUTED_VALUE"""),"Gyöngyösoroszi SK")</f>
        <v>Gyöngyösoroszi SK</v>
      </c>
      <c r="B3878" s="1" t="str">
        <f ca="1">IFERROR(__xludf.DUMMYFUNCTION("""COMPUTED_VALUE"""),"Horváth László")</f>
        <v>Horváth László</v>
      </c>
      <c r="C3878" s="1"/>
      <c r="D3878" s="1" t="str">
        <f ca="1">IFERROR(__xludf.DUMMYFUNCTION("""COMPUTED_VALUE"""),"Férfi")</f>
        <v>Férfi</v>
      </c>
      <c r="E3878" s="1"/>
      <c r="F3878" s="1">
        <f ca="1">IFERROR(__xludf.DUMMYFUNCTION("""COMPUTED_VALUE"""),1976)</f>
        <v>1976</v>
      </c>
      <c r="G3878" s="1">
        <f ca="1">IFERROR(__xludf.DUMMYFUNCTION("""COMPUTED_VALUE"""),376)</f>
        <v>376</v>
      </c>
      <c r="H3878" s="1" t="str">
        <f ca="1">IFERROR(__xludf.DUMMYFUNCTION("""COMPUTED_VALUE"""),"MTLSZ000376A02")</f>
        <v>MTLSZ000376A02</v>
      </c>
      <c r="I3878" s="2">
        <f ca="1">IFERROR(__xludf.DUMMYFUNCTION("""COMPUTED_VALUE"""),37622)</f>
        <v>37622</v>
      </c>
      <c r="J3878" s="2">
        <f ca="1">IFERROR(__xludf.DUMMYFUNCTION("""COMPUTED_VALUE"""),37986)</f>
        <v>37986</v>
      </c>
    </row>
    <row r="3879" spans="1:10" x14ac:dyDescent="0.25">
      <c r="A3879" s="1" t="str">
        <f ca="1">IFERROR(__xludf.DUMMYFUNCTION("""COMPUTED_VALUE"""),"Gyöngyösoroszi SK")</f>
        <v>Gyöngyösoroszi SK</v>
      </c>
      <c r="B3879" s="1" t="str">
        <f ca="1">IFERROR(__xludf.DUMMYFUNCTION("""COMPUTED_VALUE"""),"Kádár Zoltán")</f>
        <v>Kádár Zoltán</v>
      </c>
      <c r="C3879" s="1"/>
      <c r="D3879" s="1" t="str">
        <f ca="1">IFERROR(__xludf.DUMMYFUNCTION("""COMPUTED_VALUE"""),"Férfi")</f>
        <v>Férfi</v>
      </c>
      <c r="E3879" s="1"/>
      <c r="F3879" s="1">
        <f ca="1">IFERROR(__xludf.DUMMYFUNCTION("""COMPUTED_VALUE"""),1984)</f>
        <v>1984</v>
      </c>
      <c r="G3879" s="1">
        <f ca="1">IFERROR(__xludf.DUMMYFUNCTION("""COMPUTED_VALUE"""),419)</f>
        <v>419</v>
      </c>
      <c r="H3879" s="1" t="str">
        <f ca="1">IFERROR(__xludf.DUMMYFUNCTION("""COMPUTED_VALUE"""),"MTLSZ000419A02")</f>
        <v>MTLSZ000419A02</v>
      </c>
      <c r="I3879" s="2">
        <f ca="1">IFERROR(__xludf.DUMMYFUNCTION("""COMPUTED_VALUE"""),37622)</f>
        <v>37622</v>
      </c>
      <c r="J3879" s="2">
        <f ca="1">IFERROR(__xludf.DUMMYFUNCTION("""COMPUTED_VALUE"""),37986)</f>
        <v>37986</v>
      </c>
    </row>
    <row r="3880" spans="1:10" x14ac:dyDescent="0.25">
      <c r="A3880" s="1" t="str">
        <f ca="1">IFERROR(__xludf.DUMMYFUNCTION("""COMPUTED_VALUE"""),"Gyöngyösoroszi SK")</f>
        <v>Gyöngyösoroszi SK</v>
      </c>
      <c r="B3880" s="1" t="str">
        <f ca="1">IFERROR(__xludf.DUMMYFUNCTION("""COMPUTED_VALUE"""),"Molnár Bernadett")</f>
        <v>Molnár Bernadett</v>
      </c>
      <c r="C3880" s="1"/>
      <c r="D3880" s="1" t="str">
        <f ca="1">IFERROR(__xludf.DUMMYFUNCTION("""COMPUTED_VALUE"""),"Nő")</f>
        <v>Nő</v>
      </c>
      <c r="E3880" s="1"/>
      <c r="F3880" s="1">
        <f ca="1">IFERROR(__xludf.DUMMYFUNCTION("""COMPUTED_VALUE"""),1981)</f>
        <v>1981</v>
      </c>
      <c r="G3880" s="1">
        <f ca="1">IFERROR(__xludf.DUMMYFUNCTION("""COMPUTED_VALUE"""),656)</f>
        <v>656</v>
      </c>
      <c r="H3880" s="1" t="str">
        <f ca="1">IFERROR(__xludf.DUMMYFUNCTION("""COMPUTED_VALUE"""),"MTLSZ000656A02")</f>
        <v>MTLSZ000656A02</v>
      </c>
      <c r="I3880" s="2">
        <f ca="1">IFERROR(__xludf.DUMMYFUNCTION("""COMPUTED_VALUE"""),37622)</f>
        <v>37622</v>
      </c>
      <c r="J3880" s="2">
        <f ca="1">IFERROR(__xludf.DUMMYFUNCTION("""COMPUTED_VALUE"""),37986)</f>
        <v>37986</v>
      </c>
    </row>
    <row r="3881" spans="1:10" x14ac:dyDescent="0.25">
      <c r="A3881" s="1" t="str">
        <f ca="1">IFERROR(__xludf.DUMMYFUNCTION("""COMPUTED_VALUE"""),"Gyöngyösoroszi SK")</f>
        <v>Gyöngyösoroszi SK</v>
      </c>
      <c r="B3881" s="1" t="str">
        <f ca="1">IFERROR(__xludf.DUMMYFUNCTION("""COMPUTED_VALUE"""),"Molnár István Zsigmond")</f>
        <v>Molnár István Zsigmond</v>
      </c>
      <c r="C3881" s="1"/>
      <c r="D3881" s="1" t="str">
        <f ca="1">IFERROR(__xludf.DUMMYFUNCTION("""COMPUTED_VALUE"""),"Férfi")</f>
        <v>Férfi</v>
      </c>
      <c r="E3881" s="1"/>
      <c r="F3881" s="1">
        <f ca="1">IFERROR(__xludf.DUMMYFUNCTION("""COMPUTED_VALUE"""),1977)</f>
        <v>1977</v>
      </c>
      <c r="G3881" s="1">
        <f ca="1">IFERROR(__xludf.DUMMYFUNCTION("""COMPUTED_VALUE"""),663)</f>
        <v>663</v>
      </c>
      <c r="H3881" s="1" t="str">
        <f ca="1">IFERROR(__xludf.DUMMYFUNCTION("""COMPUTED_VALUE"""),"MTLSZ000663A02")</f>
        <v>MTLSZ000663A02</v>
      </c>
      <c r="I3881" s="2">
        <f ca="1">IFERROR(__xludf.DUMMYFUNCTION("""COMPUTED_VALUE"""),37622)</f>
        <v>37622</v>
      </c>
      <c r="J3881" s="2">
        <f ca="1">IFERROR(__xludf.DUMMYFUNCTION("""COMPUTED_VALUE"""),37986)</f>
        <v>37986</v>
      </c>
    </row>
    <row r="3882" spans="1:10" x14ac:dyDescent="0.25">
      <c r="A3882" s="1" t="str">
        <f ca="1">IFERROR(__xludf.DUMMYFUNCTION("""COMPUTED_VALUE"""),"Gyöngyösoroszi SK")</f>
        <v>Gyöngyösoroszi SK</v>
      </c>
      <c r="B3882" s="1" t="str">
        <f ca="1">IFERROR(__xludf.DUMMYFUNCTION("""COMPUTED_VALUE"""),"Molnár Szilárd")</f>
        <v>Molnár Szilárd</v>
      </c>
      <c r="C3882" s="1"/>
      <c r="D3882" s="1" t="str">
        <f ca="1">IFERROR(__xludf.DUMMYFUNCTION("""COMPUTED_VALUE"""),"Férfi")</f>
        <v>Férfi</v>
      </c>
      <c r="E3882" s="1"/>
      <c r="F3882" s="1">
        <f ca="1">IFERROR(__xludf.DUMMYFUNCTION("""COMPUTED_VALUE"""),1987)</f>
        <v>1987</v>
      </c>
      <c r="G3882" s="1">
        <f ca="1">IFERROR(__xludf.DUMMYFUNCTION("""COMPUTED_VALUE"""),666)</f>
        <v>666</v>
      </c>
      <c r="H3882" s="1" t="str">
        <f ca="1">IFERROR(__xludf.DUMMYFUNCTION("""COMPUTED_VALUE"""),"MTLSZ000666A02")</f>
        <v>MTLSZ000666A02</v>
      </c>
      <c r="I3882" s="2">
        <f ca="1">IFERROR(__xludf.DUMMYFUNCTION("""COMPUTED_VALUE"""),37622)</f>
        <v>37622</v>
      </c>
      <c r="J3882" s="2">
        <f ca="1">IFERROR(__xludf.DUMMYFUNCTION("""COMPUTED_VALUE"""),37986)</f>
        <v>37986</v>
      </c>
    </row>
    <row r="3883" spans="1:10" x14ac:dyDescent="0.25">
      <c r="A3883" s="1" t="str">
        <f ca="1">IFERROR(__xludf.DUMMYFUNCTION("""COMPUTED_VALUE"""),"Gyöngyösoroszi SK")</f>
        <v>Gyöngyösoroszi SK</v>
      </c>
      <c r="B3883" s="1" t="str">
        <f ca="1">IFERROR(__xludf.DUMMYFUNCTION("""COMPUTED_VALUE"""),"Molnár Viktória")</f>
        <v>Molnár Viktória</v>
      </c>
      <c r="C3883" s="1"/>
      <c r="D3883" s="1" t="str">
        <f ca="1">IFERROR(__xludf.DUMMYFUNCTION("""COMPUTED_VALUE"""),"Nő")</f>
        <v>Nő</v>
      </c>
      <c r="E3883" s="1"/>
      <c r="F3883" s="1">
        <f ca="1">IFERROR(__xludf.DUMMYFUNCTION("""COMPUTED_VALUE"""),1980)</f>
        <v>1980</v>
      </c>
      <c r="G3883" s="1">
        <f ca="1">IFERROR(__xludf.DUMMYFUNCTION("""COMPUTED_VALUE"""),668)</f>
        <v>668</v>
      </c>
      <c r="H3883" s="1" t="str">
        <f ca="1">IFERROR(__xludf.DUMMYFUNCTION("""COMPUTED_VALUE"""),"MTLSZ000668A02")</f>
        <v>MTLSZ000668A02</v>
      </c>
      <c r="I3883" s="2">
        <f ca="1">IFERROR(__xludf.DUMMYFUNCTION("""COMPUTED_VALUE"""),37622)</f>
        <v>37622</v>
      </c>
      <c r="J3883" s="2">
        <f ca="1">IFERROR(__xludf.DUMMYFUNCTION("""COMPUTED_VALUE"""),37986)</f>
        <v>37986</v>
      </c>
    </row>
    <row r="3884" spans="1:10" x14ac:dyDescent="0.25">
      <c r="A3884" s="1" t="str">
        <f ca="1">IFERROR(__xludf.DUMMYFUNCTION("""COMPUTED_VALUE"""),"Gyöngyösoroszi SK")</f>
        <v>Gyöngyösoroszi SK</v>
      </c>
      <c r="B3884" s="1" t="str">
        <f ca="1">IFERROR(__xludf.DUMMYFUNCTION("""COMPUTED_VALUE"""),"Parádi Gyöngyi")</f>
        <v>Parádi Gyöngyi</v>
      </c>
      <c r="C3884" s="1"/>
      <c r="D3884" s="1" t="str">
        <f ca="1">IFERROR(__xludf.DUMMYFUNCTION("""COMPUTED_VALUE"""),"Nő")</f>
        <v>Nő</v>
      </c>
      <c r="E3884" s="1"/>
      <c r="F3884" s="1">
        <f ca="1">IFERROR(__xludf.DUMMYFUNCTION("""COMPUTED_VALUE"""),1986)</f>
        <v>1986</v>
      </c>
      <c r="G3884" s="1">
        <f ca="1">IFERROR(__xludf.DUMMYFUNCTION("""COMPUTED_VALUE"""),755)</f>
        <v>755</v>
      </c>
      <c r="H3884" s="1" t="str">
        <f ca="1">IFERROR(__xludf.DUMMYFUNCTION("""COMPUTED_VALUE"""),"MTLSZ000755A02")</f>
        <v>MTLSZ000755A02</v>
      </c>
      <c r="I3884" s="2">
        <f ca="1">IFERROR(__xludf.DUMMYFUNCTION("""COMPUTED_VALUE"""),37622)</f>
        <v>37622</v>
      </c>
      <c r="J3884" s="2">
        <f ca="1">IFERROR(__xludf.DUMMYFUNCTION("""COMPUTED_VALUE"""),37986)</f>
        <v>37986</v>
      </c>
    </row>
    <row r="3885" spans="1:10" x14ac:dyDescent="0.25">
      <c r="A3885" s="1" t="str">
        <f ca="1">IFERROR(__xludf.DUMMYFUNCTION("""COMPUTED_VALUE"""),"Gyöngyösoroszi SK")</f>
        <v>Gyöngyösoroszi SK</v>
      </c>
      <c r="B3885" s="1" t="str">
        <f ca="1">IFERROR(__xludf.DUMMYFUNCTION("""COMPUTED_VALUE"""),"Rácz Csilla")</f>
        <v>Rácz Csilla</v>
      </c>
      <c r="C3885" s="1"/>
      <c r="D3885" s="1" t="str">
        <f ca="1">IFERROR(__xludf.DUMMYFUNCTION("""COMPUTED_VALUE"""),"Nő")</f>
        <v>Nő</v>
      </c>
      <c r="E3885" s="1"/>
      <c r="F3885" s="1">
        <f ca="1">IFERROR(__xludf.DUMMYFUNCTION("""COMPUTED_VALUE"""),1986)</f>
        <v>1986</v>
      </c>
      <c r="G3885" s="1">
        <f ca="1">IFERROR(__xludf.DUMMYFUNCTION("""COMPUTED_VALUE"""),793)</f>
        <v>793</v>
      </c>
      <c r="H3885" s="1" t="str">
        <f ca="1">IFERROR(__xludf.DUMMYFUNCTION("""COMPUTED_VALUE"""),"MTLSZ000793A02")</f>
        <v>MTLSZ000793A02</v>
      </c>
      <c r="I3885" s="2">
        <f ca="1">IFERROR(__xludf.DUMMYFUNCTION("""COMPUTED_VALUE"""),37622)</f>
        <v>37622</v>
      </c>
      <c r="J3885" s="2">
        <f ca="1">IFERROR(__xludf.DUMMYFUNCTION("""COMPUTED_VALUE"""),37986)</f>
        <v>37986</v>
      </c>
    </row>
    <row r="3886" spans="1:10" x14ac:dyDescent="0.25">
      <c r="A3886" s="1" t="str">
        <f ca="1">IFERROR(__xludf.DUMMYFUNCTION("""COMPUTED_VALUE"""),"Gyöngyösoroszi SK")</f>
        <v>Gyöngyösoroszi SK</v>
      </c>
      <c r="B3886" s="1" t="str">
        <f ca="1">IFERROR(__xludf.DUMMYFUNCTION("""COMPUTED_VALUE"""),"Rácz Katalin")</f>
        <v>Rácz Katalin</v>
      </c>
      <c r="C3886" s="1"/>
      <c r="D3886" s="1" t="str">
        <f ca="1">IFERROR(__xludf.DUMMYFUNCTION("""COMPUTED_VALUE"""),"Nő")</f>
        <v>Nő</v>
      </c>
      <c r="E3886" s="1"/>
      <c r="F3886" s="1">
        <f ca="1">IFERROR(__xludf.DUMMYFUNCTION("""COMPUTED_VALUE"""),1987)</f>
        <v>1987</v>
      </c>
      <c r="G3886" s="1">
        <f ca="1">IFERROR(__xludf.DUMMYFUNCTION("""COMPUTED_VALUE"""),796)</f>
        <v>796</v>
      </c>
      <c r="H3886" s="1" t="str">
        <f ca="1">IFERROR(__xludf.DUMMYFUNCTION("""COMPUTED_VALUE"""),"MTLSZ000796A02")</f>
        <v>MTLSZ000796A02</v>
      </c>
      <c r="I3886" s="2">
        <f ca="1">IFERROR(__xludf.DUMMYFUNCTION("""COMPUTED_VALUE"""),37622)</f>
        <v>37622</v>
      </c>
      <c r="J3886" s="2">
        <f ca="1">IFERROR(__xludf.DUMMYFUNCTION("""COMPUTED_VALUE"""),37986)</f>
        <v>37986</v>
      </c>
    </row>
    <row r="3887" spans="1:10" x14ac:dyDescent="0.25">
      <c r="A3887" s="1" t="str">
        <f ca="1">IFERROR(__xludf.DUMMYFUNCTION("""COMPUTED_VALUE"""),"Gyöngyösoroszi SK")</f>
        <v>Gyöngyösoroszi SK</v>
      </c>
      <c r="B3887" s="1" t="str">
        <f ca="1">IFERROR(__xludf.DUMMYFUNCTION("""COMPUTED_VALUE"""),"Rudas Gabriella")</f>
        <v>Rudas Gabriella</v>
      </c>
      <c r="C3887" s="1"/>
      <c r="D3887" s="1" t="str">
        <f ca="1">IFERROR(__xludf.DUMMYFUNCTION("""COMPUTED_VALUE"""),"Nő")</f>
        <v>Nő</v>
      </c>
      <c r="E3887" s="1"/>
      <c r="F3887" s="1">
        <f ca="1">IFERROR(__xludf.DUMMYFUNCTION("""COMPUTED_VALUE"""),1977)</f>
        <v>1977</v>
      </c>
      <c r="G3887" s="1">
        <f ca="1">IFERROR(__xludf.DUMMYFUNCTION("""COMPUTED_VALUE"""),822)</f>
        <v>822</v>
      </c>
      <c r="H3887" s="1" t="str">
        <f ca="1">IFERROR(__xludf.DUMMYFUNCTION("""COMPUTED_VALUE"""),"MTLSZ000822A02")</f>
        <v>MTLSZ000822A02</v>
      </c>
      <c r="I3887" s="2">
        <f ca="1">IFERROR(__xludf.DUMMYFUNCTION("""COMPUTED_VALUE"""),37622)</f>
        <v>37622</v>
      </c>
      <c r="J3887" s="2">
        <f ca="1">IFERROR(__xludf.DUMMYFUNCTION("""COMPUTED_VALUE"""),37986)</f>
        <v>37986</v>
      </c>
    </row>
    <row r="3888" spans="1:10" x14ac:dyDescent="0.25">
      <c r="A3888" s="1" t="str">
        <f ca="1">IFERROR(__xludf.DUMMYFUNCTION("""COMPUTED_VALUE"""),"Gyöngyösoroszi SK")</f>
        <v>Gyöngyösoroszi SK</v>
      </c>
      <c r="B3888" s="1" t="str">
        <f ca="1">IFERROR(__xludf.DUMMYFUNCTION("""COMPUTED_VALUE"""),"Simonyi Péter")</f>
        <v>Simonyi Péter</v>
      </c>
      <c r="C3888" s="1"/>
      <c r="D3888" s="1" t="str">
        <f ca="1">IFERROR(__xludf.DUMMYFUNCTION("""COMPUTED_VALUE"""),"Férfi")</f>
        <v>Férfi</v>
      </c>
      <c r="E3888" s="1"/>
      <c r="F3888" s="1">
        <f ca="1">IFERROR(__xludf.DUMMYFUNCTION("""COMPUTED_VALUE"""),1984)</f>
        <v>1984</v>
      </c>
      <c r="G3888" s="1">
        <f ca="1">IFERROR(__xludf.DUMMYFUNCTION("""COMPUTED_VALUE"""),856)</f>
        <v>856</v>
      </c>
      <c r="H3888" s="1" t="str">
        <f ca="1">IFERROR(__xludf.DUMMYFUNCTION("""COMPUTED_VALUE"""),"MTLSZ000856A02")</f>
        <v>MTLSZ000856A02</v>
      </c>
      <c r="I3888" s="2">
        <f ca="1">IFERROR(__xludf.DUMMYFUNCTION("""COMPUTED_VALUE"""),37622)</f>
        <v>37622</v>
      </c>
      <c r="J3888" s="2">
        <f ca="1">IFERROR(__xludf.DUMMYFUNCTION("""COMPUTED_VALUE"""),37986)</f>
        <v>37986</v>
      </c>
    </row>
    <row r="3889" spans="1:10" x14ac:dyDescent="0.25">
      <c r="A3889" s="1" t="str">
        <f ca="1">IFERROR(__xludf.DUMMYFUNCTION("""COMPUTED_VALUE"""),"Gyöngyösoroszi SK")</f>
        <v>Gyöngyösoroszi SK</v>
      </c>
      <c r="B3889" s="1" t="str">
        <f ca="1">IFERROR(__xludf.DUMMYFUNCTION("""COMPUTED_VALUE"""),"Szedmák Róbert")</f>
        <v>Szedmák Róbert</v>
      </c>
      <c r="C3889" s="1"/>
      <c r="D3889" s="1" t="str">
        <f ca="1">IFERROR(__xludf.DUMMYFUNCTION("""COMPUTED_VALUE"""),"Férfi")</f>
        <v>Férfi</v>
      </c>
      <c r="E3889" s="1"/>
      <c r="F3889" s="1">
        <f ca="1">IFERROR(__xludf.DUMMYFUNCTION("""COMPUTED_VALUE"""),1976)</f>
        <v>1976</v>
      </c>
      <c r="G3889" s="1">
        <f ca="1">IFERROR(__xludf.DUMMYFUNCTION("""COMPUTED_VALUE"""),924)</f>
        <v>924</v>
      </c>
      <c r="H3889" s="1" t="str">
        <f ca="1">IFERROR(__xludf.DUMMYFUNCTION("""COMPUTED_VALUE"""),"MTLSZ000924A02")</f>
        <v>MTLSZ000924A02</v>
      </c>
      <c r="I3889" s="2">
        <f ca="1">IFERROR(__xludf.DUMMYFUNCTION("""COMPUTED_VALUE"""),37622)</f>
        <v>37622</v>
      </c>
      <c r="J3889" s="2">
        <f ca="1">IFERROR(__xludf.DUMMYFUNCTION("""COMPUTED_VALUE"""),37986)</f>
        <v>37986</v>
      </c>
    </row>
    <row r="3890" spans="1:10" x14ac:dyDescent="0.25">
      <c r="A3890" s="1" t="str">
        <f ca="1">IFERROR(__xludf.DUMMYFUNCTION("""COMPUTED_VALUE"""),"Gyöngyösoroszi SK")</f>
        <v>Gyöngyösoroszi SK</v>
      </c>
      <c r="B3890" s="1" t="str">
        <f ca="1">IFERROR(__xludf.DUMMYFUNCTION("""COMPUTED_VALUE"""),"Szőke Kálmán")</f>
        <v>Szőke Kálmán</v>
      </c>
      <c r="C3890" s="1"/>
      <c r="D3890" s="1" t="str">
        <f ca="1">IFERROR(__xludf.DUMMYFUNCTION("""COMPUTED_VALUE"""),"Férfi")</f>
        <v>Férfi</v>
      </c>
      <c r="E3890" s="1"/>
      <c r="F3890" s="1">
        <f ca="1">IFERROR(__xludf.DUMMYFUNCTION("""COMPUTED_VALUE"""),1978)</f>
        <v>1978</v>
      </c>
      <c r="G3890" s="1">
        <f ca="1">IFERROR(__xludf.DUMMYFUNCTION("""COMPUTED_VALUE"""),964)</f>
        <v>964</v>
      </c>
      <c r="H3890" s="1" t="str">
        <f ca="1">IFERROR(__xludf.DUMMYFUNCTION("""COMPUTED_VALUE"""),"MTLSZ000964A02")</f>
        <v>MTLSZ000964A02</v>
      </c>
      <c r="I3890" s="2">
        <f ca="1">IFERROR(__xludf.DUMMYFUNCTION("""COMPUTED_VALUE"""),37622)</f>
        <v>37622</v>
      </c>
      <c r="J3890" s="2">
        <f ca="1">IFERROR(__xludf.DUMMYFUNCTION("""COMPUTED_VALUE"""),37986)</f>
        <v>37986</v>
      </c>
    </row>
    <row r="3891" spans="1:10" x14ac:dyDescent="0.25">
      <c r="A3891" s="1" t="str">
        <f ca="1">IFERROR(__xludf.DUMMYFUNCTION("""COMPUTED_VALUE"""),"Gyöngyösoroszi SK")</f>
        <v>Gyöngyösoroszi SK</v>
      </c>
      <c r="B3891" s="1" t="str">
        <f ca="1">IFERROR(__xludf.DUMMYFUNCTION("""COMPUTED_VALUE"""),"Szőke Zsuzsanna")</f>
        <v>Szőke Zsuzsanna</v>
      </c>
      <c r="C3891" s="1"/>
      <c r="D3891" s="1" t="str">
        <f ca="1">IFERROR(__xludf.DUMMYFUNCTION("""COMPUTED_VALUE"""),"Nő")</f>
        <v>Nő</v>
      </c>
      <c r="E3891" s="1"/>
      <c r="F3891" s="1">
        <f ca="1">IFERROR(__xludf.DUMMYFUNCTION("""COMPUTED_VALUE"""),1978)</f>
        <v>1978</v>
      </c>
      <c r="G3891" s="1">
        <f ca="1">IFERROR(__xludf.DUMMYFUNCTION("""COMPUTED_VALUE"""),968)</f>
        <v>968</v>
      </c>
      <c r="H3891" s="1" t="str">
        <f ca="1">IFERROR(__xludf.DUMMYFUNCTION("""COMPUTED_VALUE"""),"MTLSZ000968A02")</f>
        <v>MTLSZ000968A02</v>
      </c>
      <c r="I3891" s="2">
        <f ca="1">IFERROR(__xludf.DUMMYFUNCTION("""COMPUTED_VALUE"""),37622)</f>
        <v>37622</v>
      </c>
      <c r="J3891" s="2">
        <f ca="1">IFERROR(__xludf.DUMMYFUNCTION("""COMPUTED_VALUE"""),37986)</f>
        <v>37986</v>
      </c>
    </row>
    <row r="3892" spans="1:10" x14ac:dyDescent="0.25">
      <c r="A3892" s="1" t="str">
        <f ca="1">IFERROR(__xludf.DUMMYFUNCTION("""COMPUTED_VALUE"""),"Gyöngyösoroszi SK")</f>
        <v>Gyöngyösoroszi SK</v>
      </c>
      <c r="B3892" s="1" t="str">
        <f ca="1">IFERROR(__xludf.DUMMYFUNCTION("""COMPUTED_VALUE"""),"Torda Erika")</f>
        <v>Torda Erika</v>
      </c>
      <c r="C3892" s="1"/>
      <c r="D3892" s="1" t="str">
        <f ca="1">IFERROR(__xludf.DUMMYFUNCTION("""COMPUTED_VALUE"""),"Nő")</f>
        <v>Nő</v>
      </c>
      <c r="E3892" s="1"/>
      <c r="F3892" s="1">
        <f ca="1">IFERROR(__xludf.DUMMYFUNCTION("""COMPUTED_VALUE"""),1985)</f>
        <v>1985</v>
      </c>
      <c r="G3892" s="1">
        <f ca="1">IFERROR(__xludf.DUMMYFUNCTION("""COMPUTED_VALUE"""),1020)</f>
        <v>1020</v>
      </c>
      <c r="H3892" s="1" t="str">
        <f ca="1">IFERROR(__xludf.DUMMYFUNCTION("""COMPUTED_VALUE"""),"MTLSZ001020A02")</f>
        <v>MTLSZ001020A02</v>
      </c>
      <c r="I3892" s="2">
        <f ca="1">IFERROR(__xludf.DUMMYFUNCTION("""COMPUTED_VALUE"""),37622)</f>
        <v>37622</v>
      </c>
      <c r="J3892" s="2">
        <f ca="1">IFERROR(__xludf.DUMMYFUNCTION("""COMPUTED_VALUE"""),37986)</f>
        <v>37986</v>
      </c>
    </row>
    <row r="3893" spans="1:10" x14ac:dyDescent="0.25">
      <c r="A3893" s="1" t="str">
        <f ca="1">IFERROR(__xludf.DUMMYFUNCTION("""COMPUTED_VALUE"""),"Gyöngyösoroszi SK")</f>
        <v>Gyöngyösoroszi SK</v>
      </c>
      <c r="B3893" s="1" t="str">
        <f ca="1">IFERROR(__xludf.DUMMYFUNCTION("""COMPUTED_VALUE"""),"Tóth Konrád")</f>
        <v>Tóth Konrád</v>
      </c>
      <c r="C3893" s="1"/>
      <c r="D3893" s="1" t="str">
        <f ca="1">IFERROR(__xludf.DUMMYFUNCTION("""COMPUTED_VALUE"""),"Férfi")</f>
        <v>Férfi</v>
      </c>
      <c r="E3893" s="1"/>
      <c r="F3893" s="1">
        <f ca="1">IFERROR(__xludf.DUMMYFUNCTION("""COMPUTED_VALUE"""),1977)</f>
        <v>1977</v>
      </c>
      <c r="G3893" s="1">
        <f ca="1">IFERROR(__xludf.DUMMYFUNCTION("""COMPUTED_VALUE"""),1038)</f>
        <v>1038</v>
      </c>
      <c r="H3893" s="1" t="str">
        <f ca="1">IFERROR(__xludf.DUMMYFUNCTION("""COMPUTED_VALUE"""),"MTLSZ001038A02")</f>
        <v>MTLSZ001038A02</v>
      </c>
      <c r="I3893" s="2">
        <f ca="1">IFERROR(__xludf.DUMMYFUNCTION("""COMPUTED_VALUE"""),37622)</f>
        <v>37622</v>
      </c>
      <c r="J3893" s="2">
        <f ca="1">IFERROR(__xludf.DUMMYFUNCTION("""COMPUTED_VALUE"""),37986)</f>
        <v>37986</v>
      </c>
    </row>
    <row r="3894" spans="1:10" x14ac:dyDescent="0.25">
      <c r="A3894" s="1" t="str">
        <f ca="1">IFERROR(__xludf.DUMMYFUNCTION("""COMPUTED_VALUE"""),"Gyöngyösoroszi SK")</f>
        <v>Gyöngyösoroszi SK</v>
      </c>
      <c r="B3894" s="1" t="str">
        <f ca="1">IFERROR(__xludf.DUMMYFUNCTION("""COMPUTED_VALUE"""),"Tóth Szabolcs")</f>
        <v>Tóth Szabolcs</v>
      </c>
      <c r="C3894" s="1"/>
      <c r="D3894" s="1" t="str">
        <f ca="1">IFERROR(__xludf.DUMMYFUNCTION("""COMPUTED_VALUE"""),"Férfi")</f>
        <v>Férfi</v>
      </c>
      <c r="E3894" s="1"/>
      <c r="F3894" s="1">
        <f ca="1">IFERROR(__xludf.DUMMYFUNCTION("""COMPUTED_VALUE"""),1984)</f>
        <v>1984</v>
      </c>
      <c r="G3894" s="1">
        <f ca="1">IFERROR(__xludf.DUMMYFUNCTION("""COMPUTED_VALUE"""),1045)</f>
        <v>1045</v>
      </c>
      <c r="H3894" s="1" t="str">
        <f ca="1">IFERROR(__xludf.DUMMYFUNCTION("""COMPUTED_VALUE"""),"MTLSZ001045A02")</f>
        <v>MTLSZ001045A02</v>
      </c>
      <c r="I3894" s="2">
        <f ca="1">IFERROR(__xludf.DUMMYFUNCTION("""COMPUTED_VALUE"""),37622)</f>
        <v>37622</v>
      </c>
      <c r="J3894" s="2">
        <f ca="1">IFERROR(__xludf.DUMMYFUNCTION("""COMPUTED_VALUE"""),37986)</f>
        <v>37986</v>
      </c>
    </row>
    <row r="3895" spans="1:10" x14ac:dyDescent="0.25">
      <c r="A3895" s="1" t="str">
        <f ca="1">IFERROR(__xludf.DUMMYFUNCTION("""COMPUTED_VALUE"""),"Gyöngyösoroszi SK")</f>
        <v>Gyöngyösoroszi SK</v>
      </c>
      <c r="B3895" s="1" t="str">
        <f ca="1">IFERROR(__xludf.DUMMYFUNCTION("""COMPUTED_VALUE"""),"Tóth Tamás")</f>
        <v>Tóth Tamás</v>
      </c>
      <c r="C3895" s="1"/>
      <c r="D3895" s="1" t="str">
        <f ca="1">IFERROR(__xludf.DUMMYFUNCTION("""COMPUTED_VALUE"""),"Férfi")</f>
        <v>Férfi</v>
      </c>
      <c r="E3895" s="1"/>
      <c r="F3895" s="1">
        <f ca="1">IFERROR(__xludf.DUMMYFUNCTION("""COMPUTED_VALUE"""),1984)</f>
        <v>1984</v>
      </c>
      <c r="G3895" s="1">
        <f ca="1">IFERROR(__xludf.DUMMYFUNCTION("""COMPUTED_VALUE"""),1047)</f>
        <v>1047</v>
      </c>
      <c r="H3895" s="1" t="str">
        <f ca="1">IFERROR(__xludf.DUMMYFUNCTION("""COMPUTED_VALUE"""),"MTLSZ001047A02")</f>
        <v>MTLSZ001047A02</v>
      </c>
      <c r="I3895" s="2">
        <f ca="1">IFERROR(__xludf.DUMMYFUNCTION("""COMPUTED_VALUE"""),37622)</f>
        <v>37622</v>
      </c>
      <c r="J3895" s="2">
        <f ca="1">IFERROR(__xludf.DUMMYFUNCTION("""COMPUTED_VALUE"""),37986)</f>
        <v>37986</v>
      </c>
    </row>
    <row r="3896" spans="1:10" x14ac:dyDescent="0.25">
      <c r="A3896" s="1" t="str">
        <f ca="1">IFERROR(__xludf.DUMMYFUNCTION("""COMPUTED_VALUE"""),"#N/A")</f>
        <v>#N/A</v>
      </c>
      <c r="B3896" s="1" t="str">
        <f ca="1">IFERROR(__xludf.DUMMYFUNCTION("""COMPUTED_VALUE"""),"Bancsi Tamás")</f>
        <v>Bancsi Tamás</v>
      </c>
      <c r="C3896" s="1"/>
      <c r="D3896" s="1" t="str">
        <f ca="1">IFERROR(__xludf.DUMMYFUNCTION("""COMPUTED_VALUE"""),"Férfi")</f>
        <v>Férfi</v>
      </c>
      <c r="E3896" s="1"/>
      <c r="F3896" s="1">
        <f ca="1">IFERROR(__xludf.DUMMYFUNCTION("""COMPUTED_VALUE"""),1968)</f>
        <v>1968</v>
      </c>
      <c r="G3896" s="1">
        <f ca="1">IFERROR(__xludf.DUMMYFUNCTION("""COMPUTED_VALUE"""),45)</f>
        <v>45</v>
      </c>
      <c r="H3896" s="1" t="str">
        <f ca="1">IFERROR(__xludf.DUMMYFUNCTION("""COMPUTED_VALUE"""),"MTLSZ000045A02")</f>
        <v>MTLSZ000045A02</v>
      </c>
      <c r="I3896" s="2">
        <f ca="1">IFERROR(__xludf.DUMMYFUNCTION("""COMPUTED_VALUE"""),37622)</f>
        <v>37622</v>
      </c>
      <c r="J3896" s="2">
        <f ca="1">IFERROR(__xludf.DUMMYFUNCTION("""COMPUTED_VALUE"""),37986)</f>
        <v>37986</v>
      </c>
    </row>
    <row r="3897" spans="1:10" x14ac:dyDescent="0.25">
      <c r="A3897" s="1" t="str">
        <f ca="1">IFERROR(__xludf.DUMMYFUNCTION("""COMPUTED_VALUE"""),"#N/A")</f>
        <v>#N/A</v>
      </c>
      <c r="B3897" s="1" t="str">
        <f ca="1">IFERROR(__xludf.DUMMYFUNCTION("""COMPUTED_VALUE"""),"Cserni János")</f>
        <v>Cserni János</v>
      </c>
      <c r="C3897" s="1"/>
      <c r="D3897" s="1" t="str">
        <f ca="1">IFERROR(__xludf.DUMMYFUNCTION("""COMPUTED_VALUE"""),"Férfi")</f>
        <v>Férfi</v>
      </c>
      <c r="E3897" s="1"/>
      <c r="F3897" s="1">
        <f ca="1">IFERROR(__xludf.DUMMYFUNCTION("""COMPUTED_VALUE"""),1945)</f>
        <v>1945</v>
      </c>
      <c r="G3897" s="1">
        <f ca="1">IFERROR(__xludf.DUMMYFUNCTION("""COMPUTED_VALUE"""),138)</f>
        <v>138</v>
      </c>
      <c r="H3897" s="1" t="str">
        <f ca="1">IFERROR(__xludf.DUMMYFUNCTION("""COMPUTED_VALUE"""),"MTLSZ000138A02")</f>
        <v>MTLSZ000138A02</v>
      </c>
      <c r="I3897" s="2">
        <f ca="1">IFERROR(__xludf.DUMMYFUNCTION("""COMPUTED_VALUE"""),37622)</f>
        <v>37622</v>
      </c>
      <c r="J3897" s="2">
        <f ca="1">IFERROR(__xludf.DUMMYFUNCTION("""COMPUTED_VALUE"""),37986)</f>
        <v>37986</v>
      </c>
    </row>
    <row r="3898" spans="1:10" x14ac:dyDescent="0.25">
      <c r="A3898" s="1" t="str">
        <f ca="1">IFERROR(__xludf.DUMMYFUNCTION("""COMPUTED_VALUE"""),"#N/A")</f>
        <v>#N/A</v>
      </c>
      <c r="B3898" s="1" t="str">
        <f ca="1">IFERROR(__xludf.DUMMYFUNCTION("""COMPUTED_VALUE"""),"Földes Ildikó")</f>
        <v>Földes Ildikó</v>
      </c>
      <c r="C3898" s="1"/>
      <c r="D3898" s="1" t="str">
        <f ca="1">IFERROR(__xludf.DUMMYFUNCTION("""COMPUTED_VALUE"""),"Nő")</f>
        <v>Nő</v>
      </c>
      <c r="E3898" s="1"/>
      <c r="F3898" s="1">
        <f ca="1">IFERROR(__xludf.DUMMYFUNCTION("""COMPUTED_VALUE"""),2000)</f>
        <v>2000</v>
      </c>
      <c r="G3898" s="1">
        <f ca="1">IFERROR(__xludf.DUMMYFUNCTION("""COMPUTED_VALUE"""),269)</f>
        <v>269</v>
      </c>
      <c r="H3898" s="1" t="str">
        <f ca="1">IFERROR(__xludf.DUMMYFUNCTION("""COMPUTED_VALUE"""),"MTLSZ000269A02")</f>
        <v>MTLSZ000269A02</v>
      </c>
      <c r="I3898" s="2">
        <f ca="1">IFERROR(__xludf.DUMMYFUNCTION("""COMPUTED_VALUE"""),37622)</f>
        <v>37622</v>
      </c>
      <c r="J3898" s="2">
        <f ca="1">IFERROR(__xludf.DUMMYFUNCTION("""COMPUTED_VALUE"""),37986)</f>
        <v>37986</v>
      </c>
    </row>
    <row r="3899" spans="1:10" x14ac:dyDescent="0.25">
      <c r="A3899" s="1" t="str">
        <f ca="1">IFERROR(__xludf.DUMMYFUNCTION("""COMPUTED_VALUE"""),"#N/A")</f>
        <v>#N/A</v>
      </c>
      <c r="B3899" s="1" t="str">
        <f ca="1">IFERROR(__xludf.DUMMYFUNCTION("""COMPUTED_VALUE"""),"Garimberti Antal")</f>
        <v>Garimberti Antal</v>
      </c>
      <c r="C3899" s="1"/>
      <c r="D3899" s="1" t="str">
        <f ca="1">IFERROR(__xludf.DUMMYFUNCTION("""COMPUTED_VALUE"""),"Férfi")</f>
        <v>Férfi</v>
      </c>
      <c r="E3899" s="1"/>
      <c r="F3899" s="1">
        <f ca="1">IFERROR(__xludf.DUMMYFUNCTION("""COMPUTED_VALUE"""),2000)</f>
        <v>2000</v>
      </c>
      <c r="G3899" s="1">
        <f ca="1">IFERROR(__xludf.DUMMYFUNCTION("""COMPUTED_VALUE"""),283)</f>
        <v>283</v>
      </c>
      <c r="H3899" s="1" t="str">
        <f ca="1">IFERROR(__xludf.DUMMYFUNCTION("""COMPUTED_VALUE"""),"MTLSZ000283A02")</f>
        <v>MTLSZ000283A02</v>
      </c>
      <c r="I3899" s="2">
        <f ca="1">IFERROR(__xludf.DUMMYFUNCTION("""COMPUTED_VALUE"""),37622)</f>
        <v>37622</v>
      </c>
      <c r="J3899" s="2">
        <f ca="1">IFERROR(__xludf.DUMMYFUNCTION("""COMPUTED_VALUE"""),37986)</f>
        <v>37986</v>
      </c>
    </row>
    <row r="3900" spans="1:10" x14ac:dyDescent="0.25">
      <c r="A3900" s="1" t="str">
        <f ca="1">IFERROR(__xludf.DUMMYFUNCTION("""COMPUTED_VALUE"""),"#N/A")</f>
        <v>#N/A</v>
      </c>
      <c r="B3900" s="1" t="str">
        <f ca="1">IFERROR(__xludf.DUMMYFUNCTION("""COMPUTED_VALUE"""),"Mészáros Szabolcs")</f>
        <v>Mészáros Szabolcs</v>
      </c>
      <c r="C3900" s="1"/>
      <c r="D3900" s="1" t="str">
        <f ca="1">IFERROR(__xludf.DUMMYFUNCTION("""COMPUTED_VALUE"""),"Férfi")</f>
        <v>Férfi</v>
      </c>
      <c r="E3900" s="1"/>
      <c r="F3900" s="1">
        <f ca="1">IFERROR(__xludf.DUMMYFUNCTION("""COMPUTED_VALUE"""),1975)</f>
        <v>1975</v>
      </c>
      <c r="G3900" s="1">
        <f ca="1">IFERROR(__xludf.DUMMYFUNCTION("""COMPUTED_VALUE"""),641)</f>
        <v>641</v>
      </c>
      <c r="H3900" s="1" t="str">
        <f ca="1">IFERROR(__xludf.DUMMYFUNCTION("""COMPUTED_VALUE"""),"MTLSZ000641A02")</f>
        <v>MTLSZ000641A02</v>
      </c>
      <c r="I3900" s="2">
        <f ca="1">IFERROR(__xludf.DUMMYFUNCTION("""COMPUTED_VALUE"""),37622)</f>
        <v>37622</v>
      </c>
      <c r="J3900" s="2">
        <f ca="1">IFERROR(__xludf.DUMMYFUNCTION("""COMPUTED_VALUE"""),37986)</f>
        <v>37986</v>
      </c>
    </row>
    <row r="3901" spans="1:10" x14ac:dyDescent="0.25">
      <c r="A3901" s="1" t="str">
        <f ca="1">IFERROR(__xludf.DUMMYFUNCTION("""COMPUTED_VALUE"""),"#N/A")</f>
        <v>#N/A</v>
      </c>
      <c r="B3901" s="1" t="str">
        <f ca="1">IFERROR(__xludf.DUMMYFUNCTION("""COMPUTED_VALUE"""),"Szikszai Ágnes")</f>
        <v>Szikszai Ágnes</v>
      </c>
      <c r="C3901" s="1"/>
      <c r="D3901" s="1" t="str">
        <f ca="1">IFERROR(__xludf.DUMMYFUNCTION("""COMPUTED_VALUE"""),"Nő")</f>
        <v>Nő</v>
      </c>
      <c r="E3901" s="1"/>
      <c r="F3901" s="1">
        <f ca="1">IFERROR(__xludf.DUMMYFUNCTION("""COMPUTED_VALUE"""),2000)</f>
        <v>2000</v>
      </c>
      <c r="G3901" s="1">
        <f ca="1">IFERROR(__xludf.DUMMYFUNCTION("""COMPUTED_VALUE"""),952)</f>
        <v>952</v>
      </c>
      <c r="H3901" s="1" t="str">
        <f ca="1">IFERROR(__xludf.DUMMYFUNCTION("""COMPUTED_VALUE"""),"MTLSZ000952A02")</f>
        <v>MTLSZ000952A02</v>
      </c>
      <c r="I3901" s="2">
        <f ca="1">IFERROR(__xludf.DUMMYFUNCTION("""COMPUTED_VALUE"""),37622)</f>
        <v>37622</v>
      </c>
      <c r="J3901" s="2">
        <f ca="1">IFERROR(__xludf.DUMMYFUNCTION("""COMPUTED_VALUE"""),37986)</f>
        <v>37986</v>
      </c>
    </row>
    <row r="3902" spans="1:10" x14ac:dyDescent="0.25">
      <c r="A3902" s="1" t="str">
        <f ca="1">IFERROR(__xludf.DUMMYFUNCTION("""COMPUTED_VALUE"""),"HZSE")</f>
        <v>HZSE</v>
      </c>
      <c r="B3902" s="1" t="str">
        <f ca="1">IFERROR(__xludf.DUMMYFUNCTION("""COMPUTED_VALUE"""),"Derts Zsófia")</f>
        <v>Derts Zsófia</v>
      </c>
      <c r="C3902" s="1"/>
      <c r="D3902" s="1" t="str">
        <f ca="1">IFERROR(__xludf.DUMMYFUNCTION("""COMPUTED_VALUE"""),"Nő")</f>
        <v>Nő</v>
      </c>
      <c r="E3902" s="1"/>
      <c r="F3902" s="1">
        <f ca="1">IFERROR(__xludf.DUMMYFUNCTION("""COMPUTED_VALUE"""),2000)</f>
        <v>2000</v>
      </c>
      <c r="G3902" s="1">
        <f ca="1">IFERROR(__xludf.DUMMYFUNCTION("""COMPUTED_VALUE"""),190)</f>
        <v>190</v>
      </c>
      <c r="H3902" s="1" t="str">
        <f ca="1">IFERROR(__xludf.DUMMYFUNCTION("""COMPUTED_VALUE"""),"MTLSZ000190A02")</f>
        <v>MTLSZ000190A02</v>
      </c>
      <c r="I3902" s="2">
        <f ca="1">IFERROR(__xludf.DUMMYFUNCTION("""COMPUTED_VALUE"""),37622)</f>
        <v>37622</v>
      </c>
      <c r="J3902" s="2">
        <f ca="1">IFERROR(__xludf.DUMMYFUNCTION("""COMPUTED_VALUE"""),37986)</f>
        <v>37986</v>
      </c>
    </row>
    <row r="3903" spans="1:10" x14ac:dyDescent="0.25">
      <c r="A3903" s="1" t="str">
        <f ca="1">IFERROR(__xludf.DUMMYFUNCTION("""COMPUTED_VALUE"""),"HZSE")</f>
        <v>HZSE</v>
      </c>
      <c r="B3903" s="1" t="str">
        <f ca="1">IFERROR(__xludf.DUMMYFUNCTION("""COMPUTED_VALUE"""),"Fejér Lajos")</f>
        <v>Fejér Lajos</v>
      </c>
      <c r="C3903" s="1"/>
      <c r="D3903" s="1" t="str">
        <f ca="1">IFERROR(__xludf.DUMMYFUNCTION("""COMPUTED_VALUE"""),"Férfi")</f>
        <v>Férfi</v>
      </c>
      <c r="E3903" s="1"/>
      <c r="F3903" s="1">
        <f ca="1">IFERROR(__xludf.DUMMYFUNCTION("""COMPUTED_VALUE"""),1943)</f>
        <v>1943</v>
      </c>
      <c r="G3903" s="1">
        <f ca="1">IFERROR(__xludf.DUMMYFUNCTION("""COMPUTED_VALUE"""),241)</f>
        <v>241</v>
      </c>
      <c r="H3903" s="1" t="str">
        <f ca="1">IFERROR(__xludf.DUMMYFUNCTION("""COMPUTED_VALUE"""),"MTLSZ000241A02")</f>
        <v>MTLSZ000241A02</v>
      </c>
      <c r="I3903" s="2">
        <f ca="1">IFERROR(__xludf.DUMMYFUNCTION("""COMPUTED_VALUE"""),37622)</f>
        <v>37622</v>
      </c>
      <c r="J3903" s="2">
        <f ca="1">IFERROR(__xludf.DUMMYFUNCTION("""COMPUTED_VALUE"""),37986)</f>
        <v>37986</v>
      </c>
    </row>
    <row r="3904" spans="1:10" x14ac:dyDescent="0.25">
      <c r="A3904" s="1" t="str">
        <f ca="1">IFERROR(__xludf.DUMMYFUNCTION("""COMPUTED_VALUE"""),"HZSE")</f>
        <v>HZSE</v>
      </c>
      <c r="B3904" s="1" t="str">
        <f ca="1">IFERROR(__xludf.DUMMYFUNCTION("""COMPUTED_VALUE"""),"Gálóczy Zoltán")</f>
        <v>Gálóczy Zoltán</v>
      </c>
      <c r="C3904" s="1"/>
      <c r="D3904" s="1" t="str">
        <f ca="1">IFERROR(__xludf.DUMMYFUNCTION("""COMPUTED_VALUE"""),"Férfi")</f>
        <v>Férfi</v>
      </c>
      <c r="E3904" s="1"/>
      <c r="F3904" s="1">
        <f ca="1">IFERROR(__xludf.DUMMYFUNCTION("""COMPUTED_VALUE"""),1965)</f>
        <v>1965</v>
      </c>
      <c r="G3904" s="1">
        <f ca="1">IFERROR(__xludf.DUMMYFUNCTION("""COMPUTED_VALUE"""),278)</f>
        <v>278</v>
      </c>
      <c r="H3904" s="1" t="str">
        <f ca="1">IFERROR(__xludf.DUMMYFUNCTION("""COMPUTED_VALUE"""),"MTLSZ000278A02")</f>
        <v>MTLSZ000278A02</v>
      </c>
      <c r="I3904" s="2">
        <f ca="1">IFERROR(__xludf.DUMMYFUNCTION("""COMPUTED_VALUE"""),37622)</f>
        <v>37622</v>
      </c>
      <c r="J3904" s="2">
        <f ca="1">IFERROR(__xludf.DUMMYFUNCTION("""COMPUTED_VALUE"""),37986)</f>
        <v>37986</v>
      </c>
    </row>
    <row r="3905" spans="1:10" x14ac:dyDescent="0.25">
      <c r="A3905" s="1" t="str">
        <f ca="1">IFERROR(__xludf.DUMMYFUNCTION("""COMPUTED_VALUE"""),"HZSE")</f>
        <v>HZSE</v>
      </c>
      <c r="B3905" s="1" t="str">
        <f ca="1">IFERROR(__xludf.DUMMYFUNCTION("""COMPUTED_VALUE"""),"Janóczki Mihály")</f>
        <v>Janóczki Mihály</v>
      </c>
      <c r="C3905" s="1"/>
      <c r="D3905" s="1" t="str">
        <f ca="1">IFERROR(__xludf.DUMMYFUNCTION("""COMPUTED_VALUE"""),"Férfi")</f>
        <v>Férfi</v>
      </c>
      <c r="E3905" s="1"/>
      <c r="F3905" s="1">
        <f ca="1">IFERROR(__xludf.DUMMYFUNCTION("""COMPUTED_VALUE"""),1982)</f>
        <v>1982</v>
      </c>
      <c r="G3905" s="1">
        <f ca="1">IFERROR(__xludf.DUMMYFUNCTION("""COMPUTED_VALUE"""),409)</f>
        <v>409</v>
      </c>
      <c r="H3905" s="1" t="str">
        <f ca="1">IFERROR(__xludf.DUMMYFUNCTION("""COMPUTED_VALUE"""),"MTLSZ000409A02")</f>
        <v>MTLSZ000409A02</v>
      </c>
      <c r="I3905" s="2">
        <f ca="1">IFERROR(__xludf.DUMMYFUNCTION("""COMPUTED_VALUE"""),37622)</f>
        <v>37622</v>
      </c>
      <c r="J3905" s="2">
        <f ca="1">IFERROR(__xludf.DUMMYFUNCTION("""COMPUTED_VALUE"""),37986)</f>
        <v>37986</v>
      </c>
    </row>
    <row r="3906" spans="1:10" x14ac:dyDescent="0.25">
      <c r="A3906" s="1" t="str">
        <f ca="1">IFERROR(__xludf.DUMMYFUNCTION("""COMPUTED_VALUE"""),"HZSE")</f>
        <v>HZSE</v>
      </c>
      <c r="B3906" s="1" t="str">
        <f ca="1">IFERROR(__xludf.DUMMYFUNCTION("""COMPUTED_VALUE"""),"Kovács Domonkos")</f>
        <v>Kovács Domonkos</v>
      </c>
      <c r="C3906" s="1"/>
      <c r="D3906" s="1" t="str">
        <f ca="1">IFERROR(__xludf.DUMMYFUNCTION("""COMPUTED_VALUE"""),"Férfi")</f>
        <v>Férfi</v>
      </c>
      <c r="E3906" s="1"/>
      <c r="F3906" s="1">
        <f ca="1">IFERROR(__xludf.DUMMYFUNCTION("""COMPUTED_VALUE"""),1984)</f>
        <v>1984</v>
      </c>
      <c r="G3906" s="1">
        <f ca="1">IFERROR(__xludf.DUMMYFUNCTION("""COMPUTED_VALUE"""),528)</f>
        <v>528</v>
      </c>
      <c r="H3906" s="1" t="str">
        <f ca="1">IFERROR(__xludf.DUMMYFUNCTION("""COMPUTED_VALUE"""),"MTLSZ000528A02")</f>
        <v>MTLSZ000528A02</v>
      </c>
      <c r="I3906" s="2">
        <f ca="1">IFERROR(__xludf.DUMMYFUNCTION("""COMPUTED_VALUE"""),37622)</f>
        <v>37622</v>
      </c>
      <c r="J3906" s="2">
        <f ca="1">IFERROR(__xludf.DUMMYFUNCTION("""COMPUTED_VALUE"""),37986)</f>
        <v>37986</v>
      </c>
    </row>
    <row r="3907" spans="1:10" x14ac:dyDescent="0.25">
      <c r="A3907" s="1" t="str">
        <f ca="1">IFERROR(__xludf.DUMMYFUNCTION("""COMPUTED_VALUE"""),"HZSE")</f>
        <v>HZSE</v>
      </c>
      <c r="B3907" s="1" t="str">
        <f ca="1">IFERROR(__xludf.DUMMYFUNCTION("""COMPUTED_VALUE"""),"Kozma Éva")</f>
        <v>Kozma Éva</v>
      </c>
      <c r="C3907" s="1"/>
      <c r="D3907" s="1" t="str">
        <f ca="1">IFERROR(__xludf.DUMMYFUNCTION("""COMPUTED_VALUE"""),"Nő")</f>
        <v>Nő</v>
      </c>
      <c r="E3907" s="1"/>
      <c r="F3907" s="1">
        <f ca="1">IFERROR(__xludf.DUMMYFUNCTION("""COMPUTED_VALUE"""),2000)</f>
        <v>2000</v>
      </c>
      <c r="G3907" s="1">
        <f ca="1">IFERROR(__xludf.DUMMYFUNCTION("""COMPUTED_VALUE"""),543)</f>
        <v>543</v>
      </c>
      <c r="H3907" s="1" t="str">
        <f ca="1">IFERROR(__xludf.DUMMYFUNCTION("""COMPUTED_VALUE"""),"MTLSZ000543A02")</f>
        <v>MTLSZ000543A02</v>
      </c>
      <c r="I3907" s="2">
        <f ca="1">IFERROR(__xludf.DUMMYFUNCTION("""COMPUTED_VALUE"""),37622)</f>
        <v>37622</v>
      </c>
      <c r="J3907" s="2">
        <f ca="1">IFERROR(__xludf.DUMMYFUNCTION("""COMPUTED_VALUE"""),37986)</f>
        <v>37986</v>
      </c>
    </row>
    <row r="3908" spans="1:10" x14ac:dyDescent="0.25">
      <c r="A3908" s="1" t="str">
        <f ca="1">IFERROR(__xludf.DUMMYFUNCTION("""COMPUTED_VALUE"""),"HZSE")</f>
        <v>HZSE</v>
      </c>
      <c r="B3908" s="1" t="str">
        <f ca="1">IFERROR(__xludf.DUMMYFUNCTION("""COMPUTED_VALUE"""),"Krajcsovicz Bernadett")</f>
        <v>Krajcsovicz Bernadett</v>
      </c>
      <c r="C3908" s="1"/>
      <c r="D3908" s="1" t="str">
        <f ca="1">IFERROR(__xludf.DUMMYFUNCTION("""COMPUTED_VALUE"""),"Nő")</f>
        <v>Nő</v>
      </c>
      <c r="E3908" s="1"/>
      <c r="F3908" s="1">
        <f ca="1">IFERROR(__xludf.DUMMYFUNCTION("""COMPUTED_VALUE"""),1978)</f>
        <v>1978</v>
      </c>
      <c r="G3908" s="1">
        <f ca="1">IFERROR(__xludf.DUMMYFUNCTION("""COMPUTED_VALUE"""),545)</f>
        <v>545</v>
      </c>
      <c r="H3908" s="1" t="str">
        <f ca="1">IFERROR(__xludf.DUMMYFUNCTION("""COMPUTED_VALUE"""),"MTLSZ000545A02")</f>
        <v>MTLSZ000545A02</v>
      </c>
      <c r="I3908" s="2">
        <f ca="1">IFERROR(__xludf.DUMMYFUNCTION("""COMPUTED_VALUE"""),37622)</f>
        <v>37622</v>
      </c>
      <c r="J3908" s="2">
        <f ca="1">IFERROR(__xludf.DUMMYFUNCTION("""COMPUTED_VALUE"""),37986)</f>
        <v>37986</v>
      </c>
    </row>
    <row r="3909" spans="1:10" x14ac:dyDescent="0.25">
      <c r="A3909" s="1" t="str">
        <f ca="1">IFERROR(__xludf.DUMMYFUNCTION("""COMPUTED_VALUE"""),"HZSE")</f>
        <v>HZSE</v>
      </c>
      <c r="B3909" s="1" t="str">
        <f ca="1">IFERROR(__xludf.DUMMYFUNCTION("""COMPUTED_VALUE"""),"Lakatos Mihály")</f>
        <v>Lakatos Mihály</v>
      </c>
      <c r="C3909" s="1"/>
      <c r="D3909" s="1" t="str">
        <f ca="1">IFERROR(__xludf.DUMMYFUNCTION("""COMPUTED_VALUE"""),"Férfi")</f>
        <v>Férfi</v>
      </c>
      <c r="E3909" s="1"/>
      <c r="F3909" s="1">
        <f ca="1">IFERROR(__xludf.DUMMYFUNCTION("""COMPUTED_VALUE"""),2000)</f>
        <v>2000</v>
      </c>
      <c r="G3909" s="1">
        <f ca="1">IFERROR(__xludf.DUMMYFUNCTION("""COMPUTED_VALUE"""),566)</f>
        <v>566</v>
      </c>
      <c r="H3909" s="1" t="str">
        <f ca="1">IFERROR(__xludf.DUMMYFUNCTION("""COMPUTED_VALUE"""),"MTLSZ000566A02")</f>
        <v>MTLSZ000566A02</v>
      </c>
      <c r="I3909" s="2">
        <f ca="1">IFERROR(__xludf.DUMMYFUNCTION("""COMPUTED_VALUE"""),37622)</f>
        <v>37622</v>
      </c>
      <c r="J3909" s="2">
        <f ca="1">IFERROR(__xludf.DUMMYFUNCTION("""COMPUTED_VALUE"""),37986)</f>
        <v>37986</v>
      </c>
    </row>
    <row r="3910" spans="1:10" x14ac:dyDescent="0.25">
      <c r="A3910" s="1" t="str">
        <f ca="1">IFERROR(__xludf.DUMMYFUNCTION("""COMPUTED_VALUE"""),"HZSE")</f>
        <v>HZSE</v>
      </c>
      <c r="B3910" s="1" t="str">
        <f ca="1">IFERROR(__xludf.DUMMYFUNCTION("""COMPUTED_VALUE"""),"László Adrienn")</f>
        <v>László Adrienn</v>
      </c>
      <c r="C3910" s="1"/>
      <c r="D3910" s="1" t="str">
        <f ca="1">IFERROR(__xludf.DUMMYFUNCTION("""COMPUTED_VALUE"""),"Nő")</f>
        <v>Nő</v>
      </c>
      <c r="E3910" s="1"/>
      <c r="F3910" s="1">
        <f ca="1">IFERROR(__xludf.DUMMYFUNCTION("""COMPUTED_VALUE"""),1985)</f>
        <v>1985</v>
      </c>
      <c r="G3910" s="1">
        <f ca="1">IFERROR(__xludf.DUMMYFUNCTION("""COMPUTED_VALUE"""),576)</f>
        <v>576</v>
      </c>
      <c r="H3910" s="1" t="str">
        <f ca="1">IFERROR(__xludf.DUMMYFUNCTION("""COMPUTED_VALUE"""),"MTLSZ000576A02")</f>
        <v>MTLSZ000576A02</v>
      </c>
      <c r="I3910" s="2">
        <f ca="1">IFERROR(__xludf.DUMMYFUNCTION("""COMPUTED_VALUE"""),37622)</f>
        <v>37622</v>
      </c>
      <c r="J3910" s="2">
        <f ca="1">IFERROR(__xludf.DUMMYFUNCTION("""COMPUTED_VALUE"""),37986)</f>
        <v>37986</v>
      </c>
    </row>
    <row r="3911" spans="1:10" x14ac:dyDescent="0.25">
      <c r="A3911" s="1" t="str">
        <f ca="1">IFERROR(__xludf.DUMMYFUNCTION("""COMPUTED_VALUE"""),"HZSE")</f>
        <v>HZSE</v>
      </c>
      <c r="B3911" s="1" t="str">
        <f ca="1">IFERROR(__xludf.DUMMYFUNCTION("""COMPUTED_VALUE"""),"Szalai Gyula dr.")</f>
        <v>Szalai Gyula dr.</v>
      </c>
      <c r="C3911" s="1"/>
      <c r="D3911" s="1" t="str">
        <f ca="1">IFERROR(__xludf.DUMMYFUNCTION("""COMPUTED_VALUE"""),"Férfi")</f>
        <v>Férfi</v>
      </c>
      <c r="E3911" s="1"/>
      <c r="F3911" s="1">
        <f ca="1">IFERROR(__xludf.DUMMYFUNCTION("""COMPUTED_VALUE"""),1968)</f>
        <v>1968</v>
      </c>
      <c r="G3911" s="1">
        <f ca="1">IFERROR(__xludf.DUMMYFUNCTION("""COMPUTED_VALUE"""),910)</f>
        <v>910</v>
      </c>
      <c r="H3911" s="1" t="str">
        <f ca="1">IFERROR(__xludf.DUMMYFUNCTION("""COMPUTED_VALUE"""),"MTLSZ000910A02")</f>
        <v>MTLSZ000910A02</v>
      </c>
      <c r="I3911" s="2">
        <f ca="1">IFERROR(__xludf.DUMMYFUNCTION("""COMPUTED_VALUE"""),37622)</f>
        <v>37622</v>
      </c>
      <c r="J3911" s="2">
        <f ca="1">IFERROR(__xludf.DUMMYFUNCTION("""COMPUTED_VALUE"""),37986)</f>
        <v>37986</v>
      </c>
    </row>
    <row r="3912" spans="1:10" x14ac:dyDescent="0.25">
      <c r="A3912" s="1" t="str">
        <f ca="1">IFERROR(__xludf.DUMMYFUNCTION("""COMPUTED_VALUE"""),"HZSE")</f>
        <v>HZSE</v>
      </c>
      <c r="B3912" s="1" t="str">
        <f ca="1">IFERROR(__xludf.DUMMYFUNCTION("""COMPUTED_VALUE"""),"Szarka Ágnes")</f>
        <v>Szarka Ágnes</v>
      </c>
      <c r="C3912" s="1"/>
      <c r="D3912" s="1" t="str">
        <f ca="1">IFERROR(__xludf.DUMMYFUNCTION("""COMPUTED_VALUE"""),"Nő")</f>
        <v>Nő</v>
      </c>
      <c r="E3912" s="1"/>
      <c r="F3912" s="1">
        <f ca="1">IFERROR(__xludf.DUMMYFUNCTION("""COMPUTED_VALUE"""),1984)</f>
        <v>1984</v>
      </c>
      <c r="G3912" s="1">
        <f ca="1">IFERROR(__xludf.DUMMYFUNCTION("""COMPUTED_VALUE"""),915)</f>
        <v>915</v>
      </c>
      <c r="H3912" s="1" t="str">
        <f ca="1">IFERROR(__xludf.DUMMYFUNCTION("""COMPUTED_VALUE"""),"MTLSZ000915A02")</f>
        <v>MTLSZ000915A02</v>
      </c>
      <c r="I3912" s="2">
        <f ca="1">IFERROR(__xludf.DUMMYFUNCTION("""COMPUTED_VALUE"""),37622)</f>
        <v>37622</v>
      </c>
      <c r="J3912" s="2">
        <f ca="1">IFERROR(__xludf.DUMMYFUNCTION("""COMPUTED_VALUE"""),37986)</f>
        <v>37986</v>
      </c>
    </row>
    <row r="3913" spans="1:10" x14ac:dyDescent="0.25">
      <c r="A3913" s="1" t="str">
        <f ca="1">IFERROR(__xludf.DUMMYFUNCTION("""COMPUTED_VALUE"""),"HZSE")</f>
        <v>HZSE</v>
      </c>
      <c r="B3913" s="1" t="str">
        <f ca="1">IFERROR(__xludf.DUMMYFUNCTION("""COMPUTED_VALUE"""),"Szvatkó Csaba")</f>
        <v>Szvatkó Csaba</v>
      </c>
      <c r="C3913" s="1"/>
      <c r="D3913" s="1" t="str">
        <f ca="1">IFERROR(__xludf.DUMMYFUNCTION("""COMPUTED_VALUE"""),"Férfi")</f>
        <v>Férfi</v>
      </c>
      <c r="E3913" s="1"/>
      <c r="F3913" s="1">
        <f ca="1">IFERROR(__xludf.DUMMYFUNCTION("""COMPUTED_VALUE"""),1973)</f>
        <v>1973</v>
      </c>
      <c r="G3913" s="1">
        <f ca="1">IFERROR(__xludf.DUMMYFUNCTION("""COMPUTED_VALUE"""),981)</f>
        <v>981</v>
      </c>
      <c r="H3913" s="1" t="str">
        <f ca="1">IFERROR(__xludf.DUMMYFUNCTION("""COMPUTED_VALUE"""),"MTLSZ000981A02")</f>
        <v>MTLSZ000981A02</v>
      </c>
      <c r="I3913" s="2">
        <f ca="1">IFERROR(__xludf.DUMMYFUNCTION("""COMPUTED_VALUE"""),37622)</f>
        <v>37622</v>
      </c>
      <c r="J3913" s="2">
        <f ca="1">IFERROR(__xludf.DUMMYFUNCTION("""COMPUTED_VALUE"""),37986)</f>
        <v>37986</v>
      </c>
    </row>
    <row r="3914" spans="1:10" x14ac:dyDescent="0.25">
      <c r="A3914" s="1" t="str">
        <f ca="1">IFERROR(__xludf.DUMMYFUNCTION("""COMPUTED_VALUE"""),"HZSE")</f>
        <v>HZSE</v>
      </c>
      <c r="B3914" s="1" t="str">
        <f ca="1">IFERROR(__xludf.DUMMYFUNCTION("""COMPUTED_VALUE"""),"Vígh Ildikó")</f>
        <v>Vígh Ildikó</v>
      </c>
      <c r="C3914" s="1"/>
      <c r="D3914" s="1" t="str">
        <f ca="1">IFERROR(__xludf.DUMMYFUNCTION("""COMPUTED_VALUE"""),"Nő")</f>
        <v>Nő</v>
      </c>
      <c r="E3914" s="1"/>
      <c r="F3914" s="1">
        <f ca="1">IFERROR(__xludf.DUMMYFUNCTION("""COMPUTED_VALUE"""),1962)</f>
        <v>1962</v>
      </c>
      <c r="G3914" s="1">
        <f ca="1">IFERROR(__xludf.DUMMYFUNCTION("""COMPUTED_VALUE"""),1122)</f>
        <v>1122</v>
      </c>
      <c r="H3914" s="1" t="str">
        <f ca="1">IFERROR(__xludf.DUMMYFUNCTION("""COMPUTED_VALUE"""),"MTLSZ001122A02")</f>
        <v>MTLSZ001122A02</v>
      </c>
      <c r="I3914" s="2">
        <f ca="1">IFERROR(__xludf.DUMMYFUNCTION("""COMPUTED_VALUE"""),37622)</f>
        <v>37622</v>
      </c>
      <c r="J3914" s="2">
        <f ca="1">IFERROR(__xludf.DUMMYFUNCTION("""COMPUTED_VALUE"""),37986)</f>
        <v>37986</v>
      </c>
    </row>
    <row r="3915" spans="1:10" x14ac:dyDescent="0.25">
      <c r="A3915" s="1" t="str">
        <f ca="1">IFERROR(__xludf.DUMMYFUNCTION("""COMPUTED_VALUE"""),"HZSE")</f>
        <v>HZSE</v>
      </c>
      <c r="B3915" s="1" t="str">
        <f ca="1">IFERROR(__xludf.DUMMYFUNCTION("""COMPUTED_VALUE"""),"Windisch Gergely")</f>
        <v>Windisch Gergely</v>
      </c>
      <c r="C3915" s="1"/>
      <c r="D3915" s="1" t="str">
        <f ca="1">IFERROR(__xludf.DUMMYFUNCTION("""COMPUTED_VALUE"""),"Férfi")</f>
        <v>Férfi</v>
      </c>
      <c r="E3915" s="1"/>
      <c r="F3915" s="1">
        <f ca="1">IFERROR(__xludf.DUMMYFUNCTION("""COMPUTED_VALUE"""),1982)</f>
        <v>1982</v>
      </c>
      <c r="G3915" s="1">
        <f ca="1">IFERROR(__xludf.DUMMYFUNCTION("""COMPUTED_VALUE"""),1136)</f>
        <v>1136</v>
      </c>
      <c r="H3915" s="1" t="str">
        <f ca="1">IFERROR(__xludf.DUMMYFUNCTION("""COMPUTED_VALUE"""),"MTLSZ001136A02")</f>
        <v>MTLSZ001136A02</v>
      </c>
      <c r="I3915" s="2">
        <f ca="1">IFERROR(__xludf.DUMMYFUNCTION("""COMPUTED_VALUE"""),37622)</f>
        <v>37622</v>
      </c>
      <c r="J3915" s="2">
        <f ca="1">IFERROR(__xludf.DUMMYFUNCTION("""COMPUTED_VALUE"""),37986)</f>
        <v>37986</v>
      </c>
    </row>
    <row r="3916" spans="1:10" x14ac:dyDescent="0.25">
      <c r="A3916" s="1" t="str">
        <f ca="1">IFERROR(__xludf.DUMMYFUNCTION("""COMPUTED_VALUE"""),"Kaposvári Főiskolai SK")</f>
        <v>Kaposvári Főiskolai SK</v>
      </c>
      <c r="B3916" s="1" t="str">
        <f ca="1">IFERROR(__xludf.DUMMYFUNCTION("""COMPUTED_VALUE"""),"Abdai Csaba")</f>
        <v>Abdai Csaba</v>
      </c>
      <c r="C3916" s="1"/>
      <c r="D3916" s="1" t="str">
        <f ca="1">IFERROR(__xludf.DUMMYFUNCTION("""COMPUTED_VALUE"""),"Férfi")</f>
        <v>Férfi</v>
      </c>
      <c r="E3916" s="1"/>
      <c r="F3916" s="1">
        <f ca="1">IFERROR(__xludf.DUMMYFUNCTION("""COMPUTED_VALUE"""),1968)</f>
        <v>1968</v>
      </c>
      <c r="G3916" s="1">
        <f ca="1">IFERROR(__xludf.DUMMYFUNCTION("""COMPUTED_VALUE"""),8)</f>
        <v>8</v>
      </c>
      <c r="H3916" s="1" t="str">
        <f ca="1">IFERROR(__xludf.DUMMYFUNCTION("""COMPUTED_VALUE"""),"MTLSZ000008A02")</f>
        <v>MTLSZ000008A02</v>
      </c>
      <c r="I3916" s="2">
        <f ca="1">IFERROR(__xludf.DUMMYFUNCTION("""COMPUTED_VALUE"""),37622)</f>
        <v>37622</v>
      </c>
      <c r="J3916" s="2">
        <f ca="1">IFERROR(__xludf.DUMMYFUNCTION("""COMPUTED_VALUE"""),37986)</f>
        <v>37986</v>
      </c>
    </row>
    <row r="3917" spans="1:10" x14ac:dyDescent="0.25">
      <c r="A3917" s="1" t="str">
        <f ca="1">IFERROR(__xludf.DUMMYFUNCTION("""COMPUTED_VALUE"""),"Kaposvári Főiskolai SK")</f>
        <v>Kaposvári Főiskolai SK</v>
      </c>
      <c r="B3917" s="1" t="str">
        <f ca="1">IFERROR(__xludf.DUMMYFUNCTION("""COMPUTED_VALUE"""),"Bánkúti Gyöngyi Dr.")</f>
        <v>Bánkúti Gyöngyi Dr.</v>
      </c>
      <c r="C3917" s="1"/>
      <c r="D3917" s="1" t="str">
        <f ca="1">IFERROR(__xludf.DUMMYFUNCTION("""COMPUTED_VALUE"""),"Nő")</f>
        <v>Nő</v>
      </c>
      <c r="E3917" s="1"/>
      <c r="F3917" s="1">
        <f ca="1">IFERROR(__xludf.DUMMYFUNCTION("""COMPUTED_VALUE"""),1962)</f>
        <v>1962</v>
      </c>
      <c r="G3917" s="1">
        <f ca="1">IFERROR(__xludf.DUMMYFUNCTION("""COMPUTED_VALUE"""),55)</f>
        <v>55</v>
      </c>
      <c r="H3917" s="1" t="str">
        <f ca="1">IFERROR(__xludf.DUMMYFUNCTION("""COMPUTED_VALUE"""),"MTLSZ000055A02")</f>
        <v>MTLSZ000055A02</v>
      </c>
      <c r="I3917" s="2">
        <f ca="1">IFERROR(__xludf.DUMMYFUNCTION("""COMPUTED_VALUE"""),37622)</f>
        <v>37622</v>
      </c>
      <c r="J3917" s="2">
        <f ca="1">IFERROR(__xludf.DUMMYFUNCTION("""COMPUTED_VALUE"""),37986)</f>
        <v>37986</v>
      </c>
    </row>
    <row r="3918" spans="1:10" x14ac:dyDescent="0.25">
      <c r="A3918" s="1" t="str">
        <f ca="1">IFERROR(__xludf.DUMMYFUNCTION("""COMPUTED_VALUE"""),"Kaposvári Főiskolai SK")</f>
        <v>Kaposvári Főiskolai SK</v>
      </c>
      <c r="B3918" s="1" t="str">
        <f ca="1">IFERROR(__xludf.DUMMYFUNCTION("""COMPUTED_VALUE"""),"Berta Mónika")</f>
        <v>Berta Mónika</v>
      </c>
      <c r="C3918" s="1"/>
      <c r="D3918" s="1" t="str">
        <f ca="1">IFERROR(__xludf.DUMMYFUNCTION("""COMPUTED_VALUE"""),"Nő")</f>
        <v>Nő</v>
      </c>
      <c r="E3918" s="1"/>
      <c r="F3918" s="1">
        <f ca="1">IFERROR(__xludf.DUMMYFUNCTION("""COMPUTED_VALUE"""),1974)</f>
        <v>1974</v>
      </c>
      <c r="G3918" s="1">
        <f ca="1">IFERROR(__xludf.DUMMYFUNCTION("""COMPUTED_VALUE"""),82)</f>
        <v>82</v>
      </c>
      <c r="H3918" s="1" t="str">
        <f ca="1">IFERROR(__xludf.DUMMYFUNCTION("""COMPUTED_VALUE"""),"MTLSZ000082A02")</f>
        <v>MTLSZ000082A02</v>
      </c>
      <c r="I3918" s="2">
        <f ca="1">IFERROR(__xludf.DUMMYFUNCTION("""COMPUTED_VALUE"""),37622)</f>
        <v>37622</v>
      </c>
      <c r="J3918" s="2">
        <f ca="1">IFERROR(__xludf.DUMMYFUNCTION("""COMPUTED_VALUE"""),37986)</f>
        <v>37986</v>
      </c>
    </row>
    <row r="3919" spans="1:10" x14ac:dyDescent="0.25">
      <c r="A3919" s="1" t="str">
        <f ca="1">IFERROR(__xludf.DUMMYFUNCTION("""COMPUTED_VALUE"""),"Kaposvári Főiskolai SK")</f>
        <v>Kaposvári Főiskolai SK</v>
      </c>
      <c r="B3919" s="1" t="str">
        <f ca="1">IFERROR(__xludf.DUMMYFUNCTION("""COMPUTED_VALUE"""),"Gőzsy Zoltán")</f>
        <v>Gőzsy Zoltán</v>
      </c>
      <c r="C3919" s="1"/>
      <c r="D3919" s="1" t="str">
        <f ca="1">IFERROR(__xludf.DUMMYFUNCTION("""COMPUTED_VALUE"""),"Férfi")</f>
        <v>Férfi</v>
      </c>
      <c r="E3919" s="1"/>
      <c r="F3919" s="1">
        <f ca="1">IFERROR(__xludf.DUMMYFUNCTION("""COMPUTED_VALUE"""),1974)</f>
        <v>1974</v>
      </c>
      <c r="G3919" s="1">
        <f ca="1">IFERROR(__xludf.DUMMYFUNCTION("""COMPUTED_VALUE"""),303)</f>
        <v>303</v>
      </c>
      <c r="H3919" s="1" t="str">
        <f ca="1">IFERROR(__xludf.DUMMYFUNCTION("""COMPUTED_VALUE"""),"MTLSZ000303A02")</f>
        <v>MTLSZ000303A02</v>
      </c>
      <c r="I3919" s="2">
        <f ca="1">IFERROR(__xludf.DUMMYFUNCTION("""COMPUTED_VALUE"""),37622)</f>
        <v>37622</v>
      </c>
      <c r="J3919" s="2">
        <f ca="1">IFERROR(__xludf.DUMMYFUNCTION("""COMPUTED_VALUE"""),37986)</f>
        <v>37986</v>
      </c>
    </row>
    <row r="3920" spans="1:10" x14ac:dyDescent="0.25">
      <c r="A3920" s="1" t="str">
        <f ca="1">IFERROR(__xludf.DUMMYFUNCTION("""COMPUTED_VALUE"""),"Kaposvári Főiskolai SK")</f>
        <v>Kaposvári Főiskolai SK</v>
      </c>
      <c r="B3920" s="1" t="str">
        <f ca="1">IFERROR(__xludf.DUMMYFUNCTION("""COMPUTED_VALUE"""),"Gyönyörű Erika")</f>
        <v>Gyönyörű Erika</v>
      </c>
      <c r="C3920" s="1"/>
      <c r="D3920" s="1" t="str">
        <f ca="1">IFERROR(__xludf.DUMMYFUNCTION("""COMPUTED_VALUE"""),"Nő")</f>
        <v>Nő</v>
      </c>
      <c r="E3920" s="1"/>
      <c r="F3920" s="1">
        <f ca="1">IFERROR(__xludf.DUMMYFUNCTION("""COMPUTED_VALUE"""),1975)</f>
        <v>1975</v>
      </c>
      <c r="G3920" s="1">
        <f ca="1">IFERROR(__xludf.DUMMYFUNCTION("""COMPUTED_VALUE"""),324)</f>
        <v>324</v>
      </c>
      <c r="H3920" s="1" t="str">
        <f ca="1">IFERROR(__xludf.DUMMYFUNCTION("""COMPUTED_VALUE"""),"MTLSZ000324A02")</f>
        <v>MTLSZ000324A02</v>
      </c>
      <c r="I3920" s="2">
        <f ca="1">IFERROR(__xludf.DUMMYFUNCTION("""COMPUTED_VALUE"""),37622)</f>
        <v>37622</v>
      </c>
      <c r="J3920" s="2">
        <f ca="1">IFERROR(__xludf.DUMMYFUNCTION("""COMPUTED_VALUE"""),37986)</f>
        <v>37986</v>
      </c>
    </row>
    <row r="3921" spans="1:10" x14ac:dyDescent="0.25">
      <c r="A3921" s="1" t="str">
        <f ca="1">IFERROR(__xludf.DUMMYFUNCTION("""COMPUTED_VALUE"""),"Kaposvári Főiskolai SK")</f>
        <v>Kaposvári Főiskolai SK</v>
      </c>
      <c r="B3921" s="1" t="str">
        <f ca="1">IFERROR(__xludf.DUMMYFUNCTION("""COMPUTED_VALUE"""),"Hegedüs György dr.")</f>
        <v>Hegedüs György dr.</v>
      </c>
      <c r="C3921" s="1"/>
      <c r="D3921" s="1" t="str">
        <f ca="1">IFERROR(__xludf.DUMMYFUNCTION("""COMPUTED_VALUE"""),"Férfi")</f>
        <v>Férfi</v>
      </c>
      <c r="E3921" s="1"/>
      <c r="F3921" s="1">
        <f ca="1">IFERROR(__xludf.DUMMYFUNCTION("""COMPUTED_VALUE"""),1951)</f>
        <v>1951</v>
      </c>
      <c r="G3921" s="1">
        <f ca="1">IFERROR(__xludf.DUMMYFUNCTION("""COMPUTED_VALUE"""),352)</f>
        <v>352</v>
      </c>
      <c r="H3921" s="1" t="str">
        <f ca="1">IFERROR(__xludf.DUMMYFUNCTION("""COMPUTED_VALUE"""),"MTLSZ000352A02")</f>
        <v>MTLSZ000352A02</v>
      </c>
      <c r="I3921" s="2">
        <f ca="1">IFERROR(__xludf.DUMMYFUNCTION("""COMPUTED_VALUE"""),37622)</f>
        <v>37622</v>
      </c>
      <c r="J3921" s="2">
        <f ca="1">IFERROR(__xludf.DUMMYFUNCTION("""COMPUTED_VALUE"""),37986)</f>
        <v>37986</v>
      </c>
    </row>
    <row r="3922" spans="1:10" x14ac:dyDescent="0.25">
      <c r="A3922" s="1" t="str">
        <f ca="1">IFERROR(__xludf.DUMMYFUNCTION("""COMPUTED_VALUE"""),"Kaposvári Főiskolai SK")</f>
        <v>Kaposvári Főiskolai SK</v>
      </c>
      <c r="B3922" s="1" t="str">
        <f ca="1">IFERROR(__xludf.DUMMYFUNCTION("""COMPUTED_VALUE"""),"Kispál Gyula")</f>
        <v>Kispál Gyula</v>
      </c>
      <c r="C3922" s="1"/>
      <c r="D3922" s="1" t="str">
        <f ca="1">IFERROR(__xludf.DUMMYFUNCTION("""COMPUTED_VALUE"""),"Férfi")</f>
        <v>Férfi</v>
      </c>
      <c r="E3922" s="1"/>
      <c r="F3922" s="1">
        <f ca="1">IFERROR(__xludf.DUMMYFUNCTION("""COMPUTED_VALUE"""),1968)</f>
        <v>1968</v>
      </c>
      <c r="G3922" s="1">
        <f ca="1">IFERROR(__xludf.DUMMYFUNCTION("""COMPUTED_VALUE"""),480)</f>
        <v>480</v>
      </c>
      <c r="H3922" s="1" t="str">
        <f ca="1">IFERROR(__xludf.DUMMYFUNCTION("""COMPUTED_VALUE"""),"MTLSZ000480A02")</f>
        <v>MTLSZ000480A02</v>
      </c>
      <c r="I3922" s="2">
        <f ca="1">IFERROR(__xludf.DUMMYFUNCTION("""COMPUTED_VALUE"""),37622)</f>
        <v>37622</v>
      </c>
      <c r="J3922" s="2">
        <f ca="1">IFERROR(__xludf.DUMMYFUNCTION("""COMPUTED_VALUE"""),37986)</f>
        <v>37986</v>
      </c>
    </row>
    <row r="3923" spans="1:10" x14ac:dyDescent="0.25">
      <c r="A3923" s="1" t="str">
        <f ca="1">IFERROR(__xludf.DUMMYFUNCTION("""COMPUTED_VALUE"""),"Kaposvári Főiskolai SK")</f>
        <v>Kaposvári Főiskolai SK</v>
      </c>
      <c r="B3923" s="1" t="str">
        <f ca="1">IFERROR(__xludf.DUMMYFUNCTION("""COMPUTED_VALUE"""),"Kovács Krisztián")</f>
        <v>Kovács Krisztián</v>
      </c>
      <c r="C3923" s="1"/>
      <c r="D3923" s="1" t="str">
        <f ca="1">IFERROR(__xludf.DUMMYFUNCTION("""COMPUTED_VALUE"""),"Férfi")</f>
        <v>Férfi</v>
      </c>
      <c r="E3923" s="1"/>
      <c r="F3923" s="1">
        <f ca="1">IFERROR(__xludf.DUMMYFUNCTION("""COMPUTED_VALUE"""),1984)</f>
        <v>1984</v>
      </c>
      <c r="G3923" s="1">
        <f ca="1">IFERROR(__xludf.DUMMYFUNCTION("""COMPUTED_VALUE"""),535)</f>
        <v>535</v>
      </c>
      <c r="H3923" s="1" t="str">
        <f ca="1">IFERROR(__xludf.DUMMYFUNCTION("""COMPUTED_VALUE"""),"MTLSZ000535A02")</f>
        <v>MTLSZ000535A02</v>
      </c>
      <c r="I3923" s="2">
        <f ca="1">IFERROR(__xludf.DUMMYFUNCTION("""COMPUTED_VALUE"""),37622)</f>
        <v>37622</v>
      </c>
      <c r="J3923" s="2">
        <f ca="1">IFERROR(__xludf.DUMMYFUNCTION("""COMPUTED_VALUE"""),37986)</f>
        <v>37986</v>
      </c>
    </row>
    <row r="3924" spans="1:10" x14ac:dyDescent="0.25">
      <c r="A3924" s="1" t="str">
        <f ca="1">IFERROR(__xludf.DUMMYFUNCTION("""COMPUTED_VALUE"""),"Kaposvári Főiskolai SK")</f>
        <v>Kaposvári Főiskolai SK</v>
      </c>
      <c r="B3924" s="1" t="str">
        <f ca="1">IFERROR(__xludf.DUMMYFUNCTION("""COMPUTED_VALUE"""),"Lábodi Tamás")</f>
        <v>Lábodi Tamás</v>
      </c>
      <c r="C3924" s="1"/>
      <c r="D3924" s="1" t="str">
        <f ca="1">IFERROR(__xludf.DUMMYFUNCTION("""COMPUTED_VALUE"""),"Férfi")</f>
        <v>Férfi</v>
      </c>
      <c r="E3924" s="1"/>
      <c r="F3924" s="1">
        <f ca="1">IFERROR(__xludf.DUMMYFUNCTION("""COMPUTED_VALUE"""),1974)</f>
        <v>1974</v>
      </c>
      <c r="G3924" s="1">
        <f ca="1">IFERROR(__xludf.DUMMYFUNCTION("""COMPUTED_VALUE"""),562)</f>
        <v>562</v>
      </c>
      <c r="H3924" s="1" t="str">
        <f ca="1">IFERROR(__xludf.DUMMYFUNCTION("""COMPUTED_VALUE"""),"MTLSZ000562A02")</f>
        <v>MTLSZ000562A02</v>
      </c>
      <c r="I3924" s="2">
        <f ca="1">IFERROR(__xludf.DUMMYFUNCTION("""COMPUTED_VALUE"""),37622)</f>
        <v>37622</v>
      </c>
      <c r="J3924" s="2">
        <f ca="1">IFERROR(__xludf.DUMMYFUNCTION("""COMPUTED_VALUE"""),37986)</f>
        <v>37986</v>
      </c>
    </row>
    <row r="3925" spans="1:10" x14ac:dyDescent="0.25">
      <c r="A3925" s="1" t="str">
        <f ca="1">IFERROR(__xludf.DUMMYFUNCTION("""COMPUTED_VALUE"""),"Kaposvári Főiskolai SK")</f>
        <v>Kaposvári Főiskolai SK</v>
      </c>
      <c r="B3925" s="1" t="str">
        <f ca="1">IFERROR(__xludf.DUMMYFUNCTION("""COMPUTED_VALUE"""),"Major Edit")</f>
        <v>Major Edit</v>
      </c>
      <c r="C3925" s="1"/>
      <c r="D3925" s="1" t="str">
        <f ca="1">IFERROR(__xludf.DUMMYFUNCTION("""COMPUTED_VALUE"""),"Nő")</f>
        <v>Nő</v>
      </c>
      <c r="E3925" s="1"/>
      <c r="F3925" s="1">
        <f ca="1">IFERROR(__xludf.DUMMYFUNCTION("""COMPUTED_VALUE"""),2000)</f>
        <v>2000</v>
      </c>
      <c r="G3925" s="1">
        <f ca="1">IFERROR(__xludf.DUMMYFUNCTION("""COMPUTED_VALUE"""),608)</f>
        <v>608</v>
      </c>
      <c r="H3925" s="1" t="str">
        <f ca="1">IFERROR(__xludf.DUMMYFUNCTION("""COMPUTED_VALUE"""),"MTLSZ000608A02")</f>
        <v>MTLSZ000608A02</v>
      </c>
      <c r="I3925" s="2">
        <f ca="1">IFERROR(__xludf.DUMMYFUNCTION("""COMPUTED_VALUE"""),37622)</f>
        <v>37622</v>
      </c>
      <c r="J3925" s="2">
        <f ca="1">IFERROR(__xludf.DUMMYFUNCTION("""COMPUTED_VALUE"""),37986)</f>
        <v>37986</v>
      </c>
    </row>
    <row r="3926" spans="1:10" x14ac:dyDescent="0.25">
      <c r="A3926" s="1" t="str">
        <f ca="1">IFERROR(__xludf.DUMMYFUNCTION("""COMPUTED_VALUE"""),"Kaposvári Főiskolai SK")</f>
        <v>Kaposvári Főiskolai SK</v>
      </c>
      <c r="B3926" s="1" t="str">
        <f ca="1">IFERROR(__xludf.DUMMYFUNCTION("""COMPUTED_VALUE"""),"Pavlényi Hajnalka")</f>
        <v>Pavlényi Hajnalka</v>
      </c>
      <c r="C3926" s="1"/>
      <c r="D3926" s="1" t="str">
        <f ca="1">IFERROR(__xludf.DUMMYFUNCTION("""COMPUTED_VALUE"""),"Nő")</f>
        <v>Nő</v>
      </c>
      <c r="E3926" s="1"/>
      <c r="F3926" s="1">
        <f ca="1">IFERROR(__xludf.DUMMYFUNCTION("""COMPUTED_VALUE"""),1975)</f>
        <v>1975</v>
      </c>
      <c r="G3926" s="1">
        <f ca="1">IFERROR(__xludf.DUMMYFUNCTION("""COMPUTED_VALUE"""),763)</f>
        <v>763</v>
      </c>
      <c r="H3926" s="1" t="str">
        <f ca="1">IFERROR(__xludf.DUMMYFUNCTION("""COMPUTED_VALUE"""),"MTLSZ000763A02")</f>
        <v>MTLSZ000763A02</v>
      </c>
      <c r="I3926" s="2">
        <f ca="1">IFERROR(__xludf.DUMMYFUNCTION("""COMPUTED_VALUE"""),37622)</f>
        <v>37622</v>
      </c>
      <c r="J3926" s="2">
        <f ca="1">IFERROR(__xludf.DUMMYFUNCTION("""COMPUTED_VALUE"""),37986)</f>
        <v>37986</v>
      </c>
    </row>
    <row r="3927" spans="1:10" x14ac:dyDescent="0.25">
      <c r="A3927" s="1" t="str">
        <f ca="1">IFERROR(__xludf.DUMMYFUNCTION("""COMPUTED_VALUE"""),"Kaposvári Főiskolai SK")</f>
        <v>Kaposvári Főiskolai SK</v>
      </c>
      <c r="B3927" s="1" t="str">
        <f ca="1">IFERROR(__xludf.DUMMYFUNCTION("""COMPUTED_VALUE"""),"Rácz Károly")</f>
        <v>Rácz Károly</v>
      </c>
      <c r="C3927" s="1"/>
      <c r="D3927" s="1" t="str">
        <f ca="1">IFERROR(__xludf.DUMMYFUNCTION("""COMPUTED_VALUE"""),"Férfi")</f>
        <v>Férfi</v>
      </c>
      <c r="E3927" s="1"/>
      <c r="F3927" s="1">
        <f ca="1">IFERROR(__xludf.DUMMYFUNCTION("""COMPUTED_VALUE"""),1953)</f>
        <v>1953</v>
      </c>
      <c r="G3927" s="1">
        <f ca="1">IFERROR(__xludf.DUMMYFUNCTION("""COMPUTED_VALUE"""),795)</f>
        <v>795</v>
      </c>
      <c r="H3927" s="1" t="str">
        <f ca="1">IFERROR(__xludf.DUMMYFUNCTION("""COMPUTED_VALUE"""),"MTLSZ000795A02")</f>
        <v>MTLSZ000795A02</v>
      </c>
      <c r="I3927" s="2">
        <f ca="1">IFERROR(__xludf.DUMMYFUNCTION("""COMPUTED_VALUE"""),37622)</f>
        <v>37622</v>
      </c>
      <c r="J3927" s="2">
        <f ca="1">IFERROR(__xludf.DUMMYFUNCTION("""COMPUTED_VALUE"""),37986)</f>
        <v>37986</v>
      </c>
    </row>
    <row r="3928" spans="1:10" x14ac:dyDescent="0.25">
      <c r="A3928" s="1" t="str">
        <f ca="1">IFERROR(__xludf.DUMMYFUNCTION("""COMPUTED_VALUE"""),"Kaposvári Főiskolai SK")</f>
        <v>Kaposvári Főiskolai SK</v>
      </c>
      <c r="B3928" s="1" t="str">
        <f ca="1">IFERROR(__xludf.DUMMYFUNCTION("""COMPUTED_VALUE"""),"Sőregi Melinda")</f>
        <v>Sőregi Melinda</v>
      </c>
      <c r="C3928" s="1"/>
      <c r="D3928" s="1" t="str">
        <f ca="1">IFERROR(__xludf.DUMMYFUNCTION("""COMPUTED_VALUE"""),"Nő")</f>
        <v>Nő</v>
      </c>
      <c r="E3928" s="1"/>
      <c r="F3928" s="1">
        <f ca="1">IFERROR(__xludf.DUMMYFUNCTION("""COMPUTED_VALUE"""),1979)</f>
        <v>1979</v>
      </c>
      <c r="G3928" s="1">
        <f ca="1">IFERROR(__xludf.DUMMYFUNCTION("""COMPUTED_VALUE"""),866)</f>
        <v>866</v>
      </c>
      <c r="H3928" s="1" t="str">
        <f ca="1">IFERROR(__xludf.DUMMYFUNCTION("""COMPUTED_VALUE"""),"MTLSZ000866A02")</f>
        <v>MTLSZ000866A02</v>
      </c>
      <c r="I3928" s="2">
        <f ca="1">IFERROR(__xludf.DUMMYFUNCTION("""COMPUTED_VALUE"""),37622)</f>
        <v>37622</v>
      </c>
      <c r="J3928" s="2">
        <f ca="1">IFERROR(__xludf.DUMMYFUNCTION("""COMPUTED_VALUE"""),37986)</f>
        <v>37986</v>
      </c>
    </row>
    <row r="3929" spans="1:10" x14ac:dyDescent="0.25">
      <c r="A3929" s="1" t="str">
        <f ca="1">IFERROR(__xludf.DUMMYFUNCTION("""COMPUTED_VALUE"""),"Kaposvári Főiskolai SK")</f>
        <v>Kaposvári Főiskolai SK</v>
      </c>
      <c r="B3929" s="1" t="str">
        <f ca="1">IFERROR(__xludf.DUMMYFUNCTION("""COMPUTED_VALUE"""),"Tokai Tamás")</f>
        <v>Tokai Tamás</v>
      </c>
      <c r="C3929" s="1"/>
      <c r="D3929" s="1" t="str">
        <f ca="1">IFERROR(__xludf.DUMMYFUNCTION("""COMPUTED_VALUE"""),"Férfi")</f>
        <v>Férfi</v>
      </c>
      <c r="E3929" s="1"/>
      <c r="F3929" s="1">
        <f ca="1">IFERROR(__xludf.DUMMYFUNCTION("""COMPUTED_VALUE"""),1985)</f>
        <v>1985</v>
      </c>
      <c r="G3929" s="1">
        <f ca="1">IFERROR(__xludf.DUMMYFUNCTION("""COMPUTED_VALUE"""),1010)</f>
        <v>1010</v>
      </c>
      <c r="H3929" s="1" t="str">
        <f ca="1">IFERROR(__xludf.DUMMYFUNCTION("""COMPUTED_VALUE"""),"MTLSZ001010A02")</f>
        <v>MTLSZ001010A02</v>
      </c>
      <c r="I3929" s="2">
        <f ca="1">IFERROR(__xludf.DUMMYFUNCTION("""COMPUTED_VALUE"""),37622)</f>
        <v>37622</v>
      </c>
      <c r="J3929" s="2">
        <f ca="1">IFERROR(__xludf.DUMMYFUNCTION("""COMPUTED_VALUE"""),37986)</f>
        <v>37986</v>
      </c>
    </row>
    <row r="3930" spans="1:10" x14ac:dyDescent="0.25">
      <c r="A3930" s="1" t="str">
        <f ca="1">IFERROR(__xludf.DUMMYFUNCTION("""COMPUTED_VALUE"""),"Kaposvári Főiskolai SK")</f>
        <v>Kaposvári Főiskolai SK</v>
      </c>
      <c r="B3930" s="1" t="str">
        <f ca="1">IFERROR(__xludf.DUMMYFUNCTION("""COMPUTED_VALUE"""),"Tóth Iván")</f>
        <v>Tóth Iván</v>
      </c>
      <c r="C3930" s="1"/>
      <c r="D3930" s="1" t="str">
        <f ca="1">IFERROR(__xludf.DUMMYFUNCTION("""COMPUTED_VALUE"""),"Férfi")</f>
        <v>Férfi</v>
      </c>
      <c r="E3930" s="1"/>
      <c r="F3930" s="1">
        <f ca="1">IFERROR(__xludf.DUMMYFUNCTION("""COMPUTED_VALUE"""),1953)</f>
        <v>1953</v>
      </c>
      <c r="G3930" s="1">
        <f ca="1">IFERROR(__xludf.DUMMYFUNCTION("""COMPUTED_VALUE"""),1033)</f>
        <v>1033</v>
      </c>
      <c r="H3930" s="1" t="str">
        <f ca="1">IFERROR(__xludf.DUMMYFUNCTION("""COMPUTED_VALUE"""),"MTLSZ001033A02")</f>
        <v>MTLSZ001033A02</v>
      </c>
      <c r="I3930" s="2">
        <f ca="1">IFERROR(__xludf.DUMMYFUNCTION("""COMPUTED_VALUE"""),37622)</f>
        <v>37622</v>
      </c>
      <c r="J3930" s="2">
        <f ca="1">IFERROR(__xludf.DUMMYFUNCTION("""COMPUTED_VALUE"""),37986)</f>
        <v>37986</v>
      </c>
    </row>
    <row r="3931" spans="1:10" x14ac:dyDescent="0.25">
      <c r="A3931" s="1" t="str">
        <f ca="1">IFERROR(__xludf.DUMMYFUNCTION("""COMPUTED_VALUE"""),"Kaposvári Főiskolai SK")</f>
        <v>Kaposvári Főiskolai SK</v>
      </c>
      <c r="B3931" s="1" t="str">
        <f ca="1">IFERROR(__xludf.DUMMYFUNCTION("""COMPUTED_VALUE"""),"Újvári Lajos")</f>
        <v>Újvári Lajos</v>
      </c>
      <c r="C3931" s="1"/>
      <c r="D3931" s="1" t="str">
        <f ca="1">IFERROR(__xludf.DUMMYFUNCTION("""COMPUTED_VALUE"""),"Férfi")</f>
        <v>Férfi</v>
      </c>
      <c r="E3931" s="1"/>
      <c r="F3931" s="1">
        <f ca="1">IFERROR(__xludf.DUMMYFUNCTION("""COMPUTED_VALUE"""),1956)</f>
        <v>1956</v>
      </c>
      <c r="G3931" s="1">
        <f ca="1">IFERROR(__xludf.DUMMYFUNCTION("""COMPUTED_VALUE"""),1073)</f>
        <v>1073</v>
      </c>
      <c r="H3931" s="1" t="str">
        <f ca="1">IFERROR(__xludf.DUMMYFUNCTION("""COMPUTED_VALUE"""),"MTLSZ001073A02")</f>
        <v>MTLSZ001073A02</v>
      </c>
      <c r="I3931" s="2">
        <f ca="1">IFERROR(__xludf.DUMMYFUNCTION("""COMPUTED_VALUE"""),37622)</f>
        <v>37622</v>
      </c>
      <c r="J3931" s="2">
        <f ca="1">IFERROR(__xludf.DUMMYFUNCTION("""COMPUTED_VALUE"""),37986)</f>
        <v>37986</v>
      </c>
    </row>
    <row r="3932" spans="1:10" x14ac:dyDescent="0.25">
      <c r="A3932" s="1" t="str">
        <f ca="1">IFERROR(__xludf.DUMMYFUNCTION("""COMPUTED_VALUE"""),"Kaposvári Főiskolai SK")</f>
        <v>Kaposvári Főiskolai SK</v>
      </c>
      <c r="B3932" s="1" t="str">
        <f ca="1">IFERROR(__xludf.DUMMYFUNCTION("""COMPUTED_VALUE"""),"Vadkerti-Tóth Anita")</f>
        <v>Vadkerti-Tóth Anita</v>
      </c>
      <c r="C3932" s="1"/>
      <c r="D3932" s="1" t="str">
        <f ca="1">IFERROR(__xludf.DUMMYFUNCTION("""COMPUTED_VALUE"""),"Nő")</f>
        <v>Nő</v>
      </c>
      <c r="E3932" s="1"/>
      <c r="F3932" s="1">
        <f ca="1">IFERROR(__xludf.DUMMYFUNCTION("""COMPUTED_VALUE"""),1968)</f>
        <v>1968</v>
      </c>
      <c r="G3932" s="1">
        <f ca="1">IFERROR(__xludf.DUMMYFUNCTION("""COMPUTED_VALUE"""),1078)</f>
        <v>1078</v>
      </c>
      <c r="H3932" s="1" t="str">
        <f ca="1">IFERROR(__xludf.DUMMYFUNCTION("""COMPUTED_VALUE"""),"MTLSZ001078A02")</f>
        <v>MTLSZ001078A02</v>
      </c>
      <c r="I3932" s="2">
        <f ca="1">IFERROR(__xludf.DUMMYFUNCTION("""COMPUTED_VALUE"""),37622)</f>
        <v>37622</v>
      </c>
      <c r="J3932" s="2">
        <f ca="1">IFERROR(__xludf.DUMMYFUNCTION("""COMPUTED_VALUE"""),37986)</f>
        <v>37986</v>
      </c>
    </row>
    <row r="3933" spans="1:10" x14ac:dyDescent="0.25">
      <c r="A3933" s="1" t="str">
        <f ca="1">IFERROR(__xludf.DUMMYFUNCTION("""COMPUTED_VALUE"""),"Kecskmetéti TBK")</f>
        <v>Kecskmetéti TBK</v>
      </c>
      <c r="B3933" s="1" t="str">
        <f ca="1">IFERROR(__xludf.DUMMYFUNCTION("""COMPUTED_VALUE"""),"Gesztes Balázs")</f>
        <v>Gesztes Balázs</v>
      </c>
      <c r="C3933" s="1"/>
      <c r="D3933" s="1" t="str">
        <f ca="1">IFERROR(__xludf.DUMMYFUNCTION("""COMPUTED_VALUE"""),"Férfi")</f>
        <v>Férfi</v>
      </c>
      <c r="E3933" s="1"/>
      <c r="F3933" s="1">
        <f ca="1">IFERROR(__xludf.DUMMYFUNCTION("""COMPUTED_VALUE"""),1971)</f>
        <v>1971</v>
      </c>
      <c r="G3933" s="1">
        <f ca="1">IFERROR(__xludf.DUMMYFUNCTION("""COMPUTED_VALUE"""),294)</f>
        <v>294</v>
      </c>
      <c r="H3933" s="1" t="str">
        <f ca="1">IFERROR(__xludf.DUMMYFUNCTION("""COMPUTED_VALUE"""),"MTLSZ000294A02")</f>
        <v>MTLSZ000294A02</v>
      </c>
      <c r="I3933" s="2">
        <f ca="1">IFERROR(__xludf.DUMMYFUNCTION("""COMPUTED_VALUE"""),37622)</f>
        <v>37622</v>
      </c>
      <c r="J3933" s="2">
        <f ca="1">IFERROR(__xludf.DUMMYFUNCTION("""COMPUTED_VALUE"""),37986)</f>
        <v>37986</v>
      </c>
    </row>
    <row r="3934" spans="1:10" x14ac:dyDescent="0.25">
      <c r="A3934" s="1" t="str">
        <f ca="1">IFERROR(__xludf.DUMMYFUNCTION("""COMPUTED_VALUE"""),"Kecskmetéti TBK")</f>
        <v>Kecskmetéti TBK</v>
      </c>
      <c r="B3934" s="1" t="str">
        <f ca="1">IFERROR(__xludf.DUMMYFUNCTION("""COMPUTED_VALUE"""),"Harsányi Erik")</f>
        <v>Harsányi Erik</v>
      </c>
      <c r="C3934" s="1"/>
      <c r="D3934" s="1" t="str">
        <f ca="1">IFERROR(__xludf.DUMMYFUNCTION("""COMPUTED_VALUE"""),"Férfi")</f>
        <v>Férfi</v>
      </c>
      <c r="E3934" s="1"/>
      <c r="F3934" s="1">
        <f ca="1">IFERROR(__xludf.DUMMYFUNCTION("""COMPUTED_VALUE"""),1988)</f>
        <v>1988</v>
      </c>
      <c r="G3934" s="1">
        <f ca="1">IFERROR(__xludf.DUMMYFUNCTION("""COMPUTED_VALUE"""),345)</f>
        <v>345</v>
      </c>
      <c r="H3934" s="1" t="str">
        <f ca="1">IFERROR(__xludf.DUMMYFUNCTION("""COMPUTED_VALUE"""),"MTLSZ000345A02")</f>
        <v>MTLSZ000345A02</v>
      </c>
      <c r="I3934" s="2">
        <f ca="1">IFERROR(__xludf.DUMMYFUNCTION("""COMPUTED_VALUE"""),37622)</f>
        <v>37622</v>
      </c>
      <c r="J3934" s="2">
        <f ca="1">IFERROR(__xludf.DUMMYFUNCTION("""COMPUTED_VALUE"""),37986)</f>
        <v>37986</v>
      </c>
    </row>
    <row r="3935" spans="1:10" x14ac:dyDescent="0.25">
      <c r="A3935" s="1" t="str">
        <f ca="1">IFERROR(__xludf.DUMMYFUNCTION("""COMPUTED_VALUE"""),"Kecskmetéti TBK")</f>
        <v>Kecskmetéti TBK</v>
      </c>
      <c r="B3935" s="1" t="str">
        <f ca="1">IFERROR(__xludf.DUMMYFUNCTION("""COMPUTED_VALUE"""),"Madi Tibor")</f>
        <v>Madi Tibor</v>
      </c>
      <c r="C3935" s="1"/>
      <c r="D3935" s="1" t="str">
        <f ca="1">IFERROR(__xludf.DUMMYFUNCTION("""COMPUTED_VALUE"""),"Férfi")</f>
        <v>Férfi</v>
      </c>
      <c r="E3935" s="1"/>
      <c r="F3935" s="1">
        <f ca="1">IFERROR(__xludf.DUMMYFUNCTION("""COMPUTED_VALUE"""),1962)</f>
        <v>1962</v>
      </c>
      <c r="G3935" s="1">
        <f ca="1">IFERROR(__xludf.DUMMYFUNCTION("""COMPUTED_VALUE"""),603)</f>
        <v>603</v>
      </c>
      <c r="H3935" s="1" t="str">
        <f ca="1">IFERROR(__xludf.DUMMYFUNCTION("""COMPUTED_VALUE"""),"MTLSZ000603A02")</f>
        <v>MTLSZ000603A02</v>
      </c>
      <c r="I3935" s="2">
        <f ca="1">IFERROR(__xludf.DUMMYFUNCTION("""COMPUTED_VALUE"""),37622)</f>
        <v>37622</v>
      </c>
      <c r="J3935" s="2">
        <f ca="1">IFERROR(__xludf.DUMMYFUNCTION("""COMPUTED_VALUE"""),37986)</f>
        <v>37986</v>
      </c>
    </row>
    <row r="3936" spans="1:10" x14ac:dyDescent="0.25">
      <c r="A3936" s="1" t="str">
        <f ca="1">IFERROR(__xludf.DUMMYFUNCTION("""COMPUTED_VALUE"""),"Kecskmetéti TBK")</f>
        <v>Kecskmetéti TBK</v>
      </c>
      <c r="B3936" s="1" t="str">
        <f ca="1">IFERROR(__xludf.DUMMYFUNCTION("""COMPUTED_VALUE"""),"Mag Edit")</f>
        <v>Mag Edit</v>
      </c>
      <c r="C3936" s="1"/>
      <c r="D3936" s="1" t="str">
        <f ca="1">IFERROR(__xludf.DUMMYFUNCTION("""COMPUTED_VALUE"""),"Nő")</f>
        <v>Nő</v>
      </c>
      <c r="E3936" s="1"/>
      <c r="F3936" s="1">
        <f ca="1">IFERROR(__xludf.DUMMYFUNCTION("""COMPUTED_VALUE"""),1973)</f>
        <v>1973</v>
      </c>
      <c r="G3936" s="1">
        <f ca="1">IFERROR(__xludf.DUMMYFUNCTION("""COMPUTED_VALUE"""),604)</f>
        <v>604</v>
      </c>
      <c r="H3936" s="1" t="str">
        <f ca="1">IFERROR(__xludf.DUMMYFUNCTION("""COMPUTED_VALUE"""),"MTLSZ000604A02")</f>
        <v>MTLSZ000604A02</v>
      </c>
      <c r="I3936" s="2">
        <f ca="1">IFERROR(__xludf.DUMMYFUNCTION("""COMPUTED_VALUE"""),37622)</f>
        <v>37622</v>
      </c>
      <c r="J3936" s="2">
        <f ca="1">IFERROR(__xludf.DUMMYFUNCTION("""COMPUTED_VALUE"""),37986)</f>
        <v>37986</v>
      </c>
    </row>
    <row r="3937" spans="1:10" x14ac:dyDescent="0.25">
      <c r="A3937" s="1" t="str">
        <f ca="1">IFERROR(__xludf.DUMMYFUNCTION("""COMPUTED_VALUE"""),"Kilián Iskola DSE")</f>
        <v>Kilián Iskola DSE</v>
      </c>
      <c r="B3937" s="1" t="str">
        <f ca="1">IFERROR(__xludf.DUMMYFUNCTION("""COMPUTED_VALUE"""),"Domokos Gábor")</f>
        <v>Domokos Gábor</v>
      </c>
      <c r="C3937" s="1"/>
      <c r="D3937" s="1" t="str">
        <f ca="1">IFERROR(__xludf.DUMMYFUNCTION("""COMPUTED_VALUE"""),"Férfi")</f>
        <v>Férfi</v>
      </c>
      <c r="E3937" s="1"/>
      <c r="F3937" s="1">
        <f ca="1">IFERROR(__xludf.DUMMYFUNCTION("""COMPUTED_VALUE"""),1985)</f>
        <v>1985</v>
      </c>
      <c r="G3937" s="1">
        <f ca="1">IFERROR(__xludf.DUMMYFUNCTION("""COMPUTED_VALUE"""),196)</f>
        <v>196</v>
      </c>
      <c r="H3937" s="1" t="str">
        <f ca="1">IFERROR(__xludf.DUMMYFUNCTION("""COMPUTED_VALUE"""),"MTLSZ000196A02")</f>
        <v>MTLSZ000196A02</v>
      </c>
      <c r="I3937" s="2">
        <f ca="1">IFERROR(__xludf.DUMMYFUNCTION("""COMPUTED_VALUE"""),37622)</f>
        <v>37622</v>
      </c>
      <c r="J3937" s="2">
        <f ca="1">IFERROR(__xludf.DUMMYFUNCTION("""COMPUTED_VALUE"""),37986)</f>
        <v>37986</v>
      </c>
    </row>
    <row r="3938" spans="1:10" x14ac:dyDescent="0.25">
      <c r="A3938" s="1" t="str">
        <f ca="1">IFERROR(__xludf.DUMMYFUNCTION("""COMPUTED_VALUE"""),"Kilián Iskola DSE")</f>
        <v>Kilián Iskola DSE</v>
      </c>
      <c r="B3938" s="1" t="str">
        <f ca="1">IFERROR(__xludf.DUMMYFUNCTION("""COMPUTED_VALUE"""),"Farkas Renáta")</f>
        <v>Farkas Renáta</v>
      </c>
      <c r="C3938" s="1"/>
      <c r="D3938" s="1" t="str">
        <f ca="1">IFERROR(__xludf.DUMMYFUNCTION("""COMPUTED_VALUE"""),"Nő")</f>
        <v>Nő</v>
      </c>
      <c r="E3938" s="1"/>
      <c r="F3938" s="1">
        <f ca="1">IFERROR(__xludf.DUMMYFUNCTION("""COMPUTED_VALUE"""),1990)</f>
        <v>1990</v>
      </c>
      <c r="G3938" s="1">
        <f ca="1">IFERROR(__xludf.DUMMYFUNCTION("""COMPUTED_VALUE"""),231)</f>
        <v>231</v>
      </c>
      <c r="H3938" s="1" t="str">
        <f ca="1">IFERROR(__xludf.DUMMYFUNCTION("""COMPUTED_VALUE"""),"MTLSZ000231A02")</f>
        <v>MTLSZ000231A02</v>
      </c>
      <c r="I3938" s="2">
        <f ca="1">IFERROR(__xludf.DUMMYFUNCTION("""COMPUTED_VALUE"""),37622)</f>
        <v>37622</v>
      </c>
      <c r="J3938" s="2">
        <f ca="1">IFERROR(__xludf.DUMMYFUNCTION("""COMPUTED_VALUE"""),37986)</f>
        <v>37986</v>
      </c>
    </row>
    <row r="3939" spans="1:10" x14ac:dyDescent="0.25">
      <c r="A3939" s="1" t="str">
        <f ca="1">IFERROR(__xludf.DUMMYFUNCTION("""COMPUTED_VALUE"""),"Kilián Iskola DSE")</f>
        <v>Kilián Iskola DSE</v>
      </c>
      <c r="B3939" s="1" t="str">
        <f ca="1">IFERROR(__xludf.DUMMYFUNCTION("""COMPUTED_VALUE"""),"Gáti Balázs")</f>
        <v>Gáti Balázs</v>
      </c>
      <c r="C3939" s="1"/>
      <c r="D3939" s="1" t="str">
        <f ca="1">IFERROR(__xludf.DUMMYFUNCTION("""COMPUTED_VALUE"""),"Férfi")</f>
        <v>Férfi</v>
      </c>
      <c r="E3939" s="1"/>
      <c r="F3939" s="1">
        <f ca="1">IFERROR(__xludf.DUMMYFUNCTION("""COMPUTED_VALUE"""),1982)</f>
        <v>1982</v>
      </c>
      <c r="G3939" s="1">
        <f ca="1">IFERROR(__xludf.DUMMYFUNCTION("""COMPUTED_VALUE"""),284)</f>
        <v>284</v>
      </c>
      <c r="H3939" s="1" t="str">
        <f ca="1">IFERROR(__xludf.DUMMYFUNCTION("""COMPUTED_VALUE"""),"MTLSZ000284A02")</f>
        <v>MTLSZ000284A02</v>
      </c>
      <c r="I3939" s="2">
        <f ca="1">IFERROR(__xludf.DUMMYFUNCTION("""COMPUTED_VALUE"""),37622)</f>
        <v>37622</v>
      </c>
      <c r="J3939" s="2">
        <f ca="1">IFERROR(__xludf.DUMMYFUNCTION("""COMPUTED_VALUE"""),37986)</f>
        <v>37986</v>
      </c>
    </row>
    <row r="3940" spans="1:10" x14ac:dyDescent="0.25">
      <c r="A3940" s="1" t="str">
        <f ca="1">IFERROR(__xludf.DUMMYFUNCTION("""COMPUTED_VALUE"""),"Kilián Iskola DSE")</f>
        <v>Kilián Iskola DSE</v>
      </c>
      <c r="B3940" s="1" t="str">
        <f ca="1">IFERROR(__xludf.DUMMYFUNCTION("""COMPUTED_VALUE"""),"Gáti Zoltán")</f>
        <v>Gáti Zoltán</v>
      </c>
      <c r="C3940" s="1"/>
      <c r="D3940" s="1" t="str">
        <f ca="1">IFERROR(__xludf.DUMMYFUNCTION("""COMPUTED_VALUE"""),"Férfi")</f>
        <v>Férfi</v>
      </c>
      <c r="E3940" s="1"/>
      <c r="F3940" s="1">
        <f ca="1">IFERROR(__xludf.DUMMYFUNCTION("""COMPUTED_VALUE"""),1984)</f>
        <v>1984</v>
      </c>
      <c r="G3940" s="1">
        <f ca="1">IFERROR(__xludf.DUMMYFUNCTION("""COMPUTED_VALUE"""),285)</f>
        <v>285</v>
      </c>
      <c r="H3940" s="1" t="str">
        <f ca="1">IFERROR(__xludf.DUMMYFUNCTION("""COMPUTED_VALUE"""),"MTLSZ000285A02")</f>
        <v>MTLSZ000285A02</v>
      </c>
      <c r="I3940" s="2">
        <f ca="1">IFERROR(__xludf.DUMMYFUNCTION("""COMPUTED_VALUE"""),37622)</f>
        <v>37622</v>
      </c>
      <c r="J3940" s="2">
        <f ca="1">IFERROR(__xludf.DUMMYFUNCTION("""COMPUTED_VALUE"""),37986)</f>
        <v>37986</v>
      </c>
    </row>
    <row r="3941" spans="1:10" x14ac:dyDescent="0.25">
      <c r="A3941" s="1" t="str">
        <f ca="1">IFERROR(__xludf.DUMMYFUNCTION("""COMPUTED_VALUE"""),"Kilián Iskola DSE")</f>
        <v>Kilián Iskola DSE</v>
      </c>
      <c r="B3941" s="1" t="str">
        <f ca="1">IFERROR(__xludf.DUMMYFUNCTION("""COMPUTED_VALUE"""),"Győri Gergely")</f>
        <v>Győri Gergely</v>
      </c>
      <c r="C3941" s="1"/>
      <c r="D3941" s="1" t="str">
        <f ca="1">IFERROR(__xludf.DUMMYFUNCTION("""COMPUTED_VALUE"""),"Férfi")</f>
        <v>Férfi</v>
      </c>
      <c r="E3941" s="1"/>
      <c r="F3941" s="1">
        <f ca="1">IFERROR(__xludf.DUMMYFUNCTION("""COMPUTED_VALUE"""),1984)</f>
        <v>1984</v>
      </c>
      <c r="G3941" s="1">
        <f ca="1">IFERROR(__xludf.DUMMYFUNCTION("""COMPUTED_VALUE"""),316)</f>
        <v>316</v>
      </c>
      <c r="H3941" s="1" t="str">
        <f ca="1">IFERROR(__xludf.DUMMYFUNCTION("""COMPUTED_VALUE"""),"MTLSZ000316A02")</f>
        <v>MTLSZ000316A02</v>
      </c>
      <c r="I3941" s="2">
        <f ca="1">IFERROR(__xludf.DUMMYFUNCTION("""COMPUTED_VALUE"""),37622)</f>
        <v>37622</v>
      </c>
      <c r="J3941" s="2">
        <f ca="1">IFERROR(__xludf.DUMMYFUNCTION("""COMPUTED_VALUE"""),37986)</f>
        <v>37986</v>
      </c>
    </row>
    <row r="3942" spans="1:10" x14ac:dyDescent="0.25">
      <c r="A3942" s="1" t="str">
        <f ca="1">IFERROR(__xludf.DUMMYFUNCTION("""COMPUTED_VALUE"""),"Kilián Iskola DSE")</f>
        <v>Kilián Iskola DSE</v>
      </c>
      <c r="B3942" s="1" t="str">
        <f ca="1">IFERROR(__xludf.DUMMYFUNCTION("""COMPUTED_VALUE"""),"Harsányi Erik")</f>
        <v>Harsányi Erik</v>
      </c>
      <c r="C3942" s="1"/>
      <c r="D3942" s="1" t="str">
        <f ca="1">IFERROR(__xludf.DUMMYFUNCTION("""COMPUTED_VALUE"""),"Férfi")</f>
        <v>Férfi</v>
      </c>
      <c r="E3942" s="1"/>
      <c r="F3942" s="1">
        <f ca="1">IFERROR(__xludf.DUMMYFUNCTION("""COMPUTED_VALUE"""),1978)</f>
        <v>1978</v>
      </c>
      <c r="G3942" s="1">
        <f ca="1">IFERROR(__xludf.DUMMYFUNCTION("""COMPUTED_VALUE"""),344)</f>
        <v>344</v>
      </c>
      <c r="H3942" s="1" t="str">
        <f ca="1">IFERROR(__xludf.DUMMYFUNCTION("""COMPUTED_VALUE"""),"MTLSZ000344A02")</f>
        <v>MTLSZ000344A02</v>
      </c>
      <c r="I3942" s="2">
        <f ca="1">IFERROR(__xludf.DUMMYFUNCTION("""COMPUTED_VALUE"""),37622)</f>
        <v>37622</v>
      </c>
      <c r="J3942" s="2">
        <f ca="1">IFERROR(__xludf.DUMMYFUNCTION("""COMPUTED_VALUE"""),37986)</f>
        <v>37986</v>
      </c>
    </row>
    <row r="3943" spans="1:10" x14ac:dyDescent="0.25">
      <c r="A3943" s="1" t="str">
        <f ca="1">IFERROR(__xludf.DUMMYFUNCTION("""COMPUTED_VALUE"""),"Kilián Iskola DSE")</f>
        <v>Kilián Iskola DSE</v>
      </c>
      <c r="B3943" s="1" t="str">
        <f ca="1">IFERROR(__xludf.DUMMYFUNCTION("""COMPUTED_VALUE"""),"Horváth Attila")</f>
        <v>Horváth Attila</v>
      </c>
      <c r="C3943" s="1"/>
      <c r="D3943" s="1" t="str">
        <f ca="1">IFERROR(__xludf.DUMMYFUNCTION("""COMPUTED_VALUE"""),"Férfi")</f>
        <v>Férfi</v>
      </c>
      <c r="E3943" s="1"/>
      <c r="F3943" s="1">
        <f ca="1">IFERROR(__xludf.DUMMYFUNCTION("""COMPUTED_VALUE"""),1961)</f>
        <v>1961</v>
      </c>
      <c r="G3943" s="1">
        <f ca="1">IFERROR(__xludf.DUMMYFUNCTION("""COMPUTED_VALUE"""),365)</f>
        <v>365</v>
      </c>
      <c r="H3943" s="1" t="str">
        <f ca="1">IFERROR(__xludf.DUMMYFUNCTION("""COMPUTED_VALUE"""),"MTLSZ000365A02")</f>
        <v>MTLSZ000365A02</v>
      </c>
      <c r="I3943" s="2">
        <f ca="1">IFERROR(__xludf.DUMMYFUNCTION("""COMPUTED_VALUE"""),37622)</f>
        <v>37622</v>
      </c>
      <c r="J3943" s="2">
        <f ca="1">IFERROR(__xludf.DUMMYFUNCTION("""COMPUTED_VALUE"""),37986)</f>
        <v>37986</v>
      </c>
    </row>
    <row r="3944" spans="1:10" x14ac:dyDescent="0.25">
      <c r="A3944" s="1" t="str">
        <f ca="1">IFERROR(__xludf.DUMMYFUNCTION("""COMPUTED_VALUE"""),"Kilián Iskola DSE")</f>
        <v>Kilián Iskola DSE</v>
      </c>
      <c r="B3944" s="1" t="str">
        <f ca="1">IFERROR(__xludf.DUMMYFUNCTION("""COMPUTED_VALUE"""),"Horváth Csaba")</f>
        <v>Horváth Csaba</v>
      </c>
      <c r="C3944" s="1"/>
      <c r="D3944" s="1" t="str">
        <f ca="1">IFERROR(__xludf.DUMMYFUNCTION("""COMPUTED_VALUE"""),"Férfi")</f>
        <v>Férfi</v>
      </c>
      <c r="E3944" s="1"/>
      <c r="F3944" s="1">
        <f ca="1">IFERROR(__xludf.DUMMYFUNCTION("""COMPUTED_VALUE"""),1985)</f>
        <v>1985</v>
      </c>
      <c r="G3944" s="1">
        <f ca="1">IFERROR(__xludf.DUMMYFUNCTION("""COMPUTED_VALUE"""),369)</f>
        <v>369</v>
      </c>
      <c r="H3944" s="1" t="str">
        <f ca="1">IFERROR(__xludf.DUMMYFUNCTION("""COMPUTED_VALUE"""),"MTLSZ000369A02")</f>
        <v>MTLSZ000369A02</v>
      </c>
      <c r="I3944" s="2">
        <f ca="1">IFERROR(__xludf.DUMMYFUNCTION("""COMPUTED_VALUE"""),37622)</f>
        <v>37622</v>
      </c>
      <c r="J3944" s="2">
        <f ca="1">IFERROR(__xludf.DUMMYFUNCTION("""COMPUTED_VALUE"""),37986)</f>
        <v>37986</v>
      </c>
    </row>
    <row r="3945" spans="1:10" x14ac:dyDescent="0.25">
      <c r="A3945" s="1" t="str">
        <f ca="1">IFERROR(__xludf.DUMMYFUNCTION("""COMPUTED_VALUE"""),"Kilián Iskola DSE")</f>
        <v>Kilián Iskola DSE</v>
      </c>
      <c r="B3945" s="1" t="str">
        <f ca="1">IFERROR(__xludf.DUMMYFUNCTION("""COMPUTED_VALUE"""),"Horváth Szabolcs")</f>
        <v>Horváth Szabolcs</v>
      </c>
      <c r="C3945" s="1"/>
      <c r="D3945" s="1" t="str">
        <f ca="1">IFERROR(__xludf.DUMMYFUNCTION("""COMPUTED_VALUE"""),"Férfi")</f>
        <v>Férfi</v>
      </c>
      <c r="E3945" s="1"/>
      <c r="F3945" s="1">
        <f ca="1">IFERROR(__xludf.DUMMYFUNCTION("""COMPUTED_VALUE"""),1984)</f>
        <v>1984</v>
      </c>
      <c r="G3945" s="1">
        <f ca="1">IFERROR(__xludf.DUMMYFUNCTION("""COMPUTED_VALUE"""),381)</f>
        <v>381</v>
      </c>
      <c r="H3945" s="1" t="str">
        <f ca="1">IFERROR(__xludf.DUMMYFUNCTION("""COMPUTED_VALUE"""),"MTLSZ000381A02")</f>
        <v>MTLSZ000381A02</v>
      </c>
      <c r="I3945" s="2">
        <f ca="1">IFERROR(__xludf.DUMMYFUNCTION("""COMPUTED_VALUE"""),37622)</f>
        <v>37622</v>
      </c>
      <c r="J3945" s="2">
        <f ca="1">IFERROR(__xludf.DUMMYFUNCTION("""COMPUTED_VALUE"""),37986)</f>
        <v>37986</v>
      </c>
    </row>
    <row r="3946" spans="1:10" x14ac:dyDescent="0.25">
      <c r="A3946" s="1" t="str">
        <f ca="1">IFERROR(__xludf.DUMMYFUNCTION("""COMPUTED_VALUE"""),"Kilián Iskola DSE")</f>
        <v>Kilián Iskola DSE</v>
      </c>
      <c r="B3946" s="1" t="str">
        <f ca="1">IFERROR(__xludf.DUMMYFUNCTION("""COMPUTED_VALUE"""),"Kasza József")</f>
        <v>Kasza József</v>
      </c>
      <c r="C3946" s="1"/>
      <c r="D3946" s="1" t="str">
        <f ca="1">IFERROR(__xludf.DUMMYFUNCTION("""COMPUTED_VALUE"""),"Férfi")</f>
        <v>Férfi</v>
      </c>
      <c r="E3946" s="1"/>
      <c r="F3946" s="1">
        <f ca="1">IFERROR(__xludf.DUMMYFUNCTION("""COMPUTED_VALUE"""),1985)</f>
        <v>1985</v>
      </c>
      <c r="G3946" s="1">
        <f ca="1">IFERROR(__xludf.DUMMYFUNCTION("""COMPUTED_VALUE"""),442)</f>
        <v>442</v>
      </c>
      <c r="H3946" s="1" t="str">
        <f ca="1">IFERROR(__xludf.DUMMYFUNCTION("""COMPUTED_VALUE"""),"MTLSZ000442A02")</f>
        <v>MTLSZ000442A02</v>
      </c>
      <c r="I3946" s="2">
        <f ca="1">IFERROR(__xludf.DUMMYFUNCTION("""COMPUTED_VALUE"""),37622)</f>
        <v>37622</v>
      </c>
      <c r="J3946" s="2">
        <f ca="1">IFERROR(__xludf.DUMMYFUNCTION("""COMPUTED_VALUE"""),37986)</f>
        <v>37986</v>
      </c>
    </row>
    <row r="3947" spans="1:10" x14ac:dyDescent="0.25">
      <c r="A3947" s="1" t="str">
        <f ca="1">IFERROR(__xludf.DUMMYFUNCTION("""COMPUTED_VALUE"""),"Kilián Iskola DSE")</f>
        <v>Kilián Iskola DSE</v>
      </c>
      <c r="B3947" s="1" t="str">
        <f ca="1">IFERROR(__xludf.DUMMYFUNCTION("""COMPUTED_VALUE"""),"Kiss Renáta")</f>
        <v>Kiss Renáta</v>
      </c>
      <c r="C3947" s="1"/>
      <c r="D3947" s="1" t="str">
        <f ca="1">IFERROR(__xludf.DUMMYFUNCTION("""COMPUTED_VALUE"""),"Nő")</f>
        <v>Nő</v>
      </c>
      <c r="E3947" s="1"/>
      <c r="F3947" s="1">
        <f ca="1">IFERROR(__xludf.DUMMYFUNCTION("""COMPUTED_VALUE"""),1984)</f>
        <v>1984</v>
      </c>
      <c r="G3947" s="1">
        <f ca="1">IFERROR(__xludf.DUMMYFUNCTION("""COMPUTED_VALUE"""),490)</f>
        <v>490</v>
      </c>
      <c r="H3947" s="1" t="str">
        <f ca="1">IFERROR(__xludf.DUMMYFUNCTION("""COMPUTED_VALUE"""),"MTLSZ000490A02")</f>
        <v>MTLSZ000490A02</v>
      </c>
      <c r="I3947" s="2">
        <f ca="1">IFERROR(__xludf.DUMMYFUNCTION("""COMPUTED_VALUE"""),37622)</f>
        <v>37622</v>
      </c>
      <c r="J3947" s="2">
        <f ca="1">IFERROR(__xludf.DUMMYFUNCTION("""COMPUTED_VALUE"""),37986)</f>
        <v>37986</v>
      </c>
    </row>
    <row r="3948" spans="1:10" x14ac:dyDescent="0.25">
      <c r="A3948" s="1" t="str">
        <f ca="1">IFERROR(__xludf.DUMMYFUNCTION("""COMPUTED_VALUE"""),"Kilián Iskola DSE")</f>
        <v>Kilián Iskola DSE</v>
      </c>
      <c r="B3948" s="1" t="str">
        <f ca="1">IFERROR(__xludf.DUMMYFUNCTION("""COMPUTED_VALUE"""),"Mester Bernadett")</f>
        <v>Mester Bernadett</v>
      </c>
      <c r="C3948" s="1"/>
      <c r="D3948" s="1" t="str">
        <f ca="1">IFERROR(__xludf.DUMMYFUNCTION("""COMPUTED_VALUE"""),"Nő")</f>
        <v>Nő</v>
      </c>
      <c r="E3948" s="1"/>
      <c r="F3948" s="1">
        <f ca="1">IFERROR(__xludf.DUMMYFUNCTION("""COMPUTED_VALUE"""),1986)</f>
        <v>1986</v>
      </c>
      <c r="G3948" s="1">
        <f ca="1">IFERROR(__xludf.DUMMYFUNCTION("""COMPUTED_VALUE"""),635)</f>
        <v>635</v>
      </c>
      <c r="H3948" s="1" t="str">
        <f ca="1">IFERROR(__xludf.DUMMYFUNCTION("""COMPUTED_VALUE"""),"MTLSZ000635A02")</f>
        <v>MTLSZ000635A02</v>
      </c>
      <c r="I3948" s="2">
        <f ca="1">IFERROR(__xludf.DUMMYFUNCTION("""COMPUTED_VALUE"""),37622)</f>
        <v>37622</v>
      </c>
      <c r="J3948" s="2">
        <f ca="1">IFERROR(__xludf.DUMMYFUNCTION("""COMPUTED_VALUE"""),37986)</f>
        <v>37986</v>
      </c>
    </row>
    <row r="3949" spans="1:10" x14ac:dyDescent="0.25">
      <c r="A3949" s="1" t="str">
        <f ca="1">IFERROR(__xludf.DUMMYFUNCTION("""COMPUTED_VALUE"""),"Kilián Iskola DSE")</f>
        <v>Kilián Iskola DSE</v>
      </c>
      <c r="B3949" s="1" t="str">
        <f ca="1">IFERROR(__xludf.DUMMYFUNCTION("""COMPUTED_VALUE"""),"Pákozdi Andrea")</f>
        <v>Pákozdi Andrea</v>
      </c>
      <c r="C3949" s="1"/>
      <c r="D3949" s="1" t="str">
        <f ca="1">IFERROR(__xludf.DUMMYFUNCTION("""COMPUTED_VALUE"""),"Nő")</f>
        <v>Nő</v>
      </c>
      <c r="E3949" s="1"/>
      <c r="F3949" s="1">
        <f ca="1">IFERROR(__xludf.DUMMYFUNCTION("""COMPUTED_VALUE"""),1980)</f>
        <v>1980</v>
      </c>
      <c r="G3949" s="1">
        <f ca="1">IFERROR(__xludf.DUMMYFUNCTION("""COMPUTED_VALUE"""),733)</f>
        <v>733</v>
      </c>
      <c r="H3949" s="1" t="str">
        <f ca="1">IFERROR(__xludf.DUMMYFUNCTION("""COMPUTED_VALUE"""),"MTLSZ000733A02")</f>
        <v>MTLSZ000733A02</v>
      </c>
      <c r="I3949" s="2">
        <f ca="1">IFERROR(__xludf.DUMMYFUNCTION("""COMPUTED_VALUE"""),37622)</f>
        <v>37622</v>
      </c>
      <c r="J3949" s="2">
        <f ca="1">IFERROR(__xludf.DUMMYFUNCTION("""COMPUTED_VALUE"""),37986)</f>
        <v>37986</v>
      </c>
    </row>
    <row r="3950" spans="1:10" x14ac:dyDescent="0.25">
      <c r="A3950" s="1" t="str">
        <f ca="1">IFERROR(__xludf.DUMMYFUNCTION("""COMPUTED_VALUE"""),"Kilián Iskola DSE")</f>
        <v>Kilián Iskola DSE</v>
      </c>
      <c r="B3950" s="1" t="str">
        <f ca="1">IFERROR(__xludf.DUMMYFUNCTION("""COMPUTED_VALUE"""),"Pogáts Bence")</f>
        <v>Pogáts Bence</v>
      </c>
      <c r="C3950" s="1"/>
      <c r="D3950" s="1" t="str">
        <f ca="1">IFERROR(__xludf.DUMMYFUNCTION("""COMPUTED_VALUE"""),"Férfi")</f>
        <v>Férfi</v>
      </c>
      <c r="E3950" s="1"/>
      <c r="F3950" s="1">
        <f ca="1">IFERROR(__xludf.DUMMYFUNCTION("""COMPUTED_VALUE"""),2000)</f>
        <v>2000</v>
      </c>
      <c r="G3950" s="1">
        <f ca="1">IFERROR(__xludf.DUMMYFUNCTION("""COMPUTED_VALUE"""),780)</f>
        <v>780</v>
      </c>
      <c r="H3950" s="1" t="str">
        <f ca="1">IFERROR(__xludf.DUMMYFUNCTION("""COMPUTED_VALUE"""),"MTLSZ000780A02")</f>
        <v>MTLSZ000780A02</v>
      </c>
      <c r="I3950" s="2">
        <f ca="1">IFERROR(__xludf.DUMMYFUNCTION("""COMPUTED_VALUE"""),37622)</f>
        <v>37622</v>
      </c>
      <c r="J3950" s="2">
        <f ca="1">IFERROR(__xludf.DUMMYFUNCTION("""COMPUTED_VALUE"""),37986)</f>
        <v>37986</v>
      </c>
    </row>
    <row r="3951" spans="1:10" x14ac:dyDescent="0.25">
      <c r="A3951" s="1" t="str">
        <f ca="1">IFERROR(__xludf.DUMMYFUNCTION("""COMPUTED_VALUE"""),"Kilián Iskola DSE")</f>
        <v>Kilián Iskola DSE</v>
      </c>
      <c r="B3951" s="1" t="str">
        <f ca="1">IFERROR(__xludf.DUMMYFUNCTION("""COMPUTED_VALUE"""),"Pongrácz Attila")</f>
        <v>Pongrácz Attila</v>
      </c>
      <c r="C3951" s="1"/>
      <c r="D3951" s="1" t="str">
        <f ca="1">IFERROR(__xludf.DUMMYFUNCTION("""COMPUTED_VALUE"""),"Férfi")</f>
        <v>Férfi</v>
      </c>
      <c r="E3951" s="1"/>
      <c r="F3951" s="1">
        <f ca="1">IFERROR(__xludf.DUMMYFUNCTION("""COMPUTED_VALUE"""),1981)</f>
        <v>1981</v>
      </c>
      <c r="G3951" s="1">
        <f ca="1">IFERROR(__xludf.DUMMYFUNCTION("""COMPUTED_VALUE"""),781)</f>
        <v>781</v>
      </c>
      <c r="H3951" s="1" t="str">
        <f ca="1">IFERROR(__xludf.DUMMYFUNCTION("""COMPUTED_VALUE"""),"MTLSZ000781A02")</f>
        <v>MTLSZ000781A02</v>
      </c>
      <c r="I3951" s="2">
        <f ca="1">IFERROR(__xludf.DUMMYFUNCTION("""COMPUTED_VALUE"""),37622)</f>
        <v>37622</v>
      </c>
      <c r="J3951" s="2">
        <f ca="1">IFERROR(__xludf.DUMMYFUNCTION("""COMPUTED_VALUE"""),37986)</f>
        <v>37986</v>
      </c>
    </row>
    <row r="3952" spans="1:10" x14ac:dyDescent="0.25">
      <c r="A3952" s="1" t="str">
        <f ca="1">IFERROR(__xludf.DUMMYFUNCTION("""COMPUTED_VALUE"""),"Kilián Iskola DSE")</f>
        <v>Kilián Iskola DSE</v>
      </c>
      <c r="B3952" s="1" t="str">
        <f ca="1">IFERROR(__xludf.DUMMYFUNCTION("""COMPUTED_VALUE"""),"Reider Andrea")</f>
        <v>Reider Andrea</v>
      </c>
      <c r="C3952" s="1"/>
      <c r="D3952" s="1" t="str">
        <f ca="1">IFERROR(__xludf.DUMMYFUNCTION("""COMPUTED_VALUE"""),"Nő")</f>
        <v>Nő</v>
      </c>
      <c r="E3952" s="1"/>
      <c r="F3952" s="1">
        <f ca="1">IFERROR(__xludf.DUMMYFUNCTION("""COMPUTED_VALUE"""),1981)</f>
        <v>1981</v>
      </c>
      <c r="G3952" s="1">
        <f ca="1">IFERROR(__xludf.DUMMYFUNCTION("""COMPUTED_VALUE"""),802)</f>
        <v>802</v>
      </c>
      <c r="H3952" s="1" t="str">
        <f ca="1">IFERROR(__xludf.DUMMYFUNCTION("""COMPUTED_VALUE"""),"MTLSZ000802A02")</f>
        <v>MTLSZ000802A02</v>
      </c>
      <c r="I3952" s="2">
        <f ca="1">IFERROR(__xludf.DUMMYFUNCTION("""COMPUTED_VALUE"""),37622)</f>
        <v>37622</v>
      </c>
      <c r="J3952" s="2">
        <f ca="1">IFERROR(__xludf.DUMMYFUNCTION("""COMPUTED_VALUE"""),37986)</f>
        <v>37986</v>
      </c>
    </row>
    <row r="3953" spans="1:10" x14ac:dyDescent="0.25">
      <c r="A3953" s="1" t="str">
        <f ca="1">IFERROR(__xludf.DUMMYFUNCTION("""COMPUTED_VALUE"""),"Kilián Iskola DSE")</f>
        <v>Kilián Iskola DSE</v>
      </c>
      <c r="B3953" s="1" t="str">
        <f ca="1">IFERROR(__xludf.DUMMYFUNCTION("""COMPUTED_VALUE"""),"Sőth Veronika")</f>
        <v>Sőth Veronika</v>
      </c>
      <c r="C3953" s="1"/>
      <c r="D3953" s="1" t="str">
        <f ca="1">IFERROR(__xludf.DUMMYFUNCTION("""COMPUTED_VALUE"""),"Nő")</f>
        <v>Nő</v>
      </c>
      <c r="E3953" s="1"/>
      <c r="F3953" s="1">
        <f ca="1">IFERROR(__xludf.DUMMYFUNCTION("""COMPUTED_VALUE"""),1982)</f>
        <v>1982</v>
      </c>
      <c r="G3953" s="1">
        <f ca="1">IFERROR(__xludf.DUMMYFUNCTION("""COMPUTED_VALUE"""),867)</f>
        <v>867</v>
      </c>
      <c r="H3953" s="1" t="str">
        <f ca="1">IFERROR(__xludf.DUMMYFUNCTION("""COMPUTED_VALUE"""),"MTLSZ000867A02")</f>
        <v>MTLSZ000867A02</v>
      </c>
      <c r="I3953" s="2">
        <f ca="1">IFERROR(__xludf.DUMMYFUNCTION("""COMPUTED_VALUE"""),37622)</f>
        <v>37622</v>
      </c>
      <c r="J3953" s="2">
        <f ca="1">IFERROR(__xludf.DUMMYFUNCTION("""COMPUTED_VALUE"""),37986)</f>
        <v>37986</v>
      </c>
    </row>
    <row r="3954" spans="1:10" x14ac:dyDescent="0.25">
      <c r="A3954" s="1" t="str">
        <f ca="1">IFERROR(__xludf.DUMMYFUNCTION("""COMPUTED_VALUE"""),"Kilián Iskola DSE")</f>
        <v>Kilián Iskola DSE</v>
      </c>
      <c r="B3954" s="1" t="str">
        <f ca="1">IFERROR(__xludf.DUMMYFUNCTION("""COMPUTED_VALUE"""),"Szűcs Hajnalka")</f>
        <v>Szűcs Hajnalka</v>
      </c>
      <c r="C3954" s="1"/>
      <c r="D3954" s="1" t="str">
        <f ca="1">IFERROR(__xludf.DUMMYFUNCTION("""COMPUTED_VALUE"""),"Nő")</f>
        <v>Nő</v>
      </c>
      <c r="E3954" s="1"/>
      <c r="F3954" s="1">
        <f ca="1">IFERROR(__xludf.DUMMYFUNCTION("""COMPUTED_VALUE"""),1982)</f>
        <v>1982</v>
      </c>
      <c r="G3954" s="1">
        <f ca="1">IFERROR(__xludf.DUMMYFUNCTION("""COMPUTED_VALUE"""),976)</f>
        <v>976</v>
      </c>
      <c r="H3954" s="1" t="str">
        <f ca="1">IFERROR(__xludf.DUMMYFUNCTION("""COMPUTED_VALUE"""),"MTLSZ000976A02")</f>
        <v>MTLSZ000976A02</v>
      </c>
      <c r="I3954" s="2">
        <f ca="1">IFERROR(__xludf.DUMMYFUNCTION("""COMPUTED_VALUE"""),37622)</f>
        <v>37622</v>
      </c>
      <c r="J3954" s="2">
        <f ca="1">IFERROR(__xludf.DUMMYFUNCTION("""COMPUTED_VALUE"""),37986)</f>
        <v>37986</v>
      </c>
    </row>
    <row r="3955" spans="1:10" x14ac:dyDescent="0.25">
      <c r="A3955" s="1" t="str">
        <f ca="1">IFERROR(__xludf.DUMMYFUNCTION("""COMPUTED_VALUE"""),"Kilián Iskola DSE")</f>
        <v>Kilián Iskola DSE</v>
      </c>
      <c r="B3955" s="1" t="str">
        <f ca="1">IFERROR(__xludf.DUMMYFUNCTION("""COMPUTED_VALUE"""),"Várfoki Anna")</f>
        <v>Várfoki Anna</v>
      </c>
      <c r="C3955" s="1"/>
      <c r="D3955" s="1" t="str">
        <f ca="1">IFERROR(__xludf.DUMMYFUNCTION("""COMPUTED_VALUE"""),"Nő")</f>
        <v>Nő</v>
      </c>
      <c r="E3955" s="1"/>
      <c r="F3955" s="1">
        <f ca="1">IFERROR(__xludf.DUMMYFUNCTION("""COMPUTED_VALUE"""),1984)</f>
        <v>1984</v>
      </c>
      <c r="G3955" s="1">
        <f ca="1">IFERROR(__xludf.DUMMYFUNCTION("""COMPUTED_VALUE"""),1083)</f>
        <v>1083</v>
      </c>
      <c r="H3955" s="1" t="str">
        <f ca="1">IFERROR(__xludf.DUMMYFUNCTION("""COMPUTED_VALUE"""),"MTLSZ001083A02")</f>
        <v>MTLSZ001083A02</v>
      </c>
      <c r="I3955" s="2">
        <f ca="1">IFERROR(__xludf.DUMMYFUNCTION("""COMPUTED_VALUE"""),37622)</f>
        <v>37622</v>
      </c>
      <c r="J3955" s="2">
        <f ca="1">IFERROR(__xludf.DUMMYFUNCTION("""COMPUTED_VALUE"""),37986)</f>
        <v>37986</v>
      </c>
    </row>
    <row r="3956" spans="1:10" x14ac:dyDescent="0.25">
      <c r="A3956" s="1" t="str">
        <f ca="1">IFERROR(__xludf.DUMMYFUNCTION("""COMPUTED_VALUE"""),"Kilián Iskola DSE")</f>
        <v>Kilián Iskola DSE</v>
      </c>
      <c r="B3956" s="1" t="str">
        <f ca="1">IFERROR(__xludf.DUMMYFUNCTION("""COMPUTED_VALUE"""),"Várfoki Györgyi")</f>
        <v>Várfoki Györgyi</v>
      </c>
      <c r="C3956" s="1"/>
      <c r="D3956" s="1" t="str">
        <f ca="1">IFERROR(__xludf.DUMMYFUNCTION("""COMPUTED_VALUE"""),"Nő")</f>
        <v>Nő</v>
      </c>
      <c r="E3956" s="1"/>
      <c r="F3956" s="1">
        <f ca="1">IFERROR(__xludf.DUMMYFUNCTION("""COMPUTED_VALUE"""),1987)</f>
        <v>1987</v>
      </c>
      <c r="G3956" s="1">
        <f ca="1">IFERROR(__xludf.DUMMYFUNCTION("""COMPUTED_VALUE"""),1084)</f>
        <v>1084</v>
      </c>
      <c r="H3956" s="1" t="str">
        <f ca="1">IFERROR(__xludf.DUMMYFUNCTION("""COMPUTED_VALUE"""),"MTLSZ001084A02")</f>
        <v>MTLSZ001084A02</v>
      </c>
      <c r="I3956" s="2">
        <f ca="1">IFERROR(__xludf.DUMMYFUNCTION("""COMPUTED_VALUE"""),37622)</f>
        <v>37622</v>
      </c>
      <c r="J3956" s="2">
        <f ca="1">IFERROR(__xludf.DUMMYFUNCTION("""COMPUTED_VALUE"""),37986)</f>
        <v>37986</v>
      </c>
    </row>
    <row r="3957" spans="1:10" x14ac:dyDescent="0.25">
      <c r="A3957" s="1" t="str">
        <f ca="1">IFERROR(__xludf.DUMMYFUNCTION("""COMPUTED_VALUE"""),"#N/A")</f>
        <v>#N/A</v>
      </c>
      <c r="B3957" s="1" t="str">
        <f ca="1">IFERROR(__xludf.DUMMYFUNCTION("""COMPUTED_VALUE"""),"Borsos Gábor")</f>
        <v>Borsos Gábor</v>
      </c>
      <c r="C3957" s="1"/>
      <c r="D3957" s="1" t="str">
        <f ca="1">IFERROR(__xludf.DUMMYFUNCTION("""COMPUTED_VALUE"""),"Férfi")</f>
        <v>Férfi</v>
      </c>
      <c r="E3957" s="1"/>
      <c r="F3957" s="1">
        <f ca="1">IFERROR(__xludf.DUMMYFUNCTION("""COMPUTED_VALUE"""),1972)</f>
        <v>1972</v>
      </c>
      <c r="G3957" s="1">
        <f ca="1">IFERROR(__xludf.DUMMYFUNCTION("""COMPUTED_VALUE"""),109)</f>
        <v>109</v>
      </c>
      <c r="H3957" s="1" t="str">
        <f ca="1">IFERROR(__xludf.DUMMYFUNCTION("""COMPUTED_VALUE"""),"MTLSZ000109A02")</f>
        <v>MTLSZ000109A02</v>
      </c>
      <c r="I3957" s="2">
        <f ca="1">IFERROR(__xludf.DUMMYFUNCTION("""COMPUTED_VALUE"""),37622)</f>
        <v>37622</v>
      </c>
      <c r="J3957" s="2">
        <f ca="1">IFERROR(__xludf.DUMMYFUNCTION("""COMPUTED_VALUE"""),37986)</f>
        <v>37986</v>
      </c>
    </row>
    <row r="3958" spans="1:10" x14ac:dyDescent="0.25">
      <c r="A3958" s="1" t="str">
        <f ca="1">IFERROR(__xludf.DUMMYFUNCTION("""COMPUTED_VALUE"""),"Klébi DSE")</f>
        <v>Klébi DSE</v>
      </c>
      <c r="B3958" s="1" t="str">
        <f ca="1">IFERROR(__xludf.DUMMYFUNCTION("""COMPUTED_VALUE"""),"Baki Viktor")</f>
        <v>Baki Viktor</v>
      </c>
      <c r="C3958" s="1"/>
      <c r="D3958" s="1" t="str">
        <f ca="1">IFERROR(__xludf.DUMMYFUNCTION("""COMPUTED_VALUE"""),"Férfi")</f>
        <v>Férfi</v>
      </c>
      <c r="E3958" s="1"/>
      <c r="F3958" s="1">
        <f ca="1">IFERROR(__xludf.DUMMYFUNCTION("""COMPUTED_VALUE"""),1988)</f>
        <v>1988</v>
      </c>
      <c r="G3958" s="1">
        <f ca="1">IFERROR(__xludf.DUMMYFUNCTION("""COMPUTED_VALUE"""),28)</f>
        <v>28</v>
      </c>
      <c r="H3958" s="1" t="str">
        <f ca="1">IFERROR(__xludf.DUMMYFUNCTION("""COMPUTED_VALUE"""),"MTLSZ000028A02")</f>
        <v>MTLSZ000028A02</v>
      </c>
      <c r="I3958" s="2">
        <f ca="1">IFERROR(__xludf.DUMMYFUNCTION("""COMPUTED_VALUE"""),37622)</f>
        <v>37622</v>
      </c>
      <c r="J3958" s="2">
        <f ca="1">IFERROR(__xludf.DUMMYFUNCTION("""COMPUTED_VALUE"""),37986)</f>
        <v>37986</v>
      </c>
    </row>
    <row r="3959" spans="1:10" x14ac:dyDescent="0.25">
      <c r="A3959" s="1" t="str">
        <f ca="1">IFERROR(__xludf.DUMMYFUNCTION("""COMPUTED_VALUE"""),"Klébi DSE")</f>
        <v>Klébi DSE</v>
      </c>
      <c r="B3959" s="1" t="str">
        <f ca="1">IFERROR(__xludf.DUMMYFUNCTION("""COMPUTED_VALUE"""),"Balog Bence")</f>
        <v>Balog Bence</v>
      </c>
      <c r="C3959" s="1"/>
      <c r="D3959" s="1" t="str">
        <f ca="1">IFERROR(__xludf.DUMMYFUNCTION("""COMPUTED_VALUE"""),"Férfi")</f>
        <v>Férfi</v>
      </c>
      <c r="E3959" s="1"/>
      <c r="F3959" s="1">
        <f ca="1">IFERROR(__xludf.DUMMYFUNCTION("""COMPUTED_VALUE"""),1988)</f>
        <v>1988</v>
      </c>
      <c r="G3959" s="1">
        <f ca="1">IFERROR(__xludf.DUMMYFUNCTION("""COMPUTED_VALUE"""),37)</f>
        <v>37</v>
      </c>
      <c r="H3959" s="1" t="str">
        <f ca="1">IFERROR(__xludf.DUMMYFUNCTION("""COMPUTED_VALUE"""),"MTLSZ000037A02")</f>
        <v>MTLSZ000037A02</v>
      </c>
      <c r="I3959" s="2">
        <f ca="1">IFERROR(__xludf.DUMMYFUNCTION("""COMPUTED_VALUE"""),37622)</f>
        <v>37622</v>
      </c>
      <c r="J3959" s="2">
        <f ca="1">IFERROR(__xludf.DUMMYFUNCTION("""COMPUTED_VALUE"""),37986)</f>
        <v>37986</v>
      </c>
    </row>
    <row r="3960" spans="1:10" x14ac:dyDescent="0.25">
      <c r="A3960" s="1" t="str">
        <f ca="1">IFERROR(__xludf.DUMMYFUNCTION("""COMPUTED_VALUE"""),"Klébi DSE")</f>
        <v>Klébi DSE</v>
      </c>
      <c r="B3960" s="1" t="str">
        <f ca="1">IFERROR(__xludf.DUMMYFUNCTION("""COMPUTED_VALUE"""),"Bencz Bálint")</f>
        <v>Bencz Bálint</v>
      </c>
      <c r="C3960" s="1"/>
      <c r="D3960" s="1" t="str">
        <f ca="1">IFERROR(__xludf.DUMMYFUNCTION("""COMPUTED_VALUE"""),"Férfi")</f>
        <v>Férfi</v>
      </c>
      <c r="E3960" s="1"/>
      <c r="F3960" s="1">
        <f ca="1">IFERROR(__xludf.DUMMYFUNCTION("""COMPUTED_VALUE"""),2000)</f>
        <v>2000</v>
      </c>
      <c r="G3960" s="1">
        <f ca="1">IFERROR(__xludf.DUMMYFUNCTION("""COMPUTED_VALUE"""),70)</f>
        <v>70</v>
      </c>
      <c r="H3960" s="1" t="str">
        <f ca="1">IFERROR(__xludf.DUMMYFUNCTION("""COMPUTED_VALUE"""),"MTLSZ000070A02")</f>
        <v>MTLSZ000070A02</v>
      </c>
      <c r="I3960" s="2">
        <f ca="1">IFERROR(__xludf.DUMMYFUNCTION("""COMPUTED_VALUE"""),37622)</f>
        <v>37622</v>
      </c>
      <c r="J3960" s="2">
        <f ca="1">IFERROR(__xludf.DUMMYFUNCTION("""COMPUTED_VALUE"""),37986)</f>
        <v>37986</v>
      </c>
    </row>
    <row r="3961" spans="1:10" x14ac:dyDescent="0.25">
      <c r="A3961" s="1" t="str">
        <f ca="1">IFERROR(__xludf.DUMMYFUNCTION("""COMPUTED_VALUE"""),"Klébi DSE")</f>
        <v>Klébi DSE</v>
      </c>
      <c r="B3961" s="1" t="str">
        <f ca="1">IFERROR(__xludf.DUMMYFUNCTION("""COMPUTED_VALUE"""),"Csizmadi Péter")</f>
        <v>Csizmadi Péter</v>
      </c>
      <c r="C3961" s="1"/>
      <c r="D3961" s="1" t="str">
        <f ca="1">IFERROR(__xludf.DUMMYFUNCTION("""COMPUTED_VALUE"""),"Férfi")</f>
        <v>Férfi</v>
      </c>
      <c r="E3961" s="1"/>
      <c r="F3961" s="1">
        <f ca="1">IFERROR(__xludf.DUMMYFUNCTION("""COMPUTED_VALUE"""),2000)</f>
        <v>2000</v>
      </c>
      <c r="G3961" s="1">
        <f ca="1">IFERROR(__xludf.DUMMYFUNCTION("""COMPUTED_VALUE"""),151)</f>
        <v>151</v>
      </c>
      <c r="H3961" s="1" t="str">
        <f ca="1">IFERROR(__xludf.DUMMYFUNCTION("""COMPUTED_VALUE"""),"MTLSZ000151A02")</f>
        <v>MTLSZ000151A02</v>
      </c>
      <c r="I3961" s="2">
        <f ca="1">IFERROR(__xludf.DUMMYFUNCTION("""COMPUTED_VALUE"""),37622)</f>
        <v>37622</v>
      </c>
      <c r="J3961" s="2">
        <f ca="1">IFERROR(__xludf.DUMMYFUNCTION("""COMPUTED_VALUE"""),37986)</f>
        <v>37986</v>
      </c>
    </row>
    <row r="3962" spans="1:10" x14ac:dyDescent="0.25">
      <c r="A3962" s="1" t="str">
        <f ca="1">IFERROR(__xludf.DUMMYFUNCTION("""COMPUTED_VALUE"""),"Klébi DSE")</f>
        <v>Klébi DSE</v>
      </c>
      <c r="B3962" s="1" t="str">
        <f ca="1">IFERROR(__xludf.DUMMYFUNCTION("""COMPUTED_VALUE"""),"Czapek Ádám")</f>
        <v>Czapek Ádám</v>
      </c>
      <c r="C3962" s="1"/>
      <c r="D3962" s="1" t="str">
        <f ca="1">IFERROR(__xludf.DUMMYFUNCTION("""COMPUTED_VALUE"""),"Férfi")</f>
        <v>Férfi</v>
      </c>
      <c r="E3962" s="1"/>
      <c r="F3962" s="1">
        <f ca="1">IFERROR(__xludf.DUMMYFUNCTION("""COMPUTED_VALUE"""),1968)</f>
        <v>1968</v>
      </c>
      <c r="G3962" s="1">
        <f ca="1">IFERROR(__xludf.DUMMYFUNCTION("""COMPUTED_VALUE"""),158)</f>
        <v>158</v>
      </c>
      <c r="H3962" s="1" t="str">
        <f ca="1">IFERROR(__xludf.DUMMYFUNCTION("""COMPUTED_VALUE"""),"MTLSZ000158A02")</f>
        <v>MTLSZ000158A02</v>
      </c>
      <c r="I3962" s="2">
        <f ca="1">IFERROR(__xludf.DUMMYFUNCTION("""COMPUTED_VALUE"""),37622)</f>
        <v>37622</v>
      </c>
      <c r="J3962" s="2">
        <f ca="1">IFERROR(__xludf.DUMMYFUNCTION("""COMPUTED_VALUE"""),37986)</f>
        <v>37986</v>
      </c>
    </row>
    <row r="3963" spans="1:10" x14ac:dyDescent="0.25">
      <c r="A3963" s="1" t="str">
        <f ca="1">IFERROR(__xludf.DUMMYFUNCTION("""COMPUTED_VALUE"""),"Klébi DSE")</f>
        <v>Klébi DSE</v>
      </c>
      <c r="B3963" s="1" t="str">
        <f ca="1">IFERROR(__xludf.DUMMYFUNCTION("""COMPUTED_VALUE"""),"Dénes Szabolcs")</f>
        <v>Dénes Szabolcs</v>
      </c>
      <c r="C3963" s="1"/>
      <c r="D3963" s="1" t="str">
        <f ca="1">IFERROR(__xludf.DUMMYFUNCTION("""COMPUTED_VALUE"""),"Férfi")</f>
        <v>Férfi</v>
      </c>
      <c r="E3963" s="1"/>
      <c r="F3963" s="1">
        <f ca="1">IFERROR(__xludf.DUMMYFUNCTION("""COMPUTED_VALUE"""),2000)</f>
        <v>2000</v>
      </c>
      <c r="G3963" s="1">
        <f ca="1">IFERROR(__xludf.DUMMYFUNCTION("""COMPUTED_VALUE"""),187)</f>
        <v>187</v>
      </c>
      <c r="H3963" s="1" t="str">
        <f ca="1">IFERROR(__xludf.DUMMYFUNCTION("""COMPUTED_VALUE"""),"MTLSZ000187A02")</f>
        <v>MTLSZ000187A02</v>
      </c>
      <c r="I3963" s="2">
        <f ca="1">IFERROR(__xludf.DUMMYFUNCTION("""COMPUTED_VALUE"""),37622)</f>
        <v>37622</v>
      </c>
      <c r="J3963" s="2">
        <f ca="1">IFERROR(__xludf.DUMMYFUNCTION("""COMPUTED_VALUE"""),37986)</f>
        <v>37986</v>
      </c>
    </row>
    <row r="3964" spans="1:10" x14ac:dyDescent="0.25">
      <c r="A3964" s="1" t="str">
        <f ca="1">IFERROR(__xludf.DUMMYFUNCTION("""COMPUTED_VALUE"""),"Klébi DSE")</f>
        <v>Klébi DSE</v>
      </c>
      <c r="B3964" s="1" t="str">
        <f ca="1">IFERROR(__xludf.DUMMYFUNCTION("""COMPUTED_VALUE"""),"Dénes Szilvia")</f>
        <v>Dénes Szilvia</v>
      </c>
      <c r="C3964" s="1"/>
      <c r="D3964" s="1" t="str">
        <f ca="1">IFERROR(__xludf.DUMMYFUNCTION("""COMPUTED_VALUE"""),"Nő")</f>
        <v>Nő</v>
      </c>
      <c r="E3964" s="1"/>
      <c r="F3964" s="1">
        <f ca="1">IFERROR(__xludf.DUMMYFUNCTION("""COMPUTED_VALUE"""),2000)</f>
        <v>2000</v>
      </c>
      <c r="G3964" s="1">
        <f ca="1">IFERROR(__xludf.DUMMYFUNCTION("""COMPUTED_VALUE"""),188)</f>
        <v>188</v>
      </c>
      <c r="H3964" s="1" t="str">
        <f ca="1">IFERROR(__xludf.DUMMYFUNCTION("""COMPUTED_VALUE"""),"MTLSZ000188A02")</f>
        <v>MTLSZ000188A02</v>
      </c>
      <c r="I3964" s="2">
        <f ca="1">IFERROR(__xludf.DUMMYFUNCTION("""COMPUTED_VALUE"""),37622)</f>
        <v>37622</v>
      </c>
      <c r="J3964" s="2">
        <f ca="1">IFERROR(__xludf.DUMMYFUNCTION("""COMPUTED_VALUE"""),37986)</f>
        <v>37986</v>
      </c>
    </row>
    <row r="3965" spans="1:10" x14ac:dyDescent="0.25">
      <c r="A3965" s="1" t="str">
        <f ca="1">IFERROR(__xludf.DUMMYFUNCTION("""COMPUTED_VALUE"""),"Klébi DSE")</f>
        <v>Klébi DSE</v>
      </c>
      <c r="B3965" s="1" t="str">
        <f ca="1">IFERROR(__xludf.DUMMYFUNCTION("""COMPUTED_VALUE"""),"Fonó Tamás")</f>
        <v>Fonó Tamás</v>
      </c>
      <c r="C3965" s="1"/>
      <c r="D3965" s="1" t="str">
        <f ca="1">IFERROR(__xludf.DUMMYFUNCTION("""COMPUTED_VALUE"""),"Férfi")</f>
        <v>Férfi</v>
      </c>
      <c r="E3965" s="1"/>
      <c r="F3965" s="1">
        <f ca="1">IFERROR(__xludf.DUMMYFUNCTION("""COMPUTED_VALUE"""),1978)</f>
        <v>1978</v>
      </c>
      <c r="G3965" s="1">
        <f ca="1">IFERROR(__xludf.DUMMYFUNCTION("""COMPUTED_VALUE"""),256)</f>
        <v>256</v>
      </c>
      <c r="H3965" s="1" t="str">
        <f ca="1">IFERROR(__xludf.DUMMYFUNCTION("""COMPUTED_VALUE"""),"MTLSZ000256A02")</f>
        <v>MTLSZ000256A02</v>
      </c>
      <c r="I3965" s="2">
        <f ca="1">IFERROR(__xludf.DUMMYFUNCTION("""COMPUTED_VALUE"""),37622)</f>
        <v>37622</v>
      </c>
      <c r="J3965" s="2">
        <f ca="1">IFERROR(__xludf.DUMMYFUNCTION("""COMPUTED_VALUE"""),37986)</f>
        <v>37986</v>
      </c>
    </row>
    <row r="3966" spans="1:10" x14ac:dyDescent="0.25">
      <c r="A3966" s="1" t="str">
        <f ca="1">IFERROR(__xludf.DUMMYFUNCTION("""COMPUTED_VALUE"""),"Klébi DSE")</f>
        <v>Klébi DSE</v>
      </c>
      <c r="B3966" s="1" t="str">
        <f ca="1">IFERROR(__xludf.DUMMYFUNCTION("""COMPUTED_VALUE"""),"Gál Tamás")</f>
        <v>Gál Tamás</v>
      </c>
      <c r="C3966" s="1"/>
      <c r="D3966" s="1" t="str">
        <f ca="1">IFERROR(__xludf.DUMMYFUNCTION("""COMPUTED_VALUE"""),"Férfi")</f>
        <v>Férfi</v>
      </c>
      <c r="E3966" s="1"/>
      <c r="F3966" s="1">
        <f ca="1">IFERROR(__xludf.DUMMYFUNCTION("""COMPUTED_VALUE"""),1988)</f>
        <v>1988</v>
      </c>
      <c r="G3966" s="1">
        <f ca="1">IFERROR(__xludf.DUMMYFUNCTION("""COMPUTED_VALUE"""),276)</f>
        <v>276</v>
      </c>
      <c r="H3966" s="1" t="str">
        <f ca="1">IFERROR(__xludf.DUMMYFUNCTION("""COMPUTED_VALUE"""),"MTLSZ000276A02")</f>
        <v>MTLSZ000276A02</v>
      </c>
      <c r="I3966" s="2">
        <f ca="1">IFERROR(__xludf.DUMMYFUNCTION("""COMPUTED_VALUE"""),37622)</f>
        <v>37622</v>
      </c>
      <c r="J3966" s="2">
        <f ca="1">IFERROR(__xludf.DUMMYFUNCTION("""COMPUTED_VALUE"""),37986)</f>
        <v>37986</v>
      </c>
    </row>
    <row r="3967" spans="1:10" x14ac:dyDescent="0.25">
      <c r="A3967" s="1" t="str">
        <f ca="1">IFERROR(__xludf.DUMMYFUNCTION("""COMPUTED_VALUE"""),"Klébi DSE")</f>
        <v>Klébi DSE</v>
      </c>
      <c r="B3967" s="1" t="str">
        <f ca="1">IFERROR(__xludf.DUMMYFUNCTION("""COMPUTED_VALUE"""),"Janács Dóra")</f>
        <v>Janács Dóra</v>
      </c>
      <c r="C3967" s="1"/>
      <c r="D3967" s="1" t="str">
        <f ca="1">IFERROR(__xludf.DUMMYFUNCTION("""COMPUTED_VALUE"""),"Nő")</f>
        <v>Nő</v>
      </c>
      <c r="E3967" s="1"/>
      <c r="F3967" s="1">
        <f ca="1">IFERROR(__xludf.DUMMYFUNCTION("""COMPUTED_VALUE"""),2000)</f>
        <v>2000</v>
      </c>
      <c r="G3967" s="1">
        <f ca="1">IFERROR(__xludf.DUMMYFUNCTION("""COMPUTED_VALUE"""),406)</f>
        <v>406</v>
      </c>
      <c r="H3967" s="1" t="str">
        <f ca="1">IFERROR(__xludf.DUMMYFUNCTION("""COMPUTED_VALUE"""),"MTLSZ000406A02")</f>
        <v>MTLSZ000406A02</v>
      </c>
      <c r="I3967" s="2">
        <f ca="1">IFERROR(__xludf.DUMMYFUNCTION("""COMPUTED_VALUE"""),37622)</f>
        <v>37622</v>
      </c>
      <c r="J3967" s="2">
        <f ca="1">IFERROR(__xludf.DUMMYFUNCTION("""COMPUTED_VALUE"""),37986)</f>
        <v>37986</v>
      </c>
    </row>
    <row r="3968" spans="1:10" x14ac:dyDescent="0.25">
      <c r="A3968" s="1" t="str">
        <f ca="1">IFERROR(__xludf.DUMMYFUNCTION("""COMPUTED_VALUE"""),"Klébi DSE")</f>
        <v>Klébi DSE</v>
      </c>
      <c r="B3968" s="1" t="str">
        <f ca="1">IFERROR(__xludf.DUMMYFUNCTION("""COMPUTED_VALUE"""),"Sára Gergely")</f>
        <v>Sára Gergely</v>
      </c>
      <c r="C3968" s="1"/>
      <c r="D3968" s="1" t="str">
        <f ca="1">IFERROR(__xludf.DUMMYFUNCTION("""COMPUTED_VALUE"""),"Férfi")</f>
        <v>Férfi</v>
      </c>
      <c r="E3968" s="1"/>
      <c r="F3968" s="1">
        <f ca="1">IFERROR(__xludf.DUMMYFUNCTION("""COMPUTED_VALUE"""),1988)</f>
        <v>1988</v>
      </c>
      <c r="G3968" s="1">
        <f ca="1">IFERROR(__xludf.DUMMYFUNCTION("""COMPUTED_VALUE"""),831)</f>
        <v>831</v>
      </c>
      <c r="H3968" s="1" t="str">
        <f ca="1">IFERROR(__xludf.DUMMYFUNCTION("""COMPUTED_VALUE"""),"MTLSZ000831A02")</f>
        <v>MTLSZ000831A02</v>
      </c>
      <c r="I3968" s="2">
        <f ca="1">IFERROR(__xludf.DUMMYFUNCTION("""COMPUTED_VALUE"""),37622)</f>
        <v>37622</v>
      </c>
      <c r="J3968" s="2">
        <f ca="1">IFERROR(__xludf.DUMMYFUNCTION("""COMPUTED_VALUE"""),37986)</f>
        <v>37986</v>
      </c>
    </row>
    <row r="3969" spans="1:10" x14ac:dyDescent="0.25">
      <c r="A3969" s="1" t="str">
        <f ca="1">IFERROR(__xludf.DUMMYFUNCTION("""COMPUTED_VALUE"""),"Klébi DSE")</f>
        <v>Klébi DSE</v>
      </c>
      <c r="B3969" s="1" t="str">
        <f ca="1">IFERROR(__xludf.DUMMYFUNCTION("""COMPUTED_VALUE"""),"Szász Norbert")</f>
        <v>Szász Norbert</v>
      </c>
      <c r="C3969" s="1"/>
      <c r="D3969" s="1" t="str">
        <f ca="1">IFERROR(__xludf.DUMMYFUNCTION("""COMPUTED_VALUE"""),"Férfi")</f>
        <v>Férfi</v>
      </c>
      <c r="E3969" s="1"/>
      <c r="F3969" s="1">
        <f ca="1">IFERROR(__xludf.DUMMYFUNCTION("""COMPUTED_VALUE"""),1988)</f>
        <v>1988</v>
      </c>
      <c r="G3969" s="1">
        <f ca="1">IFERROR(__xludf.DUMMYFUNCTION("""COMPUTED_VALUE"""),918)</f>
        <v>918</v>
      </c>
      <c r="H3969" s="1" t="str">
        <f ca="1">IFERROR(__xludf.DUMMYFUNCTION("""COMPUTED_VALUE"""),"MTLSZ000918A02")</f>
        <v>MTLSZ000918A02</v>
      </c>
      <c r="I3969" s="2">
        <f ca="1">IFERROR(__xludf.DUMMYFUNCTION("""COMPUTED_VALUE"""),37622)</f>
        <v>37622</v>
      </c>
      <c r="J3969" s="2">
        <f ca="1">IFERROR(__xludf.DUMMYFUNCTION("""COMPUTED_VALUE"""),37986)</f>
        <v>37986</v>
      </c>
    </row>
    <row r="3970" spans="1:10" x14ac:dyDescent="0.25">
      <c r="A3970" s="1" t="str">
        <f ca="1">IFERROR(__xludf.DUMMYFUNCTION("""COMPUTED_VALUE"""),"Kőrisfa SZTE")</f>
        <v>Kőrisfa SZTE</v>
      </c>
      <c r="B3970" s="1" t="str">
        <f ca="1">IFERROR(__xludf.DUMMYFUNCTION("""COMPUTED_VALUE"""),"Benyus Péter")</f>
        <v>Benyus Péter</v>
      </c>
      <c r="C3970" s="1"/>
      <c r="D3970" s="1" t="str">
        <f ca="1">IFERROR(__xludf.DUMMYFUNCTION("""COMPUTED_VALUE"""),"Férfi")</f>
        <v>Férfi</v>
      </c>
      <c r="E3970" s="1"/>
      <c r="F3970" s="1">
        <f ca="1">IFERROR(__xludf.DUMMYFUNCTION("""COMPUTED_VALUE"""),1987)</f>
        <v>1987</v>
      </c>
      <c r="G3970" s="1">
        <f ca="1">IFERROR(__xludf.DUMMYFUNCTION("""COMPUTED_VALUE"""),75)</f>
        <v>75</v>
      </c>
      <c r="H3970" s="1" t="str">
        <f ca="1">IFERROR(__xludf.DUMMYFUNCTION("""COMPUTED_VALUE"""),"MTLSZ000075A02")</f>
        <v>MTLSZ000075A02</v>
      </c>
      <c r="I3970" s="2">
        <f ca="1">IFERROR(__xludf.DUMMYFUNCTION("""COMPUTED_VALUE"""),37622)</f>
        <v>37622</v>
      </c>
      <c r="J3970" s="2">
        <f ca="1">IFERROR(__xludf.DUMMYFUNCTION("""COMPUTED_VALUE"""),37986)</f>
        <v>37986</v>
      </c>
    </row>
    <row r="3971" spans="1:10" x14ac:dyDescent="0.25">
      <c r="A3971" s="1" t="str">
        <f ca="1">IFERROR(__xludf.DUMMYFUNCTION("""COMPUTED_VALUE"""),"Kőrisfa SZTE")</f>
        <v>Kőrisfa SZTE</v>
      </c>
      <c r="B3971" s="1" t="str">
        <f ca="1">IFERROR(__xludf.DUMMYFUNCTION("""COMPUTED_VALUE"""),"Berente Renáta")</f>
        <v>Berente Renáta</v>
      </c>
      <c r="C3971" s="1"/>
      <c r="D3971" s="1" t="str">
        <f ca="1">IFERROR(__xludf.DUMMYFUNCTION("""COMPUTED_VALUE"""),"Nő")</f>
        <v>Nő</v>
      </c>
      <c r="E3971" s="1"/>
      <c r="F3971" s="1">
        <f ca="1">IFERROR(__xludf.DUMMYFUNCTION("""COMPUTED_VALUE"""),1975)</f>
        <v>1975</v>
      </c>
      <c r="G3971" s="1">
        <f ca="1">IFERROR(__xludf.DUMMYFUNCTION("""COMPUTED_VALUE"""),78)</f>
        <v>78</v>
      </c>
      <c r="H3971" s="1" t="str">
        <f ca="1">IFERROR(__xludf.DUMMYFUNCTION("""COMPUTED_VALUE"""),"MTLSZ000078A02")</f>
        <v>MTLSZ000078A02</v>
      </c>
      <c r="I3971" s="2">
        <f ca="1">IFERROR(__xludf.DUMMYFUNCTION("""COMPUTED_VALUE"""),37622)</f>
        <v>37622</v>
      </c>
      <c r="J3971" s="2">
        <f ca="1">IFERROR(__xludf.DUMMYFUNCTION("""COMPUTED_VALUE"""),37986)</f>
        <v>37986</v>
      </c>
    </row>
    <row r="3972" spans="1:10" x14ac:dyDescent="0.25">
      <c r="A3972" s="1" t="str">
        <f ca="1">IFERROR(__xludf.DUMMYFUNCTION("""COMPUTED_VALUE"""),"Kőrisfa SZTE")</f>
        <v>Kőrisfa SZTE</v>
      </c>
      <c r="B3972" s="1" t="str">
        <f ca="1">IFERROR(__xludf.DUMMYFUNCTION("""COMPUTED_VALUE"""),"Bozlék Gábor")</f>
        <v>Bozlék Gábor</v>
      </c>
      <c r="C3972" s="1"/>
      <c r="D3972" s="1" t="str">
        <f ca="1">IFERROR(__xludf.DUMMYFUNCTION("""COMPUTED_VALUE"""),"Férfi")</f>
        <v>Férfi</v>
      </c>
      <c r="E3972" s="1"/>
      <c r="F3972" s="1">
        <f ca="1">IFERROR(__xludf.DUMMYFUNCTION("""COMPUTED_VALUE"""),1971)</f>
        <v>1971</v>
      </c>
      <c r="G3972" s="1">
        <f ca="1">IFERROR(__xludf.DUMMYFUNCTION("""COMPUTED_VALUE"""),114)</f>
        <v>114</v>
      </c>
      <c r="H3972" s="1" t="str">
        <f ca="1">IFERROR(__xludf.DUMMYFUNCTION("""COMPUTED_VALUE"""),"MTLSZ000114A02")</f>
        <v>MTLSZ000114A02</v>
      </c>
      <c r="I3972" s="2">
        <f ca="1">IFERROR(__xludf.DUMMYFUNCTION("""COMPUTED_VALUE"""),37622)</f>
        <v>37622</v>
      </c>
      <c r="J3972" s="2">
        <f ca="1">IFERROR(__xludf.DUMMYFUNCTION("""COMPUTED_VALUE"""),37986)</f>
        <v>37986</v>
      </c>
    </row>
    <row r="3973" spans="1:10" x14ac:dyDescent="0.25">
      <c r="A3973" s="1" t="str">
        <f ca="1">IFERROR(__xludf.DUMMYFUNCTION("""COMPUTED_VALUE"""),"Kőrisfa SZTE")</f>
        <v>Kőrisfa SZTE</v>
      </c>
      <c r="B3973" s="1" t="str">
        <f ca="1">IFERROR(__xludf.DUMMYFUNCTION("""COMPUTED_VALUE"""),"Dávid Ferenc")</f>
        <v>Dávid Ferenc</v>
      </c>
      <c r="C3973" s="1"/>
      <c r="D3973" s="1" t="str">
        <f ca="1">IFERROR(__xludf.DUMMYFUNCTION("""COMPUTED_VALUE"""),"Férfi")</f>
        <v>Férfi</v>
      </c>
      <c r="E3973" s="1"/>
      <c r="F3973" s="1">
        <f ca="1">IFERROR(__xludf.DUMMYFUNCTION("""COMPUTED_VALUE"""),1980)</f>
        <v>1980</v>
      </c>
      <c r="G3973" s="1">
        <f ca="1">IFERROR(__xludf.DUMMYFUNCTION("""COMPUTED_VALUE"""),179)</f>
        <v>179</v>
      </c>
      <c r="H3973" s="1" t="str">
        <f ca="1">IFERROR(__xludf.DUMMYFUNCTION("""COMPUTED_VALUE"""),"MTLSZ000179A02")</f>
        <v>MTLSZ000179A02</v>
      </c>
      <c r="I3973" s="2">
        <f ca="1">IFERROR(__xludf.DUMMYFUNCTION("""COMPUTED_VALUE"""),37622)</f>
        <v>37622</v>
      </c>
      <c r="J3973" s="2">
        <f ca="1">IFERROR(__xludf.DUMMYFUNCTION("""COMPUTED_VALUE"""),37986)</f>
        <v>37986</v>
      </c>
    </row>
    <row r="3974" spans="1:10" x14ac:dyDescent="0.25">
      <c r="A3974" s="1" t="str">
        <f ca="1">IFERROR(__xludf.DUMMYFUNCTION("""COMPUTED_VALUE"""),"Kőrisfa SZTE")</f>
        <v>Kőrisfa SZTE</v>
      </c>
      <c r="B3974" s="1" t="str">
        <f ca="1">IFERROR(__xludf.DUMMYFUNCTION("""COMPUTED_VALUE"""),"Dávid Zsuzsanna")</f>
        <v>Dávid Zsuzsanna</v>
      </c>
      <c r="C3974" s="1"/>
      <c r="D3974" s="1" t="str">
        <f ca="1">IFERROR(__xludf.DUMMYFUNCTION("""COMPUTED_VALUE"""),"Nő")</f>
        <v>Nő</v>
      </c>
      <c r="E3974" s="1"/>
      <c r="F3974" s="1">
        <f ca="1">IFERROR(__xludf.DUMMYFUNCTION("""COMPUTED_VALUE"""),1979)</f>
        <v>1979</v>
      </c>
      <c r="G3974" s="1">
        <f ca="1">IFERROR(__xludf.DUMMYFUNCTION("""COMPUTED_VALUE"""),180)</f>
        <v>180</v>
      </c>
      <c r="H3974" s="1" t="str">
        <f ca="1">IFERROR(__xludf.DUMMYFUNCTION("""COMPUTED_VALUE"""),"MTLSZ000180A02")</f>
        <v>MTLSZ000180A02</v>
      </c>
      <c r="I3974" s="2">
        <f ca="1">IFERROR(__xludf.DUMMYFUNCTION("""COMPUTED_VALUE"""),37622)</f>
        <v>37622</v>
      </c>
      <c r="J3974" s="2">
        <f ca="1">IFERROR(__xludf.DUMMYFUNCTION("""COMPUTED_VALUE"""),37986)</f>
        <v>37986</v>
      </c>
    </row>
    <row r="3975" spans="1:10" x14ac:dyDescent="0.25">
      <c r="A3975" s="1" t="str">
        <f ca="1">IFERROR(__xludf.DUMMYFUNCTION("""COMPUTED_VALUE"""),"Kőrisfa SZTE")</f>
        <v>Kőrisfa SZTE</v>
      </c>
      <c r="B3975" s="1" t="str">
        <f ca="1">IFERROR(__xludf.DUMMYFUNCTION("""COMPUTED_VALUE"""),"Fajka Gyula")</f>
        <v>Fajka Gyula</v>
      </c>
      <c r="C3975" s="1"/>
      <c r="D3975" s="1" t="str">
        <f ca="1">IFERROR(__xludf.DUMMYFUNCTION("""COMPUTED_VALUE"""),"Férfi")</f>
        <v>Férfi</v>
      </c>
      <c r="E3975" s="1"/>
      <c r="F3975" s="1">
        <f ca="1">IFERROR(__xludf.DUMMYFUNCTION("""COMPUTED_VALUE"""),1969)</f>
        <v>1969</v>
      </c>
      <c r="G3975" s="1">
        <f ca="1">IFERROR(__xludf.DUMMYFUNCTION("""COMPUTED_VALUE"""),225)</f>
        <v>225</v>
      </c>
      <c r="H3975" s="1" t="str">
        <f ca="1">IFERROR(__xludf.DUMMYFUNCTION("""COMPUTED_VALUE"""),"MTLSZ000225A02")</f>
        <v>MTLSZ000225A02</v>
      </c>
      <c r="I3975" s="2">
        <f ca="1">IFERROR(__xludf.DUMMYFUNCTION("""COMPUTED_VALUE"""),37622)</f>
        <v>37622</v>
      </c>
      <c r="J3975" s="2">
        <f ca="1">IFERROR(__xludf.DUMMYFUNCTION("""COMPUTED_VALUE"""),37986)</f>
        <v>37986</v>
      </c>
    </row>
    <row r="3976" spans="1:10" x14ac:dyDescent="0.25">
      <c r="A3976" s="1" t="str">
        <f ca="1">IFERROR(__xludf.DUMMYFUNCTION("""COMPUTED_VALUE"""),"Kőrisfa SZTE")</f>
        <v>Kőrisfa SZTE</v>
      </c>
      <c r="B3976" s="1" t="str">
        <f ca="1">IFERROR(__xludf.DUMMYFUNCTION("""COMPUTED_VALUE"""),"Fehér Csaba")</f>
        <v>Fehér Csaba</v>
      </c>
      <c r="C3976" s="1"/>
      <c r="D3976" s="1" t="str">
        <f ca="1">IFERROR(__xludf.DUMMYFUNCTION("""COMPUTED_VALUE"""),"Férfi")</f>
        <v>Férfi</v>
      </c>
      <c r="E3976" s="1"/>
      <c r="F3976" s="1">
        <f ca="1">IFERROR(__xludf.DUMMYFUNCTION("""COMPUTED_VALUE"""),1972)</f>
        <v>1972</v>
      </c>
      <c r="G3976" s="1">
        <f ca="1">IFERROR(__xludf.DUMMYFUNCTION("""COMPUTED_VALUE"""),239)</f>
        <v>239</v>
      </c>
      <c r="H3976" s="1" t="str">
        <f ca="1">IFERROR(__xludf.DUMMYFUNCTION("""COMPUTED_VALUE"""),"MTLSZ000239A02")</f>
        <v>MTLSZ000239A02</v>
      </c>
      <c r="I3976" s="2">
        <f ca="1">IFERROR(__xludf.DUMMYFUNCTION("""COMPUTED_VALUE"""),37622)</f>
        <v>37622</v>
      </c>
      <c r="J3976" s="2">
        <f ca="1">IFERROR(__xludf.DUMMYFUNCTION("""COMPUTED_VALUE"""),37986)</f>
        <v>37986</v>
      </c>
    </row>
    <row r="3977" spans="1:10" x14ac:dyDescent="0.25">
      <c r="A3977" s="1" t="str">
        <f ca="1">IFERROR(__xludf.DUMMYFUNCTION("""COMPUTED_VALUE"""),"Kőrisfa SZTE")</f>
        <v>Kőrisfa SZTE</v>
      </c>
      <c r="B3977" s="1" t="str">
        <f ca="1">IFERROR(__xludf.DUMMYFUNCTION("""COMPUTED_VALUE"""),"Horváth Albert")</f>
        <v>Horváth Albert</v>
      </c>
      <c r="C3977" s="1"/>
      <c r="D3977" s="1" t="str">
        <f ca="1">IFERROR(__xludf.DUMMYFUNCTION("""COMPUTED_VALUE"""),"Férfi")</f>
        <v>Férfi</v>
      </c>
      <c r="E3977" s="1"/>
      <c r="F3977" s="1">
        <f ca="1">IFERROR(__xludf.DUMMYFUNCTION("""COMPUTED_VALUE"""),1968)</f>
        <v>1968</v>
      </c>
      <c r="G3977" s="1">
        <f ca="1">IFERROR(__xludf.DUMMYFUNCTION("""COMPUTED_VALUE"""),363)</f>
        <v>363</v>
      </c>
      <c r="H3977" s="1" t="str">
        <f ca="1">IFERROR(__xludf.DUMMYFUNCTION("""COMPUTED_VALUE"""),"MTLSZ000363A02")</f>
        <v>MTLSZ000363A02</v>
      </c>
      <c r="I3977" s="2">
        <f ca="1">IFERROR(__xludf.DUMMYFUNCTION("""COMPUTED_VALUE"""),37622)</f>
        <v>37622</v>
      </c>
      <c r="J3977" s="2">
        <f ca="1">IFERROR(__xludf.DUMMYFUNCTION("""COMPUTED_VALUE"""),37986)</f>
        <v>37986</v>
      </c>
    </row>
    <row r="3978" spans="1:10" x14ac:dyDescent="0.25">
      <c r="A3978" s="1" t="str">
        <f ca="1">IFERROR(__xludf.DUMMYFUNCTION("""COMPUTED_VALUE"""),"Kőrisfa SZTE")</f>
        <v>Kőrisfa SZTE</v>
      </c>
      <c r="B3978" s="1" t="str">
        <f ca="1">IFERROR(__xludf.DUMMYFUNCTION("""COMPUTED_VALUE"""),"Kis József")</f>
        <v>Kis József</v>
      </c>
      <c r="C3978" s="1"/>
      <c r="D3978" s="1" t="str">
        <f ca="1">IFERROR(__xludf.DUMMYFUNCTION("""COMPUTED_VALUE"""),"Férfi")</f>
        <v>Férfi</v>
      </c>
      <c r="E3978" s="1"/>
      <c r="F3978" s="1">
        <f ca="1">IFERROR(__xludf.DUMMYFUNCTION("""COMPUTED_VALUE"""),1968)</f>
        <v>1968</v>
      </c>
      <c r="G3978" s="1">
        <f ca="1">IFERROR(__xludf.DUMMYFUNCTION("""COMPUTED_VALUE"""),473)</f>
        <v>473</v>
      </c>
      <c r="H3978" s="1" t="str">
        <f ca="1">IFERROR(__xludf.DUMMYFUNCTION("""COMPUTED_VALUE"""),"MTLSZ000473A02")</f>
        <v>MTLSZ000473A02</v>
      </c>
      <c r="I3978" s="2">
        <f ca="1">IFERROR(__xludf.DUMMYFUNCTION("""COMPUTED_VALUE"""),37622)</f>
        <v>37622</v>
      </c>
      <c r="J3978" s="2">
        <f ca="1">IFERROR(__xludf.DUMMYFUNCTION("""COMPUTED_VALUE"""),37986)</f>
        <v>37986</v>
      </c>
    </row>
    <row r="3979" spans="1:10" x14ac:dyDescent="0.25">
      <c r="A3979" s="1" t="str">
        <f ca="1">IFERROR(__xludf.DUMMYFUNCTION("""COMPUTED_VALUE"""),"Kőrisfa SZTE")</f>
        <v>Kőrisfa SZTE</v>
      </c>
      <c r="B3979" s="1" t="str">
        <f ca="1">IFERROR(__xludf.DUMMYFUNCTION("""COMPUTED_VALUE"""),"Kőházi-Kis Andrea")</f>
        <v>Kőházi-Kis Andrea</v>
      </c>
      <c r="C3979" s="1"/>
      <c r="D3979" s="1" t="str">
        <f ca="1">IFERROR(__xludf.DUMMYFUNCTION("""COMPUTED_VALUE"""),"Nő")</f>
        <v>Nő</v>
      </c>
      <c r="E3979" s="1"/>
      <c r="F3979" s="1">
        <f ca="1">IFERROR(__xludf.DUMMYFUNCTION("""COMPUTED_VALUE"""),1974)</f>
        <v>1974</v>
      </c>
      <c r="G3979" s="1">
        <f ca="1">IFERROR(__xludf.DUMMYFUNCTION("""COMPUTED_VALUE"""),509)</f>
        <v>509</v>
      </c>
      <c r="H3979" s="1" t="str">
        <f ca="1">IFERROR(__xludf.DUMMYFUNCTION("""COMPUTED_VALUE"""),"MTLSZ000509A02")</f>
        <v>MTLSZ000509A02</v>
      </c>
      <c r="I3979" s="2">
        <f ca="1">IFERROR(__xludf.DUMMYFUNCTION("""COMPUTED_VALUE"""),37622)</f>
        <v>37622</v>
      </c>
      <c r="J3979" s="2">
        <f ca="1">IFERROR(__xludf.DUMMYFUNCTION("""COMPUTED_VALUE"""),37986)</f>
        <v>37986</v>
      </c>
    </row>
    <row r="3980" spans="1:10" x14ac:dyDescent="0.25">
      <c r="A3980" s="1" t="str">
        <f ca="1">IFERROR(__xludf.DUMMYFUNCTION("""COMPUTED_VALUE"""),"Kőrisfa SZTE")</f>
        <v>Kőrisfa SZTE</v>
      </c>
      <c r="B3980" s="1" t="str">
        <f ca="1">IFERROR(__xludf.DUMMYFUNCTION("""COMPUTED_VALUE"""),"Mezei Márta")</f>
        <v>Mezei Márta</v>
      </c>
      <c r="C3980" s="1"/>
      <c r="D3980" s="1" t="str">
        <f ca="1">IFERROR(__xludf.DUMMYFUNCTION("""COMPUTED_VALUE"""),"Nő")</f>
        <v>Nő</v>
      </c>
      <c r="E3980" s="1"/>
      <c r="F3980" s="1">
        <f ca="1">IFERROR(__xludf.DUMMYFUNCTION("""COMPUTED_VALUE"""),1970)</f>
        <v>1970</v>
      </c>
      <c r="G3980" s="1">
        <f ca="1">IFERROR(__xludf.DUMMYFUNCTION("""COMPUTED_VALUE"""),643)</f>
        <v>643</v>
      </c>
      <c r="H3980" s="1" t="str">
        <f ca="1">IFERROR(__xludf.DUMMYFUNCTION("""COMPUTED_VALUE"""),"MTLSZ000643A02")</f>
        <v>MTLSZ000643A02</v>
      </c>
      <c r="I3980" s="2">
        <f ca="1">IFERROR(__xludf.DUMMYFUNCTION("""COMPUTED_VALUE"""),37622)</f>
        <v>37622</v>
      </c>
      <c r="J3980" s="2">
        <f ca="1">IFERROR(__xludf.DUMMYFUNCTION("""COMPUTED_VALUE"""),37986)</f>
        <v>37986</v>
      </c>
    </row>
    <row r="3981" spans="1:10" x14ac:dyDescent="0.25">
      <c r="A3981" s="1" t="str">
        <f ca="1">IFERROR(__xludf.DUMMYFUNCTION("""COMPUTED_VALUE"""),"Kőrisfa SZTE")</f>
        <v>Kőrisfa SZTE</v>
      </c>
      <c r="B3981" s="1" t="str">
        <f ca="1">IFERROR(__xludf.DUMMYFUNCTION("""COMPUTED_VALUE"""),"Parázs György")</f>
        <v>Parázs György</v>
      </c>
      <c r="C3981" s="1"/>
      <c r="D3981" s="1" t="str">
        <f ca="1">IFERROR(__xludf.DUMMYFUNCTION("""COMPUTED_VALUE"""),"Férfi")</f>
        <v>Férfi</v>
      </c>
      <c r="E3981" s="1"/>
      <c r="F3981" s="1">
        <f ca="1">IFERROR(__xludf.DUMMYFUNCTION("""COMPUTED_VALUE"""),1966)</f>
        <v>1966</v>
      </c>
      <c r="G3981" s="1">
        <f ca="1">IFERROR(__xludf.DUMMYFUNCTION("""COMPUTED_VALUE"""),756)</f>
        <v>756</v>
      </c>
      <c r="H3981" s="1" t="str">
        <f ca="1">IFERROR(__xludf.DUMMYFUNCTION("""COMPUTED_VALUE"""),"MTLSZ000756A02")</f>
        <v>MTLSZ000756A02</v>
      </c>
      <c r="I3981" s="2">
        <f ca="1">IFERROR(__xludf.DUMMYFUNCTION("""COMPUTED_VALUE"""),37622)</f>
        <v>37622</v>
      </c>
      <c r="J3981" s="2">
        <f ca="1">IFERROR(__xludf.DUMMYFUNCTION("""COMPUTED_VALUE"""),37986)</f>
        <v>37986</v>
      </c>
    </row>
    <row r="3982" spans="1:10" x14ac:dyDescent="0.25">
      <c r="A3982" s="1" t="str">
        <f ca="1">IFERROR(__xludf.DUMMYFUNCTION("""COMPUTED_VALUE"""),"Kőrisfa SZTE")</f>
        <v>Kőrisfa SZTE</v>
      </c>
      <c r="B3982" s="1" t="str">
        <f ca="1">IFERROR(__xludf.DUMMYFUNCTION("""COMPUTED_VALUE"""),"Prekop Tamás")</f>
        <v>Prekop Tamás</v>
      </c>
      <c r="C3982" s="1"/>
      <c r="D3982" s="1" t="str">
        <f ca="1">IFERROR(__xludf.DUMMYFUNCTION("""COMPUTED_VALUE"""),"Férfi")</f>
        <v>Férfi</v>
      </c>
      <c r="E3982" s="1"/>
      <c r="F3982" s="1">
        <f ca="1">IFERROR(__xludf.DUMMYFUNCTION("""COMPUTED_VALUE"""),1969)</f>
        <v>1969</v>
      </c>
      <c r="G3982" s="1">
        <f ca="1">IFERROR(__xludf.DUMMYFUNCTION("""COMPUTED_VALUE"""),785)</f>
        <v>785</v>
      </c>
      <c r="H3982" s="1" t="str">
        <f ca="1">IFERROR(__xludf.DUMMYFUNCTION("""COMPUTED_VALUE"""),"MTLSZ000785A02")</f>
        <v>MTLSZ000785A02</v>
      </c>
      <c r="I3982" s="2">
        <f ca="1">IFERROR(__xludf.DUMMYFUNCTION("""COMPUTED_VALUE"""),37622)</f>
        <v>37622</v>
      </c>
      <c r="J3982" s="2">
        <f ca="1">IFERROR(__xludf.DUMMYFUNCTION("""COMPUTED_VALUE"""),37986)</f>
        <v>37986</v>
      </c>
    </row>
    <row r="3983" spans="1:10" x14ac:dyDescent="0.25">
      <c r="A3983" s="1" t="str">
        <f ca="1">IFERROR(__xludf.DUMMYFUNCTION("""COMPUTED_VALUE"""),"MEAFC")</f>
        <v>MEAFC</v>
      </c>
      <c r="B3983" s="1" t="str">
        <f ca="1">IFERROR(__xludf.DUMMYFUNCTION("""COMPUTED_VALUE"""),"Ádám István")</f>
        <v>Ádám István</v>
      </c>
      <c r="C3983" s="1"/>
      <c r="D3983" s="1" t="str">
        <f ca="1">IFERROR(__xludf.DUMMYFUNCTION("""COMPUTED_VALUE"""),"Férfi")</f>
        <v>Férfi</v>
      </c>
      <c r="E3983" s="1"/>
      <c r="F3983" s="1">
        <f ca="1">IFERROR(__xludf.DUMMYFUNCTION("""COMPUTED_VALUE"""),2000)</f>
        <v>2000</v>
      </c>
      <c r="G3983" s="1">
        <f ca="1">IFERROR(__xludf.DUMMYFUNCTION("""COMPUTED_VALUE"""),9)</f>
        <v>9</v>
      </c>
      <c r="H3983" s="1" t="str">
        <f ca="1">IFERROR(__xludf.DUMMYFUNCTION("""COMPUTED_VALUE"""),"MTLSZ000009A02")</f>
        <v>MTLSZ000009A02</v>
      </c>
      <c r="I3983" s="2">
        <f ca="1">IFERROR(__xludf.DUMMYFUNCTION("""COMPUTED_VALUE"""),37622)</f>
        <v>37622</v>
      </c>
      <c r="J3983" s="2">
        <f ca="1">IFERROR(__xludf.DUMMYFUNCTION("""COMPUTED_VALUE"""),37986)</f>
        <v>37986</v>
      </c>
    </row>
    <row r="3984" spans="1:10" x14ac:dyDescent="0.25">
      <c r="A3984" s="1" t="str">
        <f ca="1">IFERROR(__xludf.DUMMYFUNCTION("""COMPUTED_VALUE"""),"MEAFC")</f>
        <v>MEAFC</v>
      </c>
      <c r="B3984" s="1" t="str">
        <f ca="1">IFERROR(__xludf.DUMMYFUNCTION("""COMPUTED_VALUE"""),"Gyökér Ádám")</f>
        <v>Gyökér Ádám</v>
      </c>
      <c r="C3984" s="1"/>
      <c r="D3984" s="1" t="str">
        <f ca="1">IFERROR(__xludf.DUMMYFUNCTION("""COMPUTED_VALUE"""),"Férfi")</f>
        <v>Férfi</v>
      </c>
      <c r="E3984" s="1"/>
      <c r="F3984" s="1">
        <f ca="1">IFERROR(__xludf.DUMMYFUNCTION("""COMPUTED_VALUE"""),2000)</f>
        <v>2000</v>
      </c>
      <c r="G3984" s="1">
        <f ca="1">IFERROR(__xludf.DUMMYFUNCTION("""COMPUTED_VALUE"""),320)</f>
        <v>320</v>
      </c>
      <c r="H3984" s="1" t="str">
        <f ca="1">IFERROR(__xludf.DUMMYFUNCTION("""COMPUTED_VALUE"""),"MTLSZ000320A02")</f>
        <v>MTLSZ000320A02</v>
      </c>
      <c r="I3984" s="2">
        <f ca="1">IFERROR(__xludf.DUMMYFUNCTION("""COMPUTED_VALUE"""),37622)</f>
        <v>37622</v>
      </c>
      <c r="J3984" s="2">
        <f ca="1">IFERROR(__xludf.DUMMYFUNCTION("""COMPUTED_VALUE"""),37986)</f>
        <v>37986</v>
      </c>
    </row>
    <row r="3985" spans="1:10" x14ac:dyDescent="0.25">
      <c r="A3985" s="1" t="str">
        <f ca="1">IFERROR(__xludf.DUMMYFUNCTION("""COMPUTED_VALUE"""),"MEAFC")</f>
        <v>MEAFC</v>
      </c>
      <c r="B3985" s="1" t="str">
        <f ca="1">IFERROR(__xludf.DUMMYFUNCTION("""COMPUTED_VALUE"""),"Gyökér Zoltán")</f>
        <v>Gyökér Zoltán</v>
      </c>
      <c r="C3985" s="1"/>
      <c r="D3985" s="1" t="str">
        <f ca="1">IFERROR(__xludf.DUMMYFUNCTION("""COMPUTED_VALUE"""),"Férfi")</f>
        <v>Férfi</v>
      </c>
      <c r="E3985" s="1"/>
      <c r="F3985" s="1">
        <f ca="1">IFERROR(__xludf.DUMMYFUNCTION("""COMPUTED_VALUE"""),2000)</f>
        <v>2000</v>
      </c>
      <c r="G3985" s="1">
        <f ca="1">IFERROR(__xludf.DUMMYFUNCTION("""COMPUTED_VALUE"""),321)</f>
        <v>321</v>
      </c>
      <c r="H3985" s="1" t="str">
        <f ca="1">IFERROR(__xludf.DUMMYFUNCTION("""COMPUTED_VALUE"""),"MTLSZ000321A02")</f>
        <v>MTLSZ000321A02</v>
      </c>
      <c r="I3985" s="2">
        <f ca="1">IFERROR(__xludf.DUMMYFUNCTION("""COMPUTED_VALUE"""),37622)</f>
        <v>37622</v>
      </c>
      <c r="J3985" s="2">
        <f ca="1">IFERROR(__xludf.DUMMYFUNCTION("""COMPUTED_VALUE"""),37986)</f>
        <v>37986</v>
      </c>
    </row>
    <row r="3986" spans="1:10" x14ac:dyDescent="0.25">
      <c r="A3986" s="1" t="str">
        <f ca="1">IFERROR(__xludf.DUMMYFUNCTION("""COMPUTED_VALUE"""),"MEAFC")</f>
        <v>MEAFC</v>
      </c>
      <c r="B3986" s="1" t="str">
        <f ca="1">IFERROR(__xludf.DUMMYFUNCTION("""COMPUTED_VALUE"""),"Iklódi Barbara")</f>
        <v>Iklódi Barbara</v>
      </c>
      <c r="C3986" s="1"/>
      <c r="D3986" s="1" t="str">
        <f ca="1">IFERROR(__xludf.DUMMYFUNCTION("""COMPUTED_VALUE"""),"Nő")</f>
        <v>Nő</v>
      </c>
      <c r="E3986" s="1"/>
      <c r="F3986" s="1">
        <f ca="1">IFERROR(__xludf.DUMMYFUNCTION("""COMPUTED_VALUE"""),2000)</f>
        <v>2000</v>
      </c>
      <c r="G3986" s="1">
        <f ca="1">IFERROR(__xludf.DUMMYFUNCTION("""COMPUTED_VALUE"""),394)</f>
        <v>394</v>
      </c>
      <c r="H3986" s="1" t="str">
        <f ca="1">IFERROR(__xludf.DUMMYFUNCTION("""COMPUTED_VALUE"""),"MTLSZ000394A02")</f>
        <v>MTLSZ000394A02</v>
      </c>
      <c r="I3986" s="2">
        <f ca="1">IFERROR(__xludf.DUMMYFUNCTION("""COMPUTED_VALUE"""),37622)</f>
        <v>37622</v>
      </c>
      <c r="J3986" s="2">
        <f ca="1">IFERROR(__xludf.DUMMYFUNCTION("""COMPUTED_VALUE"""),37986)</f>
        <v>37986</v>
      </c>
    </row>
    <row r="3987" spans="1:10" x14ac:dyDescent="0.25">
      <c r="A3987" s="1" t="str">
        <f ca="1">IFERROR(__xludf.DUMMYFUNCTION("""COMPUTED_VALUE"""),"MEAFC")</f>
        <v>MEAFC</v>
      </c>
      <c r="B3987" s="1" t="str">
        <f ca="1">IFERROR(__xludf.DUMMYFUNCTION("""COMPUTED_VALUE"""),"Kertész Andrea")</f>
        <v>Kertész Andrea</v>
      </c>
      <c r="C3987" s="1"/>
      <c r="D3987" s="1" t="str">
        <f ca="1">IFERROR(__xludf.DUMMYFUNCTION("""COMPUTED_VALUE"""),"Nő")</f>
        <v>Nő</v>
      </c>
      <c r="E3987" s="1"/>
      <c r="F3987" s="1">
        <f ca="1">IFERROR(__xludf.DUMMYFUNCTION("""COMPUTED_VALUE"""),1967)</f>
        <v>1967</v>
      </c>
      <c r="G3987" s="1">
        <f ca="1">IFERROR(__xludf.DUMMYFUNCTION("""COMPUTED_VALUE"""),458)</f>
        <v>458</v>
      </c>
      <c r="H3987" s="1" t="str">
        <f ca="1">IFERROR(__xludf.DUMMYFUNCTION("""COMPUTED_VALUE"""),"MTLSZ000458A02")</f>
        <v>MTLSZ000458A02</v>
      </c>
      <c r="I3987" s="2">
        <f ca="1">IFERROR(__xludf.DUMMYFUNCTION("""COMPUTED_VALUE"""),37622)</f>
        <v>37622</v>
      </c>
      <c r="J3987" s="2">
        <f ca="1">IFERROR(__xludf.DUMMYFUNCTION("""COMPUTED_VALUE"""),37986)</f>
        <v>37986</v>
      </c>
    </row>
    <row r="3988" spans="1:10" x14ac:dyDescent="0.25">
      <c r="A3988" s="1" t="str">
        <f ca="1">IFERROR(__xludf.DUMMYFUNCTION("""COMPUTED_VALUE"""),"MEAFC")</f>
        <v>MEAFC</v>
      </c>
      <c r="B3988" s="1" t="str">
        <f ca="1">IFERROR(__xludf.DUMMYFUNCTION("""COMPUTED_VALUE"""),"Maczkó Gábor")</f>
        <v>Maczkó Gábor</v>
      </c>
      <c r="C3988" s="1"/>
      <c r="D3988" s="1" t="str">
        <f ca="1">IFERROR(__xludf.DUMMYFUNCTION("""COMPUTED_VALUE"""),"Férfi")</f>
        <v>Férfi</v>
      </c>
      <c r="E3988" s="1"/>
      <c r="F3988" s="1">
        <f ca="1">IFERROR(__xludf.DUMMYFUNCTION("""COMPUTED_VALUE"""),1975)</f>
        <v>1975</v>
      </c>
      <c r="G3988" s="1">
        <f ca="1">IFERROR(__xludf.DUMMYFUNCTION("""COMPUTED_VALUE"""),601)</f>
        <v>601</v>
      </c>
      <c r="H3988" s="1" t="str">
        <f ca="1">IFERROR(__xludf.DUMMYFUNCTION("""COMPUTED_VALUE"""),"MTLSZ000601A02")</f>
        <v>MTLSZ000601A02</v>
      </c>
      <c r="I3988" s="2">
        <f ca="1">IFERROR(__xludf.DUMMYFUNCTION("""COMPUTED_VALUE"""),37622)</f>
        <v>37622</v>
      </c>
      <c r="J3988" s="2">
        <f ca="1">IFERROR(__xludf.DUMMYFUNCTION("""COMPUTED_VALUE"""),37986)</f>
        <v>37986</v>
      </c>
    </row>
    <row r="3989" spans="1:10" x14ac:dyDescent="0.25">
      <c r="A3989" s="1" t="str">
        <f ca="1">IFERROR(__xludf.DUMMYFUNCTION("""COMPUTED_VALUE"""),"MEAFC")</f>
        <v>MEAFC</v>
      </c>
      <c r="B3989" s="1" t="str">
        <f ca="1">IFERROR(__xludf.DUMMYFUNCTION("""COMPUTED_VALUE"""),"Magyar Péter")</f>
        <v>Magyar Péter</v>
      </c>
      <c r="C3989" s="1"/>
      <c r="D3989" s="1" t="str">
        <f ca="1">IFERROR(__xludf.DUMMYFUNCTION("""COMPUTED_VALUE"""),"Férfi")</f>
        <v>Férfi</v>
      </c>
      <c r="E3989" s="1"/>
      <c r="F3989" s="1">
        <f ca="1">IFERROR(__xludf.DUMMYFUNCTION("""COMPUTED_VALUE"""),2000)</f>
        <v>2000</v>
      </c>
      <c r="G3989" s="1">
        <f ca="1">IFERROR(__xludf.DUMMYFUNCTION("""COMPUTED_VALUE"""),607)</f>
        <v>607</v>
      </c>
      <c r="H3989" s="1" t="str">
        <f ca="1">IFERROR(__xludf.DUMMYFUNCTION("""COMPUTED_VALUE"""),"MTLSZ000607A02")</f>
        <v>MTLSZ000607A02</v>
      </c>
      <c r="I3989" s="2">
        <f ca="1">IFERROR(__xludf.DUMMYFUNCTION("""COMPUTED_VALUE"""),37622)</f>
        <v>37622</v>
      </c>
      <c r="J3989" s="2">
        <f ca="1">IFERROR(__xludf.DUMMYFUNCTION("""COMPUTED_VALUE"""),37986)</f>
        <v>37986</v>
      </c>
    </row>
    <row r="3990" spans="1:10" x14ac:dyDescent="0.25">
      <c r="A3990" s="1" t="str">
        <f ca="1">IFERROR(__xludf.DUMMYFUNCTION("""COMPUTED_VALUE"""),"MEAFC")</f>
        <v>MEAFC</v>
      </c>
      <c r="B3990" s="1" t="str">
        <f ca="1">IFERROR(__xludf.DUMMYFUNCTION("""COMPUTED_VALUE"""),"Majzik István")</f>
        <v>Majzik István</v>
      </c>
      <c r="C3990" s="1"/>
      <c r="D3990" s="1" t="str">
        <f ca="1">IFERROR(__xludf.DUMMYFUNCTION("""COMPUTED_VALUE"""),"Férfi")</f>
        <v>Férfi</v>
      </c>
      <c r="E3990" s="1"/>
      <c r="F3990" s="1">
        <f ca="1">IFERROR(__xludf.DUMMYFUNCTION("""COMPUTED_VALUE"""),2000)</f>
        <v>2000</v>
      </c>
      <c r="G3990" s="1">
        <f ca="1">IFERROR(__xludf.DUMMYFUNCTION("""COMPUTED_VALUE"""),611)</f>
        <v>611</v>
      </c>
      <c r="H3990" s="1" t="str">
        <f ca="1">IFERROR(__xludf.DUMMYFUNCTION("""COMPUTED_VALUE"""),"MTLSZ000611A02")</f>
        <v>MTLSZ000611A02</v>
      </c>
      <c r="I3990" s="2">
        <f ca="1">IFERROR(__xludf.DUMMYFUNCTION("""COMPUTED_VALUE"""),37622)</f>
        <v>37622</v>
      </c>
      <c r="J3990" s="2">
        <f ca="1">IFERROR(__xludf.DUMMYFUNCTION("""COMPUTED_VALUE"""),37986)</f>
        <v>37986</v>
      </c>
    </row>
    <row r="3991" spans="1:10" x14ac:dyDescent="0.25">
      <c r="A3991" s="1" t="str">
        <f ca="1">IFERROR(__xludf.DUMMYFUNCTION("""COMPUTED_VALUE"""),"MEAFC")</f>
        <v>MEAFC</v>
      </c>
      <c r="B3991" s="1" t="str">
        <f ca="1">IFERROR(__xludf.DUMMYFUNCTION("""COMPUTED_VALUE"""),"Molnárné Farkas Viktória")</f>
        <v>Molnárné Farkas Viktória</v>
      </c>
      <c r="C3991" s="1"/>
      <c r="D3991" s="1" t="str">
        <f ca="1">IFERROR(__xludf.DUMMYFUNCTION("""COMPUTED_VALUE"""),"Nő")</f>
        <v>Nő</v>
      </c>
      <c r="E3991" s="1"/>
      <c r="F3991" s="1">
        <f ca="1">IFERROR(__xludf.DUMMYFUNCTION("""COMPUTED_VALUE"""),1977)</f>
        <v>1977</v>
      </c>
      <c r="G3991" s="1">
        <f ca="1">IFERROR(__xludf.DUMMYFUNCTION("""COMPUTED_VALUE"""),670)</f>
        <v>670</v>
      </c>
      <c r="H3991" s="1" t="str">
        <f ca="1">IFERROR(__xludf.DUMMYFUNCTION("""COMPUTED_VALUE"""),"MTLSZ000670A02")</f>
        <v>MTLSZ000670A02</v>
      </c>
      <c r="I3991" s="2">
        <f ca="1">IFERROR(__xludf.DUMMYFUNCTION("""COMPUTED_VALUE"""),37622)</f>
        <v>37622</v>
      </c>
      <c r="J3991" s="2">
        <f ca="1">IFERROR(__xludf.DUMMYFUNCTION("""COMPUTED_VALUE"""),37986)</f>
        <v>37986</v>
      </c>
    </row>
    <row r="3992" spans="1:10" x14ac:dyDescent="0.25">
      <c r="A3992" s="1" t="str">
        <f ca="1">IFERROR(__xludf.DUMMYFUNCTION("""COMPUTED_VALUE"""),"MEAFC")</f>
        <v>MEAFC</v>
      </c>
      <c r="B3992" s="1" t="str">
        <f ca="1">IFERROR(__xludf.DUMMYFUNCTION("""COMPUTED_VALUE"""),"Nagy György László")</f>
        <v>Nagy György László</v>
      </c>
      <c r="C3992" s="1"/>
      <c r="D3992" s="1" t="str">
        <f ca="1">IFERROR(__xludf.DUMMYFUNCTION("""COMPUTED_VALUE"""),"Férfi")</f>
        <v>Férfi</v>
      </c>
      <c r="E3992" s="1"/>
      <c r="F3992" s="1">
        <f ca="1">IFERROR(__xludf.DUMMYFUNCTION("""COMPUTED_VALUE"""),1975)</f>
        <v>1975</v>
      </c>
      <c r="G3992" s="1">
        <f ca="1">IFERROR(__xludf.DUMMYFUNCTION("""COMPUTED_VALUE"""),682)</f>
        <v>682</v>
      </c>
      <c r="H3992" s="1" t="str">
        <f ca="1">IFERROR(__xludf.DUMMYFUNCTION("""COMPUTED_VALUE"""),"MTLSZ000682A02")</f>
        <v>MTLSZ000682A02</v>
      </c>
      <c r="I3992" s="2">
        <f ca="1">IFERROR(__xludf.DUMMYFUNCTION("""COMPUTED_VALUE"""),37622)</f>
        <v>37622</v>
      </c>
      <c r="J3992" s="2">
        <f ca="1">IFERROR(__xludf.DUMMYFUNCTION("""COMPUTED_VALUE"""),37986)</f>
        <v>37986</v>
      </c>
    </row>
    <row r="3993" spans="1:10" x14ac:dyDescent="0.25">
      <c r="A3993" s="1" t="str">
        <f ca="1">IFERROR(__xludf.DUMMYFUNCTION("""COMPUTED_VALUE"""),"MEAFC")</f>
        <v>MEAFC</v>
      </c>
      <c r="B3993" s="1" t="str">
        <f ca="1">IFERROR(__xludf.DUMMYFUNCTION("""COMPUTED_VALUE"""),"Prókai Ádám")</f>
        <v>Prókai Ádám</v>
      </c>
      <c r="C3993" s="1"/>
      <c r="D3993" s="1" t="str">
        <f ca="1">IFERROR(__xludf.DUMMYFUNCTION("""COMPUTED_VALUE"""),"Férfi")</f>
        <v>Férfi</v>
      </c>
      <c r="E3993" s="1"/>
      <c r="F3993" s="1">
        <f ca="1">IFERROR(__xludf.DUMMYFUNCTION("""COMPUTED_VALUE"""),2000)</f>
        <v>2000</v>
      </c>
      <c r="G3993" s="1">
        <f ca="1">IFERROR(__xludf.DUMMYFUNCTION("""COMPUTED_VALUE"""),786)</f>
        <v>786</v>
      </c>
      <c r="H3993" s="1" t="str">
        <f ca="1">IFERROR(__xludf.DUMMYFUNCTION("""COMPUTED_VALUE"""),"MTLSZ000786A02")</f>
        <v>MTLSZ000786A02</v>
      </c>
      <c r="I3993" s="2">
        <f ca="1">IFERROR(__xludf.DUMMYFUNCTION("""COMPUTED_VALUE"""),37622)</f>
        <v>37622</v>
      </c>
      <c r="J3993" s="2">
        <f ca="1">IFERROR(__xludf.DUMMYFUNCTION("""COMPUTED_VALUE"""),37986)</f>
        <v>37986</v>
      </c>
    </row>
    <row r="3994" spans="1:10" x14ac:dyDescent="0.25">
      <c r="A3994" s="1" t="str">
        <f ca="1">IFERROR(__xludf.DUMMYFUNCTION("""COMPUTED_VALUE"""),"MEAFC")</f>
        <v>MEAFC</v>
      </c>
      <c r="B3994" s="1" t="str">
        <f ca="1">IFERROR(__xludf.DUMMYFUNCTION("""COMPUTED_VALUE"""),"Rácz Gábor")</f>
        <v>Rácz Gábor</v>
      </c>
      <c r="C3994" s="1"/>
      <c r="D3994" s="1" t="str">
        <f ca="1">IFERROR(__xludf.DUMMYFUNCTION("""COMPUTED_VALUE"""),"Férfi")</f>
        <v>Férfi</v>
      </c>
      <c r="E3994" s="1"/>
      <c r="F3994" s="1">
        <f ca="1">IFERROR(__xludf.DUMMYFUNCTION("""COMPUTED_VALUE"""),2000)</f>
        <v>2000</v>
      </c>
      <c r="G3994" s="1">
        <f ca="1">IFERROR(__xludf.DUMMYFUNCTION("""COMPUTED_VALUE"""),794)</f>
        <v>794</v>
      </c>
      <c r="H3994" s="1" t="str">
        <f ca="1">IFERROR(__xludf.DUMMYFUNCTION("""COMPUTED_VALUE"""),"MTLSZ000794A02")</f>
        <v>MTLSZ000794A02</v>
      </c>
      <c r="I3994" s="2">
        <f ca="1">IFERROR(__xludf.DUMMYFUNCTION("""COMPUTED_VALUE"""),37622)</f>
        <v>37622</v>
      </c>
      <c r="J3994" s="2">
        <f ca="1">IFERROR(__xludf.DUMMYFUNCTION("""COMPUTED_VALUE"""),37986)</f>
        <v>37986</v>
      </c>
    </row>
    <row r="3995" spans="1:10" x14ac:dyDescent="0.25">
      <c r="A3995" s="1" t="str">
        <f ca="1">IFERROR(__xludf.DUMMYFUNCTION("""COMPUTED_VALUE"""),"MEAFC")</f>
        <v>MEAFC</v>
      </c>
      <c r="B3995" s="1" t="str">
        <f ca="1">IFERROR(__xludf.DUMMYFUNCTION("""COMPUTED_VALUE"""),"Sándor Judit")</f>
        <v>Sándor Judit</v>
      </c>
      <c r="C3995" s="1"/>
      <c r="D3995" s="1" t="str">
        <f ca="1">IFERROR(__xludf.DUMMYFUNCTION("""COMPUTED_VALUE"""),"Nő")</f>
        <v>Nő</v>
      </c>
      <c r="E3995" s="1"/>
      <c r="F3995" s="1">
        <f ca="1">IFERROR(__xludf.DUMMYFUNCTION("""COMPUTED_VALUE"""),1975)</f>
        <v>1975</v>
      </c>
      <c r="G3995" s="1">
        <f ca="1">IFERROR(__xludf.DUMMYFUNCTION("""COMPUTED_VALUE"""),828)</f>
        <v>828</v>
      </c>
      <c r="H3995" s="1" t="str">
        <f ca="1">IFERROR(__xludf.DUMMYFUNCTION("""COMPUTED_VALUE"""),"MTLSZ000828A02")</f>
        <v>MTLSZ000828A02</v>
      </c>
      <c r="I3995" s="2">
        <f ca="1">IFERROR(__xludf.DUMMYFUNCTION("""COMPUTED_VALUE"""),37622)</f>
        <v>37622</v>
      </c>
      <c r="J3995" s="2">
        <f ca="1">IFERROR(__xludf.DUMMYFUNCTION("""COMPUTED_VALUE"""),37986)</f>
        <v>37986</v>
      </c>
    </row>
    <row r="3996" spans="1:10" x14ac:dyDescent="0.25">
      <c r="A3996" s="1" t="str">
        <f ca="1">IFERROR(__xludf.DUMMYFUNCTION("""COMPUTED_VALUE"""),"MEAFC")</f>
        <v>MEAFC</v>
      </c>
      <c r="B3996" s="1" t="str">
        <f ca="1">IFERROR(__xludf.DUMMYFUNCTION("""COMPUTED_VALUE"""),"Szabó Péter")</f>
        <v>Szabó Péter</v>
      </c>
      <c r="C3996" s="1"/>
      <c r="D3996" s="1" t="str">
        <f ca="1">IFERROR(__xludf.DUMMYFUNCTION("""COMPUTED_VALUE"""),"Férfi")</f>
        <v>Férfi</v>
      </c>
      <c r="E3996" s="1"/>
      <c r="F3996" s="1">
        <f ca="1">IFERROR(__xludf.DUMMYFUNCTION("""COMPUTED_VALUE"""),2000)</f>
        <v>2000</v>
      </c>
      <c r="G3996" s="1">
        <f ca="1">IFERROR(__xludf.DUMMYFUNCTION("""COMPUTED_VALUE"""),899)</f>
        <v>899</v>
      </c>
      <c r="H3996" s="1" t="str">
        <f ca="1">IFERROR(__xludf.DUMMYFUNCTION("""COMPUTED_VALUE"""),"MTLSZ000899A02")</f>
        <v>MTLSZ000899A02</v>
      </c>
      <c r="I3996" s="2">
        <f ca="1">IFERROR(__xludf.DUMMYFUNCTION("""COMPUTED_VALUE"""),37622)</f>
        <v>37622</v>
      </c>
      <c r="J3996" s="2">
        <f ca="1">IFERROR(__xludf.DUMMYFUNCTION("""COMPUTED_VALUE"""),37986)</f>
        <v>37986</v>
      </c>
    </row>
    <row r="3997" spans="1:10" x14ac:dyDescent="0.25">
      <c r="A3997" s="1" t="str">
        <f ca="1">IFERROR(__xludf.DUMMYFUNCTION("""COMPUTED_VALUE"""),"MEAFC")</f>
        <v>MEAFC</v>
      </c>
      <c r="B3997" s="1" t="str">
        <f ca="1">IFERROR(__xludf.DUMMYFUNCTION("""COMPUTED_VALUE"""),"Víg Annamária")</f>
        <v>Víg Annamária</v>
      </c>
      <c r="C3997" s="1"/>
      <c r="D3997" s="1" t="str">
        <f ca="1">IFERROR(__xludf.DUMMYFUNCTION("""COMPUTED_VALUE"""),"Nő")</f>
        <v>Nő</v>
      </c>
      <c r="E3997" s="1"/>
      <c r="F3997" s="1">
        <f ca="1">IFERROR(__xludf.DUMMYFUNCTION("""COMPUTED_VALUE"""),1975)</f>
        <v>1975</v>
      </c>
      <c r="G3997" s="1">
        <f ca="1">IFERROR(__xludf.DUMMYFUNCTION("""COMPUTED_VALUE"""),1120)</f>
        <v>1120</v>
      </c>
      <c r="H3997" s="1" t="str">
        <f ca="1">IFERROR(__xludf.DUMMYFUNCTION("""COMPUTED_VALUE"""),"MTLSZ001120A02")</f>
        <v>MTLSZ001120A02</v>
      </c>
      <c r="I3997" s="2">
        <f ca="1">IFERROR(__xludf.DUMMYFUNCTION("""COMPUTED_VALUE"""),37622)</f>
        <v>37622</v>
      </c>
      <c r="J3997" s="2">
        <f ca="1">IFERROR(__xludf.DUMMYFUNCTION("""COMPUTED_VALUE"""),37986)</f>
        <v>37986</v>
      </c>
    </row>
    <row r="3998" spans="1:10" x14ac:dyDescent="0.25">
      <c r="A3998" s="1" t="str">
        <f ca="1">IFERROR(__xludf.DUMMYFUNCTION("""COMPUTED_VALUE"""),"MEAFC")</f>
        <v>MEAFC</v>
      </c>
      <c r="B3998" s="1" t="str">
        <f ca="1">IFERROR(__xludf.DUMMYFUNCTION("""COMPUTED_VALUE"""),"Víg Attila dr.")</f>
        <v>Víg Attila dr.</v>
      </c>
      <c r="C3998" s="1"/>
      <c r="D3998" s="1" t="str">
        <f ca="1">IFERROR(__xludf.DUMMYFUNCTION("""COMPUTED_VALUE"""),"Férfi")</f>
        <v>Férfi</v>
      </c>
      <c r="E3998" s="1"/>
      <c r="F3998" s="1">
        <f ca="1">IFERROR(__xludf.DUMMYFUNCTION("""COMPUTED_VALUE"""),1974)</f>
        <v>1974</v>
      </c>
      <c r="G3998" s="1">
        <f ca="1">IFERROR(__xludf.DUMMYFUNCTION("""COMPUTED_VALUE"""),1121)</f>
        <v>1121</v>
      </c>
      <c r="H3998" s="1" t="str">
        <f ca="1">IFERROR(__xludf.DUMMYFUNCTION("""COMPUTED_VALUE"""),"MTLSZ001121A02")</f>
        <v>MTLSZ001121A02</v>
      </c>
      <c r="I3998" s="2">
        <f ca="1">IFERROR(__xludf.DUMMYFUNCTION("""COMPUTED_VALUE"""),37622)</f>
        <v>37622</v>
      </c>
      <c r="J3998" s="2">
        <f ca="1">IFERROR(__xludf.DUMMYFUNCTION("""COMPUTED_VALUE"""),37986)</f>
        <v>37986</v>
      </c>
    </row>
    <row r="3999" spans="1:10" x14ac:dyDescent="0.25">
      <c r="A3999" s="1" t="str">
        <f ca="1">IFERROR(__xludf.DUMMYFUNCTION("""COMPUTED_VALUE"""),"MEAFC")</f>
        <v>MEAFC</v>
      </c>
      <c r="B3999" s="1" t="str">
        <f ca="1">IFERROR(__xludf.DUMMYFUNCTION("""COMPUTED_VALUE"""),"Zorger Andrea")</f>
        <v>Zorger Andrea</v>
      </c>
      <c r="C3999" s="1"/>
      <c r="D3999" s="1" t="str">
        <f ca="1">IFERROR(__xludf.DUMMYFUNCTION("""COMPUTED_VALUE"""),"Nő")</f>
        <v>Nő</v>
      </c>
      <c r="E3999" s="1"/>
      <c r="F3999" s="1">
        <f ca="1">IFERROR(__xludf.DUMMYFUNCTION("""COMPUTED_VALUE"""),2000)</f>
        <v>2000</v>
      </c>
      <c r="G3999" s="1">
        <f ca="1">IFERROR(__xludf.DUMMYFUNCTION("""COMPUTED_VALUE"""),1147)</f>
        <v>1147</v>
      </c>
      <c r="H3999" s="1" t="str">
        <f ca="1">IFERROR(__xludf.DUMMYFUNCTION("""COMPUTED_VALUE"""),"MTLSZ001147A02")</f>
        <v>MTLSZ001147A02</v>
      </c>
      <c r="I3999" s="2">
        <f ca="1">IFERROR(__xludf.DUMMYFUNCTION("""COMPUTED_VALUE"""),37622)</f>
        <v>37622</v>
      </c>
      <c r="J3999" s="2">
        <f ca="1">IFERROR(__xludf.DUMMYFUNCTION("""COMPUTED_VALUE"""),37986)</f>
        <v>37986</v>
      </c>
    </row>
    <row r="4000" spans="1:10" x14ac:dyDescent="0.25">
      <c r="A4000" s="1" t="str">
        <f ca="1">IFERROR(__xludf.DUMMYFUNCTION("""COMPUTED_VALUE"""),"MAFC")</f>
        <v>MAFC</v>
      </c>
      <c r="B4000" s="1" t="str">
        <f ca="1">IFERROR(__xludf.DUMMYFUNCTION("""COMPUTED_VALUE"""),"Bakos Flóra")</f>
        <v>Bakos Flóra</v>
      </c>
      <c r="C4000" s="1"/>
      <c r="D4000" s="1" t="str">
        <f ca="1">IFERROR(__xludf.DUMMYFUNCTION("""COMPUTED_VALUE"""),"Nő")</f>
        <v>Nő</v>
      </c>
      <c r="E4000" s="1"/>
      <c r="F4000" s="1">
        <f ca="1">IFERROR(__xludf.DUMMYFUNCTION("""COMPUTED_VALUE"""),1994)</f>
        <v>1994</v>
      </c>
      <c r="G4000" s="1">
        <f ca="1">IFERROR(__xludf.DUMMYFUNCTION("""COMPUTED_VALUE"""),1232)</f>
        <v>1232</v>
      </c>
      <c r="H4000" s="1" t="str">
        <f ca="1">IFERROR(__xludf.DUMMYFUNCTION("""COMPUTED_VALUE"""),"MTLSZ001232A02")</f>
        <v>MTLSZ001232A02</v>
      </c>
      <c r="I4000" s="2">
        <f ca="1">IFERROR(__xludf.DUMMYFUNCTION("""COMPUTED_VALUE"""),37622)</f>
        <v>37622</v>
      </c>
      <c r="J4000" s="2">
        <f ca="1">IFERROR(__xludf.DUMMYFUNCTION("""COMPUTED_VALUE"""),37986)</f>
        <v>37986</v>
      </c>
    </row>
    <row r="4001" spans="1:10" x14ac:dyDescent="0.25">
      <c r="A4001" s="1" t="str">
        <f ca="1">IFERROR(__xludf.DUMMYFUNCTION("""COMPUTED_VALUE"""),"MAFC")</f>
        <v>MAFC</v>
      </c>
      <c r="B4001" s="1" t="str">
        <f ca="1">IFERROR(__xludf.DUMMYFUNCTION("""COMPUTED_VALUE"""),"Balogh Rozália")</f>
        <v>Balogh Rozália</v>
      </c>
      <c r="C4001" s="1"/>
      <c r="D4001" s="1" t="str">
        <f ca="1">IFERROR(__xludf.DUMMYFUNCTION("""COMPUTED_VALUE"""),"Nő")</f>
        <v>Nő</v>
      </c>
      <c r="E4001" s="1"/>
      <c r="F4001" s="1">
        <f ca="1">IFERROR(__xludf.DUMMYFUNCTION("""COMPUTED_VALUE"""),1985)</f>
        <v>1985</v>
      </c>
      <c r="G4001" s="1">
        <f ca="1">IFERROR(__xludf.DUMMYFUNCTION("""COMPUTED_VALUE"""),42)</f>
        <v>42</v>
      </c>
      <c r="H4001" s="1" t="str">
        <f ca="1">IFERROR(__xludf.DUMMYFUNCTION("""COMPUTED_VALUE"""),"MTLSZ000042A02")</f>
        <v>MTLSZ000042A02</v>
      </c>
      <c r="I4001" s="2">
        <f ca="1">IFERROR(__xludf.DUMMYFUNCTION("""COMPUTED_VALUE"""),37622)</f>
        <v>37622</v>
      </c>
      <c r="J4001" s="2">
        <f ca="1">IFERROR(__xludf.DUMMYFUNCTION("""COMPUTED_VALUE"""),37986)</f>
        <v>37986</v>
      </c>
    </row>
    <row r="4002" spans="1:10" x14ac:dyDescent="0.25">
      <c r="A4002" s="1" t="str">
        <f ca="1">IFERROR(__xludf.DUMMYFUNCTION("""COMPUTED_VALUE"""),"MAFC")</f>
        <v>MAFC</v>
      </c>
      <c r="B4002" s="1" t="str">
        <f ca="1">IFERROR(__xludf.DUMMYFUNCTION("""COMPUTED_VALUE"""),"Bándy Krisztina")</f>
        <v>Bándy Krisztina</v>
      </c>
      <c r="C4002" s="1"/>
      <c r="D4002" s="1" t="str">
        <f ca="1">IFERROR(__xludf.DUMMYFUNCTION("""COMPUTED_VALUE"""),"Nő")</f>
        <v>Nő</v>
      </c>
      <c r="E4002" s="1"/>
      <c r="F4002" s="1">
        <f ca="1">IFERROR(__xludf.DUMMYFUNCTION("""COMPUTED_VALUE"""),2000)</f>
        <v>2000</v>
      </c>
      <c r="G4002" s="1">
        <f ca="1">IFERROR(__xludf.DUMMYFUNCTION("""COMPUTED_VALUE"""),46)</f>
        <v>46</v>
      </c>
      <c r="H4002" s="1" t="str">
        <f ca="1">IFERROR(__xludf.DUMMYFUNCTION("""COMPUTED_VALUE"""),"MTLSZ000046A02")</f>
        <v>MTLSZ000046A02</v>
      </c>
      <c r="I4002" s="2">
        <f ca="1">IFERROR(__xludf.DUMMYFUNCTION("""COMPUTED_VALUE"""),37622)</f>
        <v>37622</v>
      </c>
      <c r="J4002" s="2">
        <f ca="1">IFERROR(__xludf.DUMMYFUNCTION("""COMPUTED_VALUE"""),37986)</f>
        <v>37986</v>
      </c>
    </row>
    <row r="4003" spans="1:10" x14ac:dyDescent="0.25">
      <c r="A4003" s="1" t="str">
        <f ca="1">IFERROR(__xludf.DUMMYFUNCTION("""COMPUTED_VALUE"""),"MAFC")</f>
        <v>MAFC</v>
      </c>
      <c r="B4003" s="1" t="str">
        <f ca="1">IFERROR(__xludf.DUMMYFUNCTION("""COMPUTED_VALUE"""),"Bánhegyi Andor")</f>
        <v>Bánhegyi Andor</v>
      </c>
      <c r="C4003" s="1"/>
      <c r="D4003" s="1" t="str">
        <f ca="1">IFERROR(__xludf.DUMMYFUNCTION("""COMPUTED_VALUE"""),"Férfi")</f>
        <v>Férfi</v>
      </c>
      <c r="E4003" s="1"/>
      <c r="F4003" s="1">
        <f ca="1">IFERROR(__xludf.DUMMYFUNCTION("""COMPUTED_VALUE"""),1966)</f>
        <v>1966</v>
      </c>
      <c r="G4003" s="1">
        <f ca="1">IFERROR(__xludf.DUMMYFUNCTION("""COMPUTED_VALUE"""),50)</f>
        <v>50</v>
      </c>
      <c r="H4003" s="1" t="str">
        <f ca="1">IFERROR(__xludf.DUMMYFUNCTION("""COMPUTED_VALUE"""),"MTLSZ000050A02")</f>
        <v>MTLSZ000050A02</v>
      </c>
      <c r="I4003" s="2">
        <f ca="1">IFERROR(__xludf.DUMMYFUNCTION("""COMPUTED_VALUE"""),37622)</f>
        <v>37622</v>
      </c>
      <c r="J4003" s="2">
        <f ca="1">IFERROR(__xludf.DUMMYFUNCTION("""COMPUTED_VALUE"""),37986)</f>
        <v>37986</v>
      </c>
    </row>
    <row r="4004" spans="1:10" x14ac:dyDescent="0.25">
      <c r="A4004" s="1" t="str">
        <f ca="1">IFERROR(__xludf.DUMMYFUNCTION("""COMPUTED_VALUE"""),"MAFC")</f>
        <v>MAFC</v>
      </c>
      <c r="B4004" s="1" t="str">
        <f ca="1">IFERROR(__xludf.DUMMYFUNCTION("""COMPUTED_VALUE"""),"Csikós Gábor")</f>
        <v>Csikós Gábor</v>
      </c>
      <c r="C4004" s="1"/>
      <c r="D4004" s="1" t="str">
        <f ca="1">IFERROR(__xludf.DUMMYFUNCTION("""COMPUTED_VALUE"""),"Férfi")</f>
        <v>Férfi</v>
      </c>
      <c r="E4004" s="1"/>
      <c r="F4004" s="1">
        <f ca="1">IFERROR(__xludf.DUMMYFUNCTION("""COMPUTED_VALUE"""),1970)</f>
        <v>1970</v>
      </c>
      <c r="G4004" s="1">
        <f ca="1">IFERROR(__xludf.DUMMYFUNCTION("""COMPUTED_VALUE"""),145)</f>
        <v>145</v>
      </c>
      <c r="H4004" s="1" t="str">
        <f ca="1">IFERROR(__xludf.DUMMYFUNCTION("""COMPUTED_VALUE"""),"MTLSZ000145A02")</f>
        <v>MTLSZ000145A02</v>
      </c>
      <c r="I4004" s="2">
        <f ca="1">IFERROR(__xludf.DUMMYFUNCTION("""COMPUTED_VALUE"""),37622)</f>
        <v>37622</v>
      </c>
      <c r="J4004" s="2">
        <f ca="1">IFERROR(__xludf.DUMMYFUNCTION("""COMPUTED_VALUE"""),37986)</f>
        <v>37986</v>
      </c>
    </row>
    <row r="4005" spans="1:10" x14ac:dyDescent="0.25">
      <c r="A4005" s="1" t="str">
        <f ca="1">IFERROR(__xludf.DUMMYFUNCTION("""COMPUTED_VALUE"""),"MAFC")</f>
        <v>MAFC</v>
      </c>
      <c r="B4005" s="1" t="str">
        <f ca="1">IFERROR(__xludf.DUMMYFUNCTION("""COMPUTED_VALUE"""),"Czoboly Mihály")</f>
        <v>Czoboly Mihály</v>
      </c>
      <c r="C4005" s="1"/>
      <c r="D4005" s="1" t="str">
        <f ca="1">IFERROR(__xludf.DUMMYFUNCTION("""COMPUTED_VALUE"""),"Férfi")</f>
        <v>Férfi</v>
      </c>
      <c r="E4005" s="1"/>
      <c r="F4005" s="1">
        <f ca="1">IFERROR(__xludf.DUMMYFUNCTION("""COMPUTED_VALUE"""),1987)</f>
        <v>1987</v>
      </c>
      <c r="G4005" s="1">
        <f ca="1">IFERROR(__xludf.DUMMYFUNCTION("""COMPUTED_VALUE"""),167)</f>
        <v>167</v>
      </c>
      <c r="H4005" s="1" t="str">
        <f ca="1">IFERROR(__xludf.DUMMYFUNCTION("""COMPUTED_VALUE"""),"MTLSZ000167A02")</f>
        <v>MTLSZ000167A02</v>
      </c>
      <c r="I4005" s="2">
        <f ca="1">IFERROR(__xludf.DUMMYFUNCTION("""COMPUTED_VALUE"""),37622)</f>
        <v>37622</v>
      </c>
      <c r="J4005" s="2">
        <f ca="1">IFERROR(__xludf.DUMMYFUNCTION("""COMPUTED_VALUE"""),37986)</f>
        <v>37986</v>
      </c>
    </row>
    <row r="4006" spans="1:10" x14ac:dyDescent="0.25">
      <c r="A4006" s="1" t="str">
        <f ca="1">IFERROR(__xludf.DUMMYFUNCTION("""COMPUTED_VALUE"""),"MAFC")</f>
        <v>MAFC</v>
      </c>
      <c r="B4006" s="1" t="str">
        <f ca="1">IFERROR(__xludf.DUMMYFUNCTION("""COMPUTED_VALUE"""),"Darabos Balázs")</f>
        <v>Darabos Balázs</v>
      </c>
      <c r="C4006" s="1"/>
      <c r="D4006" s="1" t="str">
        <f ca="1">IFERROR(__xludf.DUMMYFUNCTION("""COMPUTED_VALUE"""),"Férfi")</f>
        <v>Férfi</v>
      </c>
      <c r="E4006" s="1"/>
      <c r="F4006" s="1">
        <f ca="1">IFERROR(__xludf.DUMMYFUNCTION("""COMPUTED_VALUE"""),1972)</f>
        <v>1972</v>
      </c>
      <c r="G4006" s="1">
        <f ca="1">IFERROR(__xludf.DUMMYFUNCTION("""COMPUTED_VALUE"""),174)</f>
        <v>174</v>
      </c>
      <c r="H4006" s="1" t="str">
        <f ca="1">IFERROR(__xludf.DUMMYFUNCTION("""COMPUTED_VALUE"""),"MTLSZ000174A02")</f>
        <v>MTLSZ000174A02</v>
      </c>
      <c r="I4006" s="2">
        <f ca="1">IFERROR(__xludf.DUMMYFUNCTION("""COMPUTED_VALUE"""),37622)</f>
        <v>37622</v>
      </c>
      <c r="J4006" s="2">
        <f ca="1">IFERROR(__xludf.DUMMYFUNCTION("""COMPUTED_VALUE"""),37986)</f>
        <v>37986</v>
      </c>
    </row>
    <row r="4007" spans="1:10" x14ac:dyDescent="0.25">
      <c r="A4007" s="1" t="str">
        <f ca="1">IFERROR(__xludf.DUMMYFUNCTION("""COMPUTED_VALUE"""),"MAFC")</f>
        <v>MAFC</v>
      </c>
      <c r="B4007" s="1" t="str">
        <f ca="1">IFERROR(__xludf.DUMMYFUNCTION("""COMPUTED_VALUE"""),"Dömötör Norbert")</f>
        <v>Dömötör Norbert</v>
      </c>
      <c r="C4007" s="1"/>
      <c r="D4007" s="1" t="str">
        <f ca="1">IFERROR(__xludf.DUMMYFUNCTION("""COMPUTED_VALUE"""),"Férfi")</f>
        <v>Férfi</v>
      </c>
      <c r="E4007" s="1"/>
      <c r="F4007" s="1">
        <f ca="1">IFERROR(__xludf.DUMMYFUNCTION("""COMPUTED_VALUE"""),1986)</f>
        <v>1986</v>
      </c>
      <c r="G4007" s="1">
        <f ca="1">IFERROR(__xludf.DUMMYFUNCTION("""COMPUTED_VALUE"""),204)</f>
        <v>204</v>
      </c>
      <c r="H4007" s="1" t="str">
        <f ca="1">IFERROR(__xludf.DUMMYFUNCTION("""COMPUTED_VALUE"""),"MTLSZ000204A02")</f>
        <v>MTLSZ000204A02</v>
      </c>
      <c r="I4007" s="2">
        <f ca="1">IFERROR(__xludf.DUMMYFUNCTION("""COMPUTED_VALUE"""),37622)</f>
        <v>37622</v>
      </c>
      <c r="J4007" s="2">
        <f ca="1">IFERROR(__xludf.DUMMYFUNCTION("""COMPUTED_VALUE"""),37986)</f>
        <v>37986</v>
      </c>
    </row>
    <row r="4008" spans="1:10" x14ac:dyDescent="0.25">
      <c r="A4008" s="1" t="str">
        <f ca="1">IFERROR(__xludf.DUMMYFUNCTION("""COMPUTED_VALUE"""),"MAFC")</f>
        <v>MAFC</v>
      </c>
      <c r="B4008" s="1" t="str">
        <f ca="1">IFERROR(__xludf.DUMMYFUNCTION("""COMPUTED_VALUE"""),"Forczek Gábor")</f>
        <v>Forczek Gábor</v>
      </c>
      <c r="C4008" s="1"/>
      <c r="D4008" s="1" t="str">
        <f ca="1">IFERROR(__xludf.DUMMYFUNCTION("""COMPUTED_VALUE"""),"Férfi")</f>
        <v>Férfi</v>
      </c>
      <c r="E4008" s="1"/>
      <c r="F4008" s="1">
        <f ca="1">IFERROR(__xludf.DUMMYFUNCTION("""COMPUTED_VALUE"""),1973)</f>
        <v>1973</v>
      </c>
      <c r="G4008" s="1">
        <f ca="1">IFERROR(__xludf.DUMMYFUNCTION("""COMPUTED_VALUE"""),258)</f>
        <v>258</v>
      </c>
      <c r="H4008" s="1" t="str">
        <f ca="1">IFERROR(__xludf.DUMMYFUNCTION("""COMPUTED_VALUE"""),"MTLSZ000258A02")</f>
        <v>MTLSZ000258A02</v>
      </c>
      <c r="I4008" s="2">
        <f ca="1">IFERROR(__xludf.DUMMYFUNCTION("""COMPUTED_VALUE"""),37622)</f>
        <v>37622</v>
      </c>
      <c r="J4008" s="2">
        <f ca="1">IFERROR(__xludf.DUMMYFUNCTION("""COMPUTED_VALUE"""),37986)</f>
        <v>37986</v>
      </c>
    </row>
    <row r="4009" spans="1:10" x14ac:dyDescent="0.25">
      <c r="A4009" s="1" t="str">
        <f ca="1">IFERROR(__xludf.DUMMYFUNCTION("""COMPUTED_VALUE"""),"MAFC")</f>
        <v>MAFC</v>
      </c>
      <c r="B4009" s="1" t="str">
        <f ca="1">IFERROR(__xludf.DUMMYFUNCTION("""COMPUTED_VALUE"""),"Fórián Szabó Balázs")</f>
        <v>Fórián Szabó Balázs</v>
      </c>
      <c r="C4009" s="1"/>
      <c r="D4009" s="1" t="str">
        <f ca="1">IFERROR(__xludf.DUMMYFUNCTION("""COMPUTED_VALUE"""),"Férfi")</f>
        <v>Férfi</v>
      </c>
      <c r="E4009" s="1"/>
      <c r="F4009" s="1">
        <f ca="1">IFERROR(__xludf.DUMMYFUNCTION("""COMPUTED_VALUE"""),1979)</f>
        <v>1979</v>
      </c>
      <c r="G4009" s="1">
        <f ca="1">IFERROR(__xludf.DUMMYFUNCTION("""COMPUTED_VALUE"""),260)</f>
        <v>260</v>
      </c>
      <c r="H4009" s="1" t="str">
        <f ca="1">IFERROR(__xludf.DUMMYFUNCTION("""COMPUTED_VALUE"""),"MTLSZ000260A02")</f>
        <v>MTLSZ000260A02</v>
      </c>
      <c r="I4009" s="2">
        <f ca="1">IFERROR(__xludf.DUMMYFUNCTION("""COMPUTED_VALUE"""),37622)</f>
        <v>37622</v>
      </c>
      <c r="J4009" s="2">
        <f ca="1">IFERROR(__xludf.DUMMYFUNCTION("""COMPUTED_VALUE"""),37986)</f>
        <v>37986</v>
      </c>
    </row>
    <row r="4010" spans="1:10" x14ac:dyDescent="0.25">
      <c r="A4010" s="1" t="str">
        <f ca="1">IFERROR(__xludf.DUMMYFUNCTION("""COMPUTED_VALUE"""),"MAFC")</f>
        <v>MAFC</v>
      </c>
      <c r="B4010" s="1" t="str">
        <f ca="1">IFERROR(__xludf.DUMMYFUNCTION("""COMPUTED_VALUE"""),"Gunawan Samudra")</f>
        <v>Gunawan Samudra</v>
      </c>
      <c r="C4010" s="1"/>
      <c r="D4010" s="1" t="str">
        <f ca="1">IFERROR(__xludf.DUMMYFUNCTION("""COMPUTED_VALUE"""),"Férfi")</f>
        <v>Férfi</v>
      </c>
      <c r="E4010" s="1"/>
      <c r="F4010" s="1">
        <f ca="1">IFERROR(__xludf.DUMMYFUNCTION("""COMPUTED_VALUE"""),1962)</f>
        <v>1962</v>
      </c>
      <c r="G4010" s="1">
        <f ca="1">IFERROR(__xludf.DUMMYFUNCTION("""COMPUTED_VALUE"""),314)</f>
        <v>314</v>
      </c>
      <c r="H4010" s="1" t="str">
        <f ca="1">IFERROR(__xludf.DUMMYFUNCTION("""COMPUTED_VALUE"""),"MTLSZ000314A02")</f>
        <v>MTLSZ000314A02</v>
      </c>
      <c r="I4010" s="2">
        <f ca="1">IFERROR(__xludf.DUMMYFUNCTION("""COMPUTED_VALUE"""),37622)</f>
        <v>37622</v>
      </c>
      <c r="J4010" s="2">
        <f ca="1">IFERROR(__xludf.DUMMYFUNCTION("""COMPUTED_VALUE"""),37986)</f>
        <v>37986</v>
      </c>
    </row>
    <row r="4011" spans="1:10" x14ac:dyDescent="0.25">
      <c r="A4011" s="1" t="str">
        <f ca="1">IFERROR(__xludf.DUMMYFUNCTION("""COMPUTED_VALUE"""),"MAFC")</f>
        <v>MAFC</v>
      </c>
      <c r="B4011" s="1" t="str">
        <f ca="1">IFERROR(__xludf.DUMMYFUNCTION("""COMPUTED_VALUE"""),"György Anikó")</f>
        <v>György Anikó</v>
      </c>
      <c r="C4011" s="1"/>
      <c r="D4011" s="1" t="str">
        <f ca="1">IFERROR(__xludf.DUMMYFUNCTION("""COMPUTED_VALUE"""),"Nő")</f>
        <v>Nő</v>
      </c>
      <c r="E4011" s="1"/>
      <c r="F4011" s="1">
        <f ca="1">IFERROR(__xludf.DUMMYFUNCTION("""COMPUTED_VALUE"""),1979)</f>
        <v>1979</v>
      </c>
      <c r="G4011" s="1">
        <f ca="1">IFERROR(__xludf.DUMMYFUNCTION("""COMPUTED_VALUE"""),326)</f>
        <v>326</v>
      </c>
      <c r="H4011" s="1" t="str">
        <f ca="1">IFERROR(__xludf.DUMMYFUNCTION("""COMPUTED_VALUE"""),"MTLSZ000326A02")</f>
        <v>MTLSZ000326A02</v>
      </c>
      <c r="I4011" s="2">
        <f ca="1">IFERROR(__xludf.DUMMYFUNCTION("""COMPUTED_VALUE"""),37622)</f>
        <v>37622</v>
      </c>
      <c r="J4011" s="2">
        <f ca="1">IFERROR(__xludf.DUMMYFUNCTION("""COMPUTED_VALUE"""),37986)</f>
        <v>37986</v>
      </c>
    </row>
    <row r="4012" spans="1:10" x14ac:dyDescent="0.25">
      <c r="A4012" s="1" t="str">
        <f ca="1">IFERROR(__xludf.DUMMYFUNCTION("""COMPUTED_VALUE"""),"MAFC")</f>
        <v>MAFC</v>
      </c>
      <c r="B4012" s="1" t="str">
        <f ca="1">IFERROR(__xludf.DUMMYFUNCTION("""COMPUTED_VALUE"""),"Gyurkovics Bálint")</f>
        <v>Gyurkovics Bálint</v>
      </c>
      <c r="C4012" s="1"/>
      <c r="D4012" s="1" t="str">
        <f ca="1">IFERROR(__xludf.DUMMYFUNCTION("""COMPUTED_VALUE"""),"Férfi")</f>
        <v>Férfi</v>
      </c>
      <c r="E4012" s="1"/>
      <c r="F4012" s="1">
        <f ca="1">IFERROR(__xludf.DUMMYFUNCTION("""COMPUTED_VALUE"""),1987)</f>
        <v>1987</v>
      </c>
      <c r="G4012" s="1">
        <f ca="1">IFERROR(__xludf.DUMMYFUNCTION("""COMPUTED_VALUE"""),1282)</f>
        <v>1282</v>
      </c>
      <c r="H4012" s="1" t="str">
        <f ca="1">IFERROR(__xludf.DUMMYFUNCTION("""COMPUTED_VALUE"""),"MTLSZ001282A02")</f>
        <v>MTLSZ001282A02</v>
      </c>
      <c r="I4012" s="2">
        <f ca="1">IFERROR(__xludf.DUMMYFUNCTION("""COMPUTED_VALUE"""),37622)</f>
        <v>37622</v>
      </c>
      <c r="J4012" s="2">
        <f ca="1">IFERROR(__xludf.DUMMYFUNCTION("""COMPUTED_VALUE"""),37986)</f>
        <v>37986</v>
      </c>
    </row>
    <row r="4013" spans="1:10" x14ac:dyDescent="0.25">
      <c r="A4013" s="1" t="str">
        <f ca="1">IFERROR(__xludf.DUMMYFUNCTION("""COMPUTED_VALUE"""),"MAFC")</f>
        <v>MAFC</v>
      </c>
      <c r="B4013" s="1" t="str">
        <f ca="1">IFERROR(__xludf.DUMMYFUNCTION("""COMPUTED_VALUE"""),"Harangozó Hanna")</f>
        <v>Harangozó Hanna</v>
      </c>
      <c r="C4013" s="1"/>
      <c r="D4013" s="1" t="str">
        <f ca="1">IFERROR(__xludf.DUMMYFUNCTION("""COMPUTED_VALUE"""),"Nő")</f>
        <v>Nő</v>
      </c>
      <c r="E4013" s="1"/>
      <c r="F4013" s="1">
        <f ca="1">IFERROR(__xludf.DUMMYFUNCTION("""COMPUTED_VALUE"""),1982)</f>
        <v>1982</v>
      </c>
      <c r="G4013" s="1">
        <f ca="1">IFERROR(__xludf.DUMMYFUNCTION("""COMPUTED_VALUE"""),340)</f>
        <v>340</v>
      </c>
      <c r="H4013" s="1" t="str">
        <f ca="1">IFERROR(__xludf.DUMMYFUNCTION("""COMPUTED_VALUE"""),"MTLSZ000340A02")</f>
        <v>MTLSZ000340A02</v>
      </c>
      <c r="I4013" s="2">
        <f ca="1">IFERROR(__xludf.DUMMYFUNCTION("""COMPUTED_VALUE"""),37622)</f>
        <v>37622</v>
      </c>
      <c r="J4013" s="2">
        <f ca="1">IFERROR(__xludf.DUMMYFUNCTION("""COMPUTED_VALUE"""),37986)</f>
        <v>37986</v>
      </c>
    </row>
    <row r="4014" spans="1:10" x14ac:dyDescent="0.25">
      <c r="A4014" s="1" t="str">
        <f ca="1">IFERROR(__xludf.DUMMYFUNCTION("""COMPUTED_VALUE"""),"MAFC")</f>
        <v>MAFC</v>
      </c>
      <c r="B4014" s="1" t="str">
        <f ca="1">IFERROR(__xludf.DUMMYFUNCTION("""COMPUTED_VALUE"""),"Hári Dóra")</f>
        <v>Hári Dóra</v>
      </c>
      <c r="C4014" s="1"/>
      <c r="D4014" s="1" t="str">
        <f ca="1">IFERROR(__xludf.DUMMYFUNCTION("""COMPUTED_VALUE"""),"Nő")</f>
        <v>Nő</v>
      </c>
      <c r="E4014" s="1"/>
      <c r="F4014" s="1">
        <f ca="1">IFERROR(__xludf.DUMMYFUNCTION("""COMPUTED_VALUE"""),1991)</f>
        <v>1991</v>
      </c>
      <c r="G4014" s="1">
        <f ca="1">IFERROR(__xludf.DUMMYFUNCTION("""COMPUTED_VALUE"""),342)</f>
        <v>342</v>
      </c>
      <c r="H4014" s="1" t="str">
        <f ca="1">IFERROR(__xludf.DUMMYFUNCTION("""COMPUTED_VALUE"""),"MTLSZ000342A02")</f>
        <v>MTLSZ000342A02</v>
      </c>
      <c r="I4014" s="2">
        <f ca="1">IFERROR(__xludf.DUMMYFUNCTION("""COMPUTED_VALUE"""),37622)</f>
        <v>37622</v>
      </c>
      <c r="J4014" s="2">
        <f ca="1">IFERROR(__xludf.DUMMYFUNCTION("""COMPUTED_VALUE"""),37986)</f>
        <v>37986</v>
      </c>
    </row>
    <row r="4015" spans="1:10" x14ac:dyDescent="0.25">
      <c r="A4015" s="1" t="str">
        <f ca="1">IFERROR(__xludf.DUMMYFUNCTION("""COMPUTED_VALUE"""),"MAFC")</f>
        <v>MAFC</v>
      </c>
      <c r="B4015" s="1" t="str">
        <f ca="1">IFERROR(__xludf.DUMMYFUNCTION("""COMPUTED_VALUE"""),"Hári Viktória")</f>
        <v>Hári Viktória</v>
      </c>
      <c r="C4015" s="1"/>
      <c r="D4015" s="1" t="str">
        <f ca="1">IFERROR(__xludf.DUMMYFUNCTION("""COMPUTED_VALUE"""),"Nő")</f>
        <v>Nő</v>
      </c>
      <c r="E4015" s="1"/>
      <c r="F4015" s="1">
        <f ca="1">IFERROR(__xludf.DUMMYFUNCTION("""COMPUTED_VALUE"""),1988)</f>
        <v>1988</v>
      </c>
      <c r="G4015" s="1">
        <f ca="1">IFERROR(__xludf.DUMMYFUNCTION("""COMPUTED_VALUE"""),343)</f>
        <v>343</v>
      </c>
      <c r="H4015" s="1" t="str">
        <f ca="1">IFERROR(__xludf.DUMMYFUNCTION("""COMPUTED_VALUE"""),"MTLSZ000343A02")</f>
        <v>MTLSZ000343A02</v>
      </c>
      <c r="I4015" s="2">
        <f ca="1">IFERROR(__xludf.DUMMYFUNCTION("""COMPUTED_VALUE"""),37622)</f>
        <v>37622</v>
      </c>
      <c r="J4015" s="2">
        <f ca="1">IFERROR(__xludf.DUMMYFUNCTION("""COMPUTED_VALUE"""),37986)</f>
        <v>37986</v>
      </c>
    </row>
    <row r="4016" spans="1:10" x14ac:dyDescent="0.25">
      <c r="A4016" s="1" t="str">
        <f ca="1">IFERROR(__xludf.DUMMYFUNCTION("""COMPUTED_VALUE"""),"MAFC")</f>
        <v>MAFC</v>
      </c>
      <c r="B4016" s="1" t="str">
        <f ca="1">IFERROR(__xludf.DUMMYFUNCTION("""COMPUTED_VALUE"""),"Hegedűs Mária Boróka dr.")</f>
        <v>Hegedűs Mária Boróka dr.</v>
      </c>
      <c r="C4016" s="1"/>
      <c r="D4016" s="1" t="str">
        <f ca="1">IFERROR(__xludf.DUMMYFUNCTION("""COMPUTED_VALUE"""),"Nő")</f>
        <v>Nő</v>
      </c>
      <c r="E4016" s="1"/>
      <c r="F4016" s="1">
        <f ca="1">IFERROR(__xludf.DUMMYFUNCTION("""COMPUTED_VALUE"""),1976)</f>
        <v>1976</v>
      </c>
      <c r="G4016" s="1">
        <f ca="1">IFERROR(__xludf.DUMMYFUNCTION("""COMPUTED_VALUE"""),1251)</f>
        <v>1251</v>
      </c>
      <c r="H4016" s="1" t="str">
        <f ca="1">IFERROR(__xludf.DUMMYFUNCTION("""COMPUTED_VALUE"""),"MTLSZ001251A02")</f>
        <v>MTLSZ001251A02</v>
      </c>
      <c r="I4016" s="2">
        <f ca="1">IFERROR(__xludf.DUMMYFUNCTION("""COMPUTED_VALUE"""),37622)</f>
        <v>37622</v>
      </c>
      <c r="J4016" s="2">
        <f ca="1">IFERROR(__xludf.DUMMYFUNCTION("""COMPUTED_VALUE"""),37986)</f>
        <v>37986</v>
      </c>
    </row>
    <row r="4017" spans="1:10" x14ac:dyDescent="0.25">
      <c r="A4017" s="1" t="str">
        <f ca="1">IFERROR(__xludf.DUMMYFUNCTION("""COMPUTED_VALUE"""),"MAFC")</f>
        <v>MAFC</v>
      </c>
      <c r="B4017" s="1" t="str">
        <f ca="1">IFERROR(__xludf.DUMMYFUNCTION("""COMPUTED_VALUE"""),"Herke Mátyás")</f>
        <v>Herke Mátyás</v>
      </c>
      <c r="C4017" s="1"/>
      <c r="D4017" s="1" t="str">
        <f ca="1">IFERROR(__xludf.DUMMYFUNCTION("""COMPUTED_VALUE"""),"Férfi")</f>
        <v>Férfi</v>
      </c>
      <c r="E4017" s="1"/>
      <c r="F4017" s="1">
        <f ca="1">IFERROR(__xludf.DUMMYFUNCTION("""COMPUTED_VALUE"""),1983)</f>
        <v>1983</v>
      </c>
      <c r="G4017" s="1">
        <f ca="1">IFERROR(__xludf.DUMMYFUNCTION("""COMPUTED_VALUE"""),357)</f>
        <v>357</v>
      </c>
      <c r="H4017" s="1" t="str">
        <f ca="1">IFERROR(__xludf.DUMMYFUNCTION("""COMPUTED_VALUE"""),"MTLSZ000357A02")</f>
        <v>MTLSZ000357A02</v>
      </c>
      <c r="I4017" s="2">
        <f ca="1">IFERROR(__xludf.DUMMYFUNCTION("""COMPUTED_VALUE"""),37622)</f>
        <v>37622</v>
      </c>
      <c r="J4017" s="2">
        <f ca="1">IFERROR(__xludf.DUMMYFUNCTION("""COMPUTED_VALUE"""),37986)</f>
        <v>37986</v>
      </c>
    </row>
    <row r="4018" spans="1:10" x14ac:dyDescent="0.25">
      <c r="A4018" s="1" t="str">
        <f ca="1">IFERROR(__xludf.DUMMYFUNCTION("""COMPUTED_VALUE"""),"MAFC")</f>
        <v>MAFC</v>
      </c>
      <c r="B4018" s="1" t="str">
        <f ca="1">IFERROR(__xludf.DUMMYFUNCTION("""COMPUTED_VALUE"""),"Hittner Krisztina")</f>
        <v>Hittner Krisztina</v>
      </c>
      <c r="C4018" s="1"/>
      <c r="D4018" s="1" t="str">
        <f ca="1">IFERROR(__xludf.DUMMYFUNCTION("""COMPUTED_VALUE"""),"Nő")</f>
        <v>Nő</v>
      </c>
      <c r="E4018" s="1"/>
      <c r="F4018" s="1">
        <f ca="1">IFERROR(__xludf.DUMMYFUNCTION("""COMPUTED_VALUE"""),1988)</f>
        <v>1988</v>
      </c>
      <c r="G4018" s="1">
        <f ca="1">IFERROR(__xludf.DUMMYFUNCTION("""COMPUTED_VALUE"""),1283)</f>
        <v>1283</v>
      </c>
      <c r="H4018" s="1" t="str">
        <f ca="1">IFERROR(__xludf.DUMMYFUNCTION("""COMPUTED_VALUE"""),"MTLSZ001283A02")</f>
        <v>MTLSZ001283A02</v>
      </c>
      <c r="I4018" s="2">
        <f ca="1">IFERROR(__xludf.DUMMYFUNCTION("""COMPUTED_VALUE"""),37622)</f>
        <v>37622</v>
      </c>
      <c r="J4018" s="2">
        <f ca="1">IFERROR(__xludf.DUMMYFUNCTION("""COMPUTED_VALUE"""),37986)</f>
        <v>37986</v>
      </c>
    </row>
    <row r="4019" spans="1:10" x14ac:dyDescent="0.25">
      <c r="A4019" s="1" t="str">
        <f ca="1">IFERROR(__xludf.DUMMYFUNCTION("""COMPUTED_VALUE"""),"MAFC")</f>
        <v>MAFC</v>
      </c>
      <c r="B4019" s="1" t="str">
        <f ca="1">IFERROR(__xludf.DUMMYFUNCTION("""COMPUTED_VALUE"""),"Hoffmann Endre")</f>
        <v>Hoffmann Endre</v>
      </c>
      <c r="C4019" s="1"/>
      <c r="D4019" s="1" t="str">
        <f ca="1">IFERROR(__xludf.DUMMYFUNCTION("""COMPUTED_VALUE"""),"Férfi")</f>
        <v>Férfi</v>
      </c>
      <c r="E4019" s="1"/>
      <c r="F4019" s="1">
        <f ca="1">IFERROR(__xludf.DUMMYFUNCTION("""COMPUTED_VALUE"""),1975)</f>
        <v>1975</v>
      </c>
      <c r="G4019" s="1">
        <f ca="1">IFERROR(__xludf.DUMMYFUNCTION("""COMPUTED_VALUE"""),1252)</f>
        <v>1252</v>
      </c>
      <c r="H4019" s="1" t="str">
        <f ca="1">IFERROR(__xludf.DUMMYFUNCTION("""COMPUTED_VALUE"""),"MTLSZ001252A02")</f>
        <v>MTLSZ001252A02</v>
      </c>
      <c r="I4019" s="2">
        <f ca="1">IFERROR(__xludf.DUMMYFUNCTION("""COMPUTED_VALUE"""),37622)</f>
        <v>37622</v>
      </c>
      <c r="J4019" s="2">
        <f ca="1">IFERROR(__xludf.DUMMYFUNCTION("""COMPUTED_VALUE"""),37986)</f>
        <v>37986</v>
      </c>
    </row>
    <row r="4020" spans="1:10" x14ac:dyDescent="0.25">
      <c r="A4020" s="1" t="str">
        <f ca="1">IFERROR(__xludf.DUMMYFUNCTION("""COMPUTED_VALUE"""),"MAFC")</f>
        <v>MAFC</v>
      </c>
      <c r="B4020" s="1" t="str">
        <f ca="1">IFERROR(__xludf.DUMMYFUNCTION("""COMPUTED_VALUE"""),"Horváth Anna Zsófia")</f>
        <v>Horváth Anna Zsófia</v>
      </c>
      <c r="C4020" s="1"/>
      <c r="D4020" s="1" t="str">
        <f ca="1">IFERROR(__xludf.DUMMYFUNCTION("""COMPUTED_VALUE"""),"Nő")</f>
        <v>Nő</v>
      </c>
      <c r="E4020" s="1"/>
      <c r="F4020" s="1">
        <f ca="1">IFERROR(__xludf.DUMMYFUNCTION("""COMPUTED_VALUE"""),1992)</f>
        <v>1992</v>
      </c>
      <c r="G4020" s="1">
        <f ca="1">IFERROR(__xludf.DUMMYFUNCTION("""COMPUTED_VALUE"""),1233)</f>
        <v>1233</v>
      </c>
      <c r="H4020" s="1" t="str">
        <f ca="1">IFERROR(__xludf.DUMMYFUNCTION("""COMPUTED_VALUE"""),"MTLSZ001233A02")</f>
        <v>MTLSZ001233A02</v>
      </c>
      <c r="I4020" s="2">
        <f ca="1">IFERROR(__xludf.DUMMYFUNCTION("""COMPUTED_VALUE"""),37622)</f>
        <v>37622</v>
      </c>
      <c r="J4020" s="2">
        <f ca="1">IFERROR(__xludf.DUMMYFUNCTION("""COMPUTED_VALUE"""),37986)</f>
        <v>37986</v>
      </c>
    </row>
    <row r="4021" spans="1:10" x14ac:dyDescent="0.25">
      <c r="A4021" s="1" t="str">
        <f ca="1">IFERROR(__xludf.DUMMYFUNCTION("""COMPUTED_VALUE"""),"MAFC")</f>
        <v>MAFC</v>
      </c>
      <c r="B4021" s="1" t="str">
        <f ca="1">IFERROR(__xludf.DUMMYFUNCTION("""COMPUTED_VALUE"""),"Irwan Rosyadi")</f>
        <v>Irwan Rosyadi</v>
      </c>
      <c r="C4021" s="1"/>
      <c r="D4021" s="1" t="str">
        <f ca="1">IFERROR(__xludf.DUMMYFUNCTION("""COMPUTED_VALUE"""),"Férfi")</f>
        <v>Férfi</v>
      </c>
      <c r="E4021" s="1"/>
      <c r="F4021" s="1">
        <f ca="1">IFERROR(__xludf.DUMMYFUNCTION("""COMPUTED_VALUE"""),1967)</f>
        <v>1967</v>
      </c>
      <c r="G4021" s="1">
        <f ca="1">IFERROR(__xludf.DUMMYFUNCTION("""COMPUTED_VALUE"""),398)</f>
        <v>398</v>
      </c>
      <c r="H4021" s="1" t="str">
        <f ca="1">IFERROR(__xludf.DUMMYFUNCTION("""COMPUTED_VALUE"""),"MTLSZ000398A02")</f>
        <v>MTLSZ000398A02</v>
      </c>
      <c r="I4021" s="2">
        <f ca="1">IFERROR(__xludf.DUMMYFUNCTION("""COMPUTED_VALUE"""),37622)</f>
        <v>37622</v>
      </c>
      <c r="J4021" s="2">
        <f ca="1">IFERROR(__xludf.DUMMYFUNCTION("""COMPUTED_VALUE"""),37986)</f>
        <v>37986</v>
      </c>
    </row>
    <row r="4022" spans="1:10" x14ac:dyDescent="0.25">
      <c r="A4022" s="1" t="str">
        <f ca="1">IFERROR(__xludf.DUMMYFUNCTION("""COMPUTED_VALUE"""),"MAFC")</f>
        <v>MAFC</v>
      </c>
      <c r="B4022" s="1" t="str">
        <f ca="1">IFERROR(__xludf.DUMMYFUNCTION("""COMPUTED_VALUE"""),"Istvánovics Gábor")</f>
        <v>Istvánovics Gábor</v>
      </c>
      <c r="C4022" s="1"/>
      <c r="D4022" s="1" t="str">
        <f ca="1">IFERROR(__xludf.DUMMYFUNCTION("""COMPUTED_VALUE"""),"Férfi")</f>
        <v>Férfi</v>
      </c>
      <c r="E4022" s="1"/>
      <c r="F4022" s="1">
        <f ca="1">IFERROR(__xludf.DUMMYFUNCTION("""COMPUTED_VALUE"""),1987)</f>
        <v>1987</v>
      </c>
      <c r="G4022" s="1">
        <f ca="1">IFERROR(__xludf.DUMMYFUNCTION("""COMPUTED_VALUE"""),401)</f>
        <v>401</v>
      </c>
      <c r="H4022" s="1" t="str">
        <f ca="1">IFERROR(__xludf.DUMMYFUNCTION("""COMPUTED_VALUE"""),"MTLSZ000401A02")</f>
        <v>MTLSZ000401A02</v>
      </c>
      <c r="I4022" s="2">
        <f ca="1">IFERROR(__xludf.DUMMYFUNCTION("""COMPUTED_VALUE"""),37622)</f>
        <v>37622</v>
      </c>
      <c r="J4022" s="2">
        <f ca="1">IFERROR(__xludf.DUMMYFUNCTION("""COMPUTED_VALUE"""),37986)</f>
        <v>37986</v>
      </c>
    </row>
    <row r="4023" spans="1:10" x14ac:dyDescent="0.25">
      <c r="A4023" s="1" t="str">
        <f ca="1">IFERROR(__xludf.DUMMYFUNCTION("""COMPUTED_VALUE"""),"MAFC")</f>
        <v>MAFC</v>
      </c>
      <c r="B4023" s="1" t="str">
        <f ca="1">IFERROR(__xludf.DUMMYFUNCTION("""COMPUTED_VALUE"""),"Iványi Ervin")</f>
        <v>Iványi Ervin</v>
      </c>
      <c r="C4023" s="1"/>
      <c r="D4023" s="1" t="str">
        <f ca="1">IFERROR(__xludf.DUMMYFUNCTION("""COMPUTED_VALUE"""),"Férfi")</f>
        <v>Férfi</v>
      </c>
      <c r="E4023" s="1"/>
      <c r="F4023" s="1">
        <f ca="1">IFERROR(__xludf.DUMMYFUNCTION("""COMPUTED_VALUE"""),1965)</f>
        <v>1965</v>
      </c>
      <c r="G4023" s="1">
        <f ca="1">IFERROR(__xludf.DUMMYFUNCTION("""COMPUTED_VALUE"""),402)</f>
        <v>402</v>
      </c>
      <c r="H4023" s="1" t="str">
        <f ca="1">IFERROR(__xludf.DUMMYFUNCTION("""COMPUTED_VALUE"""),"MTLSZ000402A02")</f>
        <v>MTLSZ000402A02</v>
      </c>
      <c r="I4023" s="2">
        <f ca="1">IFERROR(__xludf.DUMMYFUNCTION("""COMPUTED_VALUE"""),37622)</f>
        <v>37622</v>
      </c>
      <c r="J4023" s="2">
        <f ca="1">IFERROR(__xludf.DUMMYFUNCTION("""COMPUTED_VALUE"""),37986)</f>
        <v>37986</v>
      </c>
    </row>
    <row r="4024" spans="1:10" x14ac:dyDescent="0.25">
      <c r="A4024" s="1" t="str">
        <f ca="1">IFERROR(__xludf.DUMMYFUNCTION("""COMPUTED_VALUE"""),"MAFC")</f>
        <v>MAFC</v>
      </c>
      <c r="B4024" s="1" t="str">
        <f ca="1">IFERROR(__xludf.DUMMYFUNCTION("""COMPUTED_VALUE"""),"Jakovác András")</f>
        <v>Jakovác András</v>
      </c>
      <c r="C4024" s="1"/>
      <c r="D4024" s="1" t="str">
        <f ca="1">IFERROR(__xludf.DUMMYFUNCTION("""COMPUTED_VALUE"""),"Férfi")</f>
        <v>Férfi</v>
      </c>
      <c r="E4024" s="1"/>
      <c r="F4024" s="1">
        <f ca="1">IFERROR(__xludf.DUMMYFUNCTION("""COMPUTED_VALUE"""),1970)</f>
        <v>1970</v>
      </c>
      <c r="G4024" s="1">
        <f ca="1">IFERROR(__xludf.DUMMYFUNCTION("""COMPUTED_VALUE"""),405)</f>
        <v>405</v>
      </c>
      <c r="H4024" s="1" t="str">
        <f ca="1">IFERROR(__xludf.DUMMYFUNCTION("""COMPUTED_VALUE"""),"MTLSZ000405A02")</f>
        <v>MTLSZ000405A02</v>
      </c>
      <c r="I4024" s="2">
        <f ca="1">IFERROR(__xludf.DUMMYFUNCTION("""COMPUTED_VALUE"""),37622)</f>
        <v>37622</v>
      </c>
      <c r="J4024" s="2">
        <f ca="1">IFERROR(__xludf.DUMMYFUNCTION("""COMPUTED_VALUE"""),37986)</f>
        <v>37986</v>
      </c>
    </row>
    <row r="4025" spans="1:10" x14ac:dyDescent="0.25">
      <c r="A4025" s="1" t="str">
        <f ca="1">IFERROR(__xludf.DUMMYFUNCTION("""COMPUTED_VALUE"""),"MAFC")</f>
        <v>MAFC</v>
      </c>
      <c r="B4025" s="1" t="str">
        <f ca="1">IFERROR(__xludf.DUMMYFUNCTION("""COMPUTED_VALUE"""),"Jobbágy Zoltán")</f>
        <v>Jobbágy Zoltán</v>
      </c>
      <c r="C4025" s="1"/>
      <c r="D4025" s="1" t="str">
        <f ca="1">IFERROR(__xludf.DUMMYFUNCTION("""COMPUTED_VALUE"""),"Férfi")</f>
        <v>Férfi</v>
      </c>
      <c r="E4025" s="1"/>
      <c r="F4025" s="1">
        <f ca="1">IFERROR(__xludf.DUMMYFUNCTION("""COMPUTED_VALUE"""),1986)</f>
        <v>1986</v>
      </c>
      <c r="G4025" s="1">
        <f ca="1">IFERROR(__xludf.DUMMYFUNCTION("""COMPUTED_VALUE"""),412)</f>
        <v>412</v>
      </c>
      <c r="H4025" s="1" t="str">
        <f ca="1">IFERROR(__xludf.DUMMYFUNCTION("""COMPUTED_VALUE"""),"MTLSZ000412A02")</f>
        <v>MTLSZ000412A02</v>
      </c>
      <c r="I4025" s="2">
        <f ca="1">IFERROR(__xludf.DUMMYFUNCTION("""COMPUTED_VALUE"""),37622)</f>
        <v>37622</v>
      </c>
      <c r="J4025" s="2">
        <f ca="1">IFERROR(__xludf.DUMMYFUNCTION("""COMPUTED_VALUE"""),37986)</f>
        <v>37986</v>
      </c>
    </row>
    <row r="4026" spans="1:10" x14ac:dyDescent="0.25">
      <c r="A4026" s="1" t="str">
        <f ca="1">IFERROR(__xludf.DUMMYFUNCTION("""COMPUTED_VALUE"""),"MAFC")</f>
        <v>MAFC</v>
      </c>
      <c r="B4026" s="1" t="str">
        <f ca="1">IFERROR(__xludf.DUMMYFUNCTION("""COMPUTED_VALUE"""),"Kánya András")</f>
        <v>Kánya András</v>
      </c>
      <c r="C4026" s="1"/>
      <c r="D4026" s="1" t="str">
        <f ca="1">IFERROR(__xludf.DUMMYFUNCTION("""COMPUTED_VALUE"""),"Férfi")</f>
        <v>Férfi</v>
      </c>
      <c r="E4026" s="1"/>
      <c r="F4026" s="1">
        <f ca="1">IFERROR(__xludf.DUMMYFUNCTION("""COMPUTED_VALUE"""),1984)</f>
        <v>1984</v>
      </c>
      <c r="G4026" s="1">
        <f ca="1">IFERROR(__xludf.DUMMYFUNCTION("""COMPUTED_VALUE"""),426)</f>
        <v>426</v>
      </c>
      <c r="H4026" s="1" t="str">
        <f ca="1">IFERROR(__xludf.DUMMYFUNCTION("""COMPUTED_VALUE"""),"MTLSZ000426A02")</f>
        <v>MTLSZ000426A02</v>
      </c>
      <c r="I4026" s="2">
        <f ca="1">IFERROR(__xludf.DUMMYFUNCTION("""COMPUTED_VALUE"""),37622)</f>
        <v>37622</v>
      </c>
      <c r="J4026" s="2">
        <f ca="1">IFERROR(__xludf.DUMMYFUNCTION("""COMPUTED_VALUE"""),37986)</f>
        <v>37986</v>
      </c>
    </row>
    <row r="4027" spans="1:10" x14ac:dyDescent="0.25">
      <c r="A4027" s="1" t="str">
        <f ca="1">IFERROR(__xludf.DUMMYFUNCTION("""COMPUTED_VALUE"""),"MAFC")</f>
        <v>MAFC</v>
      </c>
      <c r="B4027" s="1" t="str">
        <f ca="1">IFERROR(__xludf.DUMMYFUNCTION("""COMPUTED_VALUE"""),"Kánya Zsuzsa")</f>
        <v>Kánya Zsuzsa</v>
      </c>
      <c r="C4027" s="1"/>
      <c r="D4027" s="1" t="str">
        <f ca="1">IFERROR(__xludf.DUMMYFUNCTION("""COMPUTED_VALUE"""),"Nő")</f>
        <v>Nő</v>
      </c>
      <c r="E4027" s="1"/>
      <c r="F4027" s="1">
        <f ca="1">IFERROR(__xludf.DUMMYFUNCTION("""COMPUTED_VALUE"""),1986)</f>
        <v>1986</v>
      </c>
      <c r="G4027" s="1">
        <f ca="1">IFERROR(__xludf.DUMMYFUNCTION("""COMPUTED_VALUE"""),427)</f>
        <v>427</v>
      </c>
      <c r="H4027" s="1" t="str">
        <f ca="1">IFERROR(__xludf.DUMMYFUNCTION("""COMPUTED_VALUE"""),"MTLSZ000427A02")</f>
        <v>MTLSZ000427A02</v>
      </c>
      <c r="I4027" s="2">
        <f ca="1">IFERROR(__xludf.DUMMYFUNCTION("""COMPUTED_VALUE"""),37622)</f>
        <v>37622</v>
      </c>
      <c r="J4027" s="2">
        <f ca="1">IFERROR(__xludf.DUMMYFUNCTION("""COMPUTED_VALUE"""),37986)</f>
        <v>37986</v>
      </c>
    </row>
    <row r="4028" spans="1:10" x14ac:dyDescent="0.25">
      <c r="A4028" s="1" t="str">
        <f ca="1">IFERROR(__xludf.DUMMYFUNCTION("""COMPUTED_VALUE"""),"MAFC")</f>
        <v>MAFC</v>
      </c>
      <c r="B4028" s="1" t="str">
        <f ca="1">IFERROR(__xludf.DUMMYFUNCTION("""COMPUTED_VALUE"""),"Kerti István")</f>
        <v>Kerti István</v>
      </c>
      <c r="C4028" s="1"/>
      <c r="D4028" s="1" t="str">
        <f ca="1">IFERROR(__xludf.DUMMYFUNCTION("""COMPUTED_VALUE"""),"Férfi")</f>
        <v>Férfi</v>
      </c>
      <c r="E4028" s="1"/>
      <c r="F4028" s="1">
        <f ca="1">IFERROR(__xludf.DUMMYFUNCTION("""COMPUTED_VALUE"""),1956)</f>
        <v>1956</v>
      </c>
      <c r="G4028" s="1">
        <f ca="1">IFERROR(__xludf.DUMMYFUNCTION("""COMPUTED_VALUE"""),460)</f>
        <v>460</v>
      </c>
      <c r="H4028" s="1" t="str">
        <f ca="1">IFERROR(__xludf.DUMMYFUNCTION("""COMPUTED_VALUE"""),"MTLSZ000460A02")</f>
        <v>MTLSZ000460A02</v>
      </c>
      <c r="I4028" s="2">
        <f ca="1">IFERROR(__xludf.DUMMYFUNCTION("""COMPUTED_VALUE"""),37622)</f>
        <v>37622</v>
      </c>
      <c r="J4028" s="2">
        <f ca="1">IFERROR(__xludf.DUMMYFUNCTION("""COMPUTED_VALUE"""),37986)</f>
        <v>37986</v>
      </c>
    </row>
    <row r="4029" spans="1:10" x14ac:dyDescent="0.25">
      <c r="A4029" s="1" t="str">
        <f ca="1">IFERROR(__xludf.DUMMYFUNCTION("""COMPUTED_VALUE"""),"MAFC")</f>
        <v>MAFC</v>
      </c>
      <c r="B4029" s="1" t="str">
        <f ca="1">IFERROR(__xludf.DUMMYFUNCTION("""COMPUTED_VALUE"""),"Keszthelyi Judit")</f>
        <v>Keszthelyi Judit</v>
      </c>
      <c r="C4029" s="1"/>
      <c r="D4029" s="1" t="str">
        <f ca="1">IFERROR(__xludf.DUMMYFUNCTION("""COMPUTED_VALUE"""),"Nő")</f>
        <v>Nő</v>
      </c>
      <c r="E4029" s="1"/>
      <c r="F4029" s="1">
        <f ca="1">IFERROR(__xludf.DUMMYFUNCTION("""COMPUTED_VALUE"""),1979)</f>
        <v>1979</v>
      </c>
      <c r="G4029" s="1">
        <f ca="1">IFERROR(__xludf.DUMMYFUNCTION("""COMPUTED_VALUE"""),462)</f>
        <v>462</v>
      </c>
      <c r="H4029" s="1" t="str">
        <f ca="1">IFERROR(__xludf.DUMMYFUNCTION("""COMPUTED_VALUE"""),"MTLSZ000462A02")</f>
        <v>MTLSZ000462A02</v>
      </c>
      <c r="I4029" s="2">
        <f ca="1">IFERROR(__xludf.DUMMYFUNCTION("""COMPUTED_VALUE"""),37622)</f>
        <v>37622</v>
      </c>
      <c r="J4029" s="2">
        <f ca="1">IFERROR(__xludf.DUMMYFUNCTION("""COMPUTED_VALUE"""),37986)</f>
        <v>37986</v>
      </c>
    </row>
    <row r="4030" spans="1:10" x14ac:dyDescent="0.25">
      <c r="A4030" s="1" t="str">
        <f ca="1">IFERROR(__xludf.DUMMYFUNCTION("""COMPUTED_VALUE"""),"MAFC")</f>
        <v>MAFC</v>
      </c>
      <c r="B4030" s="1" t="str">
        <f ca="1">IFERROR(__xludf.DUMMYFUNCTION("""COMPUTED_VALUE"""),"Kiss Anna Katalin")</f>
        <v>Kiss Anna Katalin</v>
      </c>
      <c r="C4030" s="1"/>
      <c r="D4030" s="1" t="str">
        <f ca="1">IFERROR(__xludf.DUMMYFUNCTION("""COMPUTED_VALUE"""),"Nő")</f>
        <v>Nő</v>
      </c>
      <c r="E4030" s="1"/>
      <c r="F4030" s="1">
        <f ca="1">IFERROR(__xludf.DUMMYFUNCTION("""COMPUTED_VALUE"""),1987)</f>
        <v>1987</v>
      </c>
      <c r="G4030" s="1">
        <f ca="1">IFERROR(__xludf.DUMMYFUNCTION("""COMPUTED_VALUE"""),1253)</f>
        <v>1253</v>
      </c>
      <c r="H4030" s="1" t="str">
        <f ca="1">IFERROR(__xludf.DUMMYFUNCTION("""COMPUTED_VALUE"""),"MTLSZ001253A02")</f>
        <v>MTLSZ001253A02</v>
      </c>
      <c r="I4030" s="2">
        <f ca="1">IFERROR(__xludf.DUMMYFUNCTION("""COMPUTED_VALUE"""),37622)</f>
        <v>37622</v>
      </c>
      <c r="J4030" s="2">
        <f ca="1">IFERROR(__xludf.DUMMYFUNCTION("""COMPUTED_VALUE"""),37986)</f>
        <v>37986</v>
      </c>
    </row>
    <row r="4031" spans="1:10" x14ac:dyDescent="0.25">
      <c r="A4031" s="1" t="str">
        <f ca="1">IFERROR(__xludf.DUMMYFUNCTION("""COMPUTED_VALUE"""),"MAFC")</f>
        <v>MAFC</v>
      </c>
      <c r="B4031" s="1" t="str">
        <f ca="1">IFERROR(__xludf.DUMMYFUNCTION("""COMPUTED_VALUE"""),"Kohlmann Csaba")</f>
        <v>Kohlmann Csaba</v>
      </c>
      <c r="C4031" s="1"/>
      <c r="D4031" s="1" t="str">
        <f ca="1">IFERROR(__xludf.DUMMYFUNCTION("""COMPUTED_VALUE"""),"Férfi")</f>
        <v>Férfi</v>
      </c>
      <c r="E4031" s="1"/>
      <c r="F4031" s="1">
        <f ca="1">IFERROR(__xludf.DUMMYFUNCTION("""COMPUTED_VALUE"""),1986)</f>
        <v>1986</v>
      </c>
      <c r="G4031" s="1">
        <f ca="1">IFERROR(__xludf.DUMMYFUNCTION("""COMPUTED_VALUE"""),510)</f>
        <v>510</v>
      </c>
      <c r="H4031" s="1" t="str">
        <f ca="1">IFERROR(__xludf.DUMMYFUNCTION("""COMPUTED_VALUE"""),"MTLSZ000510A02")</f>
        <v>MTLSZ000510A02</v>
      </c>
      <c r="I4031" s="2">
        <f ca="1">IFERROR(__xludf.DUMMYFUNCTION("""COMPUTED_VALUE"""),37622)</f>
        <v>37622</v>
      </c>
      <c r="J4031" s="2">
        <f ca="1">IFERROR(__xludf.DUMMYFUNCTION("""COMPUTED_VALUE"""),37986)</f>
        <v>37986</v>
      </c>
    </row>
    <row r="4032" spans="1:10" x14ac:dyDescent="0.25">
      <c r="A4032" s="1" t="str">
        <f ca="1">IFERROR(__xludf.DUMMYFUNCTION("""COMPUTED_VALUE"""),"MAFC")</f>
        <v>MAFC</v>
      </c>
      <c r="B4032" s="1" t="str">
        <f ca="1">IFERROR(__xludf.DUMMYFUNCTION("""COMPUTED_VALUE"""),"Kurcsics Judit")</f>
        <v>Kurcsics Judit</v>
      </c>
      <c r="C4032" s="1"/>
      <c r="D4032" s="1" t="str">
        <f ca="1">IFERROR(__xludf.DUMMYFUNCTION("""COMPUTED_VALUE"""),"Nő")</f>
        <v>Nő</v>
      </c>
      <c r="E4032" s="1"/>
      <c r="F4032" s="1">
        <f ca="1">IFERROR(__xludf.DUMMYFUNCTION("""COMPUTED_VALUE"""),1976)</f>
        <v>1976</v>
      </c>
      <c r="G4032" s="1">
        <f ca="1">IFERROR(__xludf.DUMMYFUNCTION("""COMPUTED_VALUE"""),555)</f>
        <v>555</v>
      </c>
      <c r="H4032" s="1" t="str">
        <f ca="1">IFERROR(__xludf.DUMMYFUNCTION("""COMPUTED_VALUE"""),"MTLSZ000555A02")</f>
        <v>MTLSZ000555A02</v>
      </c>
      <c r="I4032" s="2">
        <f ca="1">IFERROR(__xludf.DUMMYFUNCTION("""COMPUTED_VALUE"""),37622)</f>
        <v>37622</v>
      </c>
      <c r="J4032" s="2">
        <f ca="1">IFERROR(__xludf.DUMMYFUNCTION("""COMPUTED_VALUE"""),37986)</f>
        <v>37986</v>
      </c>
    </row>
    <row r="4033" spans="1:10" x14ac:dyDescent="0.25">
      <c r="A4033" s="1" t="str">
        <f ca="1">IFERROR(__xludf.DUMMYFUNCTION("""COMPUTED_VALUE"""),"MAFC")</f>
        <v>MAFC</v>
      </c>
      <c r="B4033" s="1" t="str">
        <f ca="1">IFERROR(__xludf.DUMMYFUNCTION("""COMPUTED_VALUE"""),"Lángi Zsuzsanna dr.")</f>
        <v>Lángi Zsuzsanna dr.</v>
      </c>
      <c r="C4033" s="1"/>
      <c r="D4033" s="1" t="str">
        <f ca="1">IFERROR(__xludf.DUMMYFUNCTION("""COMPUTED_VALUE"""),"Nő")</f>
        <v>Nő</v>
      </c>
      <c r="E4033" s="1"/>
      <c r="F4033" s="1">
        <f ca="1">IFERROR(__xludf.DUMMYFUNCTION("""COMPUTED_VALUE"""),1969)</f>
        <v>1969</v>
      </c>
      <c r="G4033" s="1">
        <f ca="1">IFERROR(__xludf.DUMMYFUNCTION("""COMPUTED_VALUE"""),1285)</f>
        <v>1285</v>
      </c>
      <c r="H4033" s="1" t="str">
        <f ca="1">IFERROR(__xludf.DUMMYFUNCTION("""COMPUTED_VALUE"""),"MTLSZ001285A02")</f>
        <v>MTLSZ001285A02</v>
      </c>
      <c r="I4033" s="2">
        <f ca="1">IFERROR(__xludf.DUMMYFUNCTION("""COMPUTED_VALUE"""),37622)</f>
        <v>37622</v>
      </c>
      <c r="J4033" s="2">
        <f ca="1">IFERROR(__xludf.DUMMYFUNCTION("""COMPUTED_VALUE"""),37986)</f>
        <v>37986</v>
      </c>
    </row>
    <row r="4034" spans="1:10" x14ac:dyDescent="0.25">
      <c r="A4034" s="1" t="str">
        <f ca="1">IFERROR(__xludf.DUMMYFUNCTION("""COMPUTED_VALUE"""),"MAFC")</f>
        <v>MAFC</v>
      </c>
      <c r="B4034" s="1" t="str">
        <f ca="1">IFERROR(__xludf.DUMMYFUNCTION("""COMPUTED_VALUE"""),"Lányfalvi Anna")</f>
        <v>Lányfalvi Anna</v>
      </c>
      <c r="C4034" s="1"/>
      <c r="D4034" s="1" t="str">
        <f ca="1">IFERROR(__xludf.DUMMYFUNCTION("""COMPUTED_VALUE"""),"Nő")</f>
        <v>Nő</v>
      </c>
      <c r="E4034" s="1"/>
      <c r="F4034" s="1">
        <f ca="1">IFERROR(__xludf.DUMMYFUNCTION("""COMPUTED_VALUE"""),1988)</f>
        <v>1988</v>
      </c>
      <c r="G4034" s="1">
        <f ca="1">IFERROR(__xludf.DUMMYFUNCTION("""COMPUTED_VALUE"""),1254)</f>
        <v>1254</v>
      </c>
      <c r="H4034" s="1" t="str">
        <f ca="1">IFERROR(__xludf.DUMMYFUNCTION("""COMPUTED_VALUE"""),"MTLSZ001254A02")</f>
        <v>MTLSZ001254A02</v>
      </c>
      <c r="I4034" s="2">
        <f ca="1">IFERROR(__xludf.DUMMYFUNCTION("""COMPUTED_VALUE"""),37622)</f>
        <v>37622</v>
      </c>
      <c r="J4034" s="2">
        <f ca="1">IFERROR(__xludf.DUMMYFUNCTION("""COMPUTED_VALUE"""),37986)</f>
        <v>37986</v>
      </c>
    </row>
    <row r="4035" spans="1:10" x14ac:dyDescent="0.25">
      <c r="A4035" s="1" t="str">
        <f ca="1">IFERROR(__xludf.DUMMYFUNCTION("""COMPUTED_VALUE"""),"MAFC")</f>
        <v>MAFC</v>
      </c>
      <c r="B4035" s="1" t="str">
        <f ca="1">IFERROR(__xludf.DUMMYFUNCTION("""COMPUTED_VALUE"""),"Matos Balázs")</f>
        <v>Matos Balázs</v>
      </c>
      <c r="C4035" s="1"/>
      <c r="D4035" s="1" t="str">
        <f ca="1">IFERROR(__xludf.DUMMYFUNCTION("""COMPUTED_VALUE"""),"Férfi")</f>
        <v>Férfi</v>
      </c>
      <c r="E4035" s="1"/>
      <c r="F4035" s="1">
        <f ca="1">IFERROR(__xludf.DUMMYFUNCTION("""COMPUTED_VALUE"""),1977)</f>
        <v>1977</v>
      </c>
      <c r="G4035" s="1">
        <f ca="1">IFERROR(__xludf.DUMMYFUNCTION("""COMPUTED_VALUE"""),625)</f>
        <v>625</v>
      </c>
      <c r="H4035" s="1" t="str">
        <f ca="1">IFERROR(__xludf.DUMMYFUNCTION("""COMPUTED_VALUE"""),"MTLSZ000625A02")</f>
        <v>MTLSZ000625A02</v>
      </c>
      <c r="I4035" s="2">
        <f ca="1">IFERROR(__xludf.DUMMYFUNCTION("""COMPUTED_VALUE"""),37622)</f>
        <v>37622</v>
      </c>
      <c r="J4035" s="2">
        <f ca="1">IFERROR(__xludf.DUMMYFUNCTION("""COMPUTED_VALUE"""),37986)</f>
        <v>37986</v>
      </c>
    </row>
    <row r="4036" spans="1:10" x14ac:dyDescent="0.25">
      <c r="A4036" s="1" t="str">
        <f ca="1">IFERROR(__xludf.DUMMYFUNCTION("""COMPUTED_VALUE"""),"MAFC")</f>
        <v>MAFC</v>
      </c>
      <c r="B4036" s="1" t="str">
        <f ca="1">IFERROR(__xludf.DUMMYFUNCTION("""COMPUTED_VALUE"""),"Molnár Adrienn")</f>
        <v>Molnár Adrienn</v>
      </c>
      <c r="C4036" s="1"/>
      <c r="D4036" s="1" t="str">
        <f ca="1">IFERROR(__xludf.DUMMYFUNCTION("""COMPUTED_VALUE"""),"Nő")</f>
        <v>Nő</v>
      </c>
      <c r="E4036" s="1"/>
      <c r="F4036" s="1">
        <f ca="1">IFERROR(__xludf.DUMMYFUNCTION("""COMPUTED_VALUE"""),1978)</f>
        <v>1978</v>
      </c>
      <c r="G4036" s="1">
        <f ca="1">IFERROR(__xludf.DUMMYFUNCTION("""COMPUTED_VALUE"""),655)</f>
        <v>655</v>
      </c>
      <c r="H4036" s="1" t="str">
        <f ca="1">IFERROR(__xludf.DUMMYFUNCTION("""COMPUTED_VALUE"""),"MTLSZ000655A02")</f>
        <v>MTLSZ000655A02</v>
      </c>
      <c r="I4036" s="2">
        <f ca="1">IFERROR(__xludf.DUMMYFUNCTION("""COMPUTED_VALUE"""),37622)</f>
        <v>37622</v>
      </c>
      <c r="J4036" s="2">
        <f ca="1">IFERROR(__xludf.DUMMYFUNCTION("""COMPUTED_VALUE"""),37986)</f>
        <v>37986</v>
      </c>
    </row>
    <row r="4037" spans="1:10" x14ac:dyDescent="0.25">
      <c r="A4037" s="1" t="str">
        <f ca="1">IFERROR(__xludf.DUMMYFUNCTION("""COMPUTED_VALUE"""),"MAFC")</f>
        <v>MAFC</v>
      </c>
      <c r="B4037" s="1" t="str">
        <f ca="1">IFERROR(__xludf.DUMMYFUNCTION("""COMPUTED_VALUE"""),"Molnár Dávid")</f>
        <v>Molnár Dávid</v>
      </c>
      <c r="C4037" s="1"/>
      <c r="D4037" s="1" t="str">
        <f ca="1">IFERROR(__xludf.DUMMYFUNCTION("""COMPUTED_VALUE"""),"Férfi")</f>
        <v>Férfi</v>
      </c>
      <c r="E4037" s="1"/>
      <c r="F4037" s="1">
        <f ca="1">IFERROR(__xludf.DUMMYFUNCTION("""COMPUTED_VALUE"""),1984)</f>
        <v>1984</v>
      </c>
      <c r="G4037" s="1">
        <f ca="1">IFERROR(__xludf.DUMMYFUNCTION("""COMPUTED_VALUE"""),658)</f>
        <v>658</v>
      </c>
      <c r="H4037" s="1" t="str">
        <f ca="1">IFERROR(__xludf.DUMMYFUNCTION("""COMPUTED_VALUE"""),"MTLSZ000658A02")</f>
        <v>MTLSZ000658A02</v>
      </c>
      <c r="I4037" s="2">
        <f ca="1">IFERROR(__xludf.DUMMYFUNCTION("""COMPUTED_VALUE"""),37622)</f>
        <v>37622</v>
      </c>
      <c r="J4037" s="2">
        <f ca="1">IFERROR(__xludf.DUMMYFUNCTION("""COMPUTED_VALUE"""),37986)</f>
        <v>37986</v>
      </c>
    </row>
    <row r="4038" spans="1:10" x14ac:dyDescent="0.25">
      <c r="A4038" s="1" t="str">
        <f ca="1">IFERROR(__xludf.DUMMYFUNCTION("""COMPUTED_VALUE"""),"MAFC")</f>
        <v>MAFC</v>
      </c>
      <c r="B4038" s="1" t="str">
        <f ca="1">IFERROR(__xludf.DUMMYFUNCTION("""COMPUTED_VALUE"""),"Nagy Andrea")</f>
        <v>Nagy Andrea</v>
      </c>
      <c r="C4038" s="1"/>
      <c r="D4038" s="1" t="str">
        <f ca="1">IFERROR(__xludf.DUMMYFUNCTION("""COMPUTED_VALUE"""),"Nő")</f>
        <v>Nő</v>
      </c>
      <c r="E4038" s="1"/>
      <c r="F4038" s="1">
        <f ca="1">IFERROR(__xludf.DUMMYFUNCTION("""COMPUTED_VALUE"""),1978)</f>
        <v>1978</v>
      </c>
      <c r="G4038" s="1">
        <f ca="1">IFERROR(__xludf.DUMMYFUNCTION("""COMPUTED_VALUE"""),1256)</f>
        <v>1256</v>
      </c>
      <c r="H4038" s="1" t="str">
        <f ca="1">IFERROR(__xludf.DUMMYFUNCTION("""COMPUTED_VALUE"""),"MTLSZ001256A02")</f>
        <v>MTLSZ001256A02</v>
      </c>
      <c r="I4038" s="2">
        <f ca="1">IFERROR(__xludf.DUMMYFUNCTION("""COMPUTED_VALUE"""),37622)</f>
        <v>37622</v>
      </c>
      <c r="J4038" s="2">
        <f ca="1">IFERROR(__xludf.DUMMYFUNCTION("""COMPUTED_VALUE"""),37986)</f>
        <v>37986</v>
      </c>
    </row>
    <row r="4039" spans="1:10" x14ac:dyDescent="0.25">
      <c r="A4039" s="1" t="str">
        <f ca="1">IFERROR(__xludf.DUMMYFUNCTION("""COMPUTED_VALUE"""),"MAFC")</f>
        <v>MAFC</v>
      </c>
      <c r="B4039" s="1" t="str">
        <f ca="1">IFERROR(__xludf.DUMMYFUNCTION("""COMPUTED_VALUE"""),"Nagy Dorottya")</f>
        <v>Nagy Dorottya</v>
      </c>
      <c r="C4039" s="1"/>
      <c r="D4039" s="1" t="str">
        <f ca="1">IFERROR(__xludf.DUMMYFUNCTION("""COMPUTED_VALUE"""),"Nő")</f>
        <v>Nő</v>
      </c>
      <c r="E4039" s="1"/>
      <c r="F4039" s="1">
        <f ca="1">IFERROR(__xludf.DUMMYFUNCTION("""COMPUTED_VALUE"""),1990)</f>
        <v>1990</v>
      </c>
      <c r="G4039" s="1">
        <f ca="1">IFERROR(__xludf.DUMMYFUNCTION("""COMPUTED_VALUE"""),1238)</f>
        <v>1238</v>
      </c>
      <c r="H4039" s="1" t="str">
        <f ca="1">IFERROR(__xludf.DUMMYFUNCTION("""COMPUTED_VALUE"""),"MTLSZ001238A02")</f>
        <v>MTLSZ001238A02</v>
      </c>
      <c r="I4039" s="2">
        <f ca="1">IFERROR(__xludf.DUMMYFUNCTION("""COMPUTED_VALUE"""),37622)</f>
        <v>37622</v>
      </c>
      <c r="J4039" s="2">
        <f ca="1">IFERROR(__xludf.DUMMYFUNCTION("""COMPUTED_VALUE"""),37986)</f>
        <v>37986</v>
      </c>
    </row>
    <row r="4040" spans="1:10" x14ac:dyDescent="0.25">
      <c r="A4040" s="1" t="str">
        <f ca="1">IFERROR(__xludf.DUMMYFUNCTION("""COMPUTED_VALUE"""),"MAFC")</f>
        <v>MAFC</v>
      </c>
      <c r="B4040" s="1" t="str">
        <f ca="1">IFERROR(__xludf.DUMMYFUNCTION("""COMPUTED_VALUE"""),"Nagy-Kolozsvári Árpád")</f>
        <v>Nagy-Kolozsvári Árpád</v>
      </c>
      <c r="C4040" s="1"/>
      <c r="D4040" s="1" t="str">
        <f ca="1">IFERROR(__xludf.DUMMYFUNCTION("""COMPUTED_VALUE"""),"Férfi")</f>
        <v>Férfi</v>
      </c>
      <c r="E4040" s="1"/>
      <c r="F4040" s="1">
        <f ca="1">IFERROR(__xludf.DUMMYFUNCTION("""COMPUTED_VALUE"""),1961)</f>
        <v>1961</v>
      </c>
      <c r="G4040" s="1">
        <f ca="1">IFERROR(__xludf.DUMMYFUNCTION("""COMPUTED_VALUE"""),701)</f>
        <v>701</v>
      </c>
      <c r="H4040" s="1" t="str">
        <f ca="1">IFERROR(__xludf.DUMMYFUNCTION("""COMPUTED_VALUE"""),"MTLSZ000701A02")</f>
        <v>MTLSZ000701A02</v>
      </c>
      <c r="I4040" s="2">
        <f ca="1">IFERROR(__xludf.DUMMYFUNCTION("""COMPUTED_VALUE"""),37622)</f>
        <v>37622</v>
      </c>
      <c r="J4040" s="2">
        <f ca="1">IFERROR(__xludf.DUMMYFUNCTION("""COMPUTED_VALUE"""),37986)</f>
        <v>37986</v>
      </c>
    </row>
    <row r="4041" spans="1:10" x14ac:dyDescent="0.25">
      <c r="A4041" s="1" t="str">
        <f ca="1">IFERROR(__xludf.DUMMYFUNCTION("""COMPUTED_VALUE"""),"MAFC")</f>
        <v>MAFC</v>
      </c>
      <c r="B4041" s="1" t="str">
        <f ca="1">IFERROR(__xludf.DUMMYFUNCTION("""COMPUTED_VALUE"""),"Németh Ágoston")</f>
        <v>Németh Ágoston</v>
      </c>
      <c r="C4041" s="1"/>
      <c r="D4041" s="1" t="str">
        <f ca="1">IFERROR(__xludf.DUMMYFUNCTION("""COMPUTED_VALUE"""),"Férfi")</f>
        <v>Férfi</v>
      </c>
      <c r="E4041" s="1"/>
      <c r="F4041" s="1">
        <f ca="1">IFERROR(__xludf.DUMMYFUNCTION("""COMPUTED_VALUE"""),1977)</f>
        <v>1977</v>
      </c>
      <c r="G4041" s="1">
        <f ca="1">IFERROR(__xludf.DUMMYFUNCTION("""COMPUTED_VALUE"""),705)</f>
        <v>705</v>
      </c>
      <c r="H4041" s="1" t="str">
        <f ca="1">IFERROR(__xludf.DUMMYFUNCTION("""COMPUTED_VALUE"""),"MTLSZ000705A02")</f>
        <v>MTLSZ000705A02</v>
      </c>
      <c r="I4041" s="2">
        <f ca="1">IFERROR(__xludf.DUMMYFUNCTION("""COMPUTED_VALUE"""),37622)</f>
        <v>37622</v>
      </c>
      <c r="J4041" s="2">
        <f ca="1">IFERROR(__xludf.DUMMYFUNCTION("""COMPUTED_VALUE"""),37986)</f>
        <v>37986</v>
      </c>
    </row>
    <row r="4042" spans="1:10" x14ac:dyDescent="0.25">
      <c r="A4042" s="1" t="str">
        <f ca="1">IFERROR(__xludf.DUMMYFUNCTION("""COMPUTED_VALUE"""),"MAFC")</f>
        <v>MAFC</v>
      </c>
      <c r="B4042" s="1" t="str">
        <f ca="1">IFERROR(__xludf.DUMMYFUNCTION("""COMPUTED_VALUE"""),"Németh Imola")</f>
        <v>Németh Imola</v>
      </c>
      <c r="C4042" s="1"/>
      <c r="D4042" s="1" t="str">
        <f ca="1">IFERROR(__xludf.DUMMYFUNCTION("""COMPUTED_VALUE"""),"Nő")</f>
        <v>Nő</v>
      </c>
      <c r="E4042" s="1"/>
      <c r="F4042" s="1">
        <f ca="1">IFERROR(__xludf.DUMMYFUNCTION("""COMPUTED_VALUE"""),1976)</f>
        <v>1976</v>
      </c>
      <c r="G4042" s="1">
        <f ca="1">IFERROR(__xludf.DUMMYFUNCTION("""COMPUTED_VALUE"""),707)</f>
        <v>707</v>
      </c>
      <c r="H4042" s="1" t="str">
        <f ca="1">IFERROR(__xludf.DUMMYFUNCTION("""COMPUTED_VALUE"""),"MTLSZ000707A02")</f>
        <v>MTLSZ000707A02</v>
      </c>
      <c r="I4042" s="2">
        <f ca="1">IFERROR(__xludf.DUMMYFUNCTION("""COMPUTED_VALUE"""),37622)</f>
        <v>37622</v>
      </c>
      <c r="J4042" s="2">
        <f ca="1">IFERROR(__xludf.DUMMYFUNCTION("""COMPUTED_VALUE"""),37986)</f>
        <v>37986</v>
      </c>
    </row>
    <row r="4043" spans="1:10" x14ac:dyDescent="0.25">
      <c r="A4043" s="1" t="str">
        <f ca="1">IFERROR(__xludf.DUMMYFUNCTION("""COMPUTED_VALUE"""),"MAFC")</f>
        <v>MAFC</v>
      </c>
      <c r="B4043" s="1" t="str">
        <f ca="1">IFERROR(__xludf.DUMMYFUNCTION("""COMPUTED_VALUE"""),"Németh László")</f>
        <v>Németh László</v>
      </c>
      <c r="C4043" s="1"/>
      <c r="D4043" s="1" t="str">
        <f ca="1">IFERROR(__xludf.DUMMYFUNCTION("""COMPUTED_VALUE"""),"Férfi")</f>
        <v>Férfi</v>
      </c>
      <c r="E4043" s="1"/>
      <c r="F4043" s="1">
        <f ca="1">IFERROR(__xludf.DUMMYFUNCTION("""COMPUTED_VALUE"""),1970)</f>
        <v>1970</v>
      </c>
      <c r="G4043" s="1">
        <f ca="1">IFERROR(__xludf.DUMMYFUNCTION("""COMPUTED_VALUE"""),708)</f>
        <v>708</v>
      </c>
      <c r="H4043" s="1" t="str">
        <f ca="1">IFERROR(__xludf.DUMMYFUNCTION("""COMPUTED_VALUE"""),"MTLSZ000708A02")</f>
        <v>MTLSZ000708A02</v>
      </c>
      <c r="I4043" s="2">
        <f ca="1">IFERROR(__xludf.DUMMYFUNCTION("""COMPUTED_VALUE"""),37622)</f>
        <v>37622</v>
      </c>
      <c r="J4043" s="2">
        <f ca="1">IFERROR(__xludf.DUMMYFUNCTION("""COMPUTED_VALUE"""),37986)</f>
        <v>37986</v>
      </c>
    </row>
    <row r="4044" spans="1:10" x14ac:dyDescent="0.25">
      <c r="A4044" s="1" t="str">
        <f ca="1">IFERROR(__xludf.DUMMYFUNCTION("""COMPUTED_VALUE"""),"MAFC")</f>
        <v>MAFC</v>
      </c>
      <c r="B4044" s="1" t="str">
        <f ca="1">IFERROR(__xludf.DUMMYFUNCTION("""COMPUTED_VALUE"""),"Némethi Eszter")</f>
        <v>Némethi Eszter</v>
      </c>
      <c r="C4044" s="1"/>
      <c r="D4044" s="1" t="str">
        <f ca="1">IFERROR(__xludf.DUMMYFUNCTION("""COMPUTED_VALUE"""),"Nő")</f>
        <v>Nő</v>
      </c>
      <c r="E4044" s="1"/>
      <c r="F4044" s="1">
        <f ca="1">IFERROR(__xludf.DUMMYFUNCTION("""COMPUTED_VALUE"""),1987)</f>
        <v>1987</v>
      </c>
      <c r="G4044" s="1">
        <f ca="1">IFERROR(__xludf.DUMMYFUNCTION("""COMPUTED_VALUE"""),1239)</f>
        <v>1239</v>
      </c>
      <c r="H4044" s="1" t="str">
        <f ca="1">IFERROR(__xludf.DUMMYFUNCTION("""COMPUTED_VALUE"""),"MTLSZ001239A02")</f>
        <v>MTLSZ001239A02</v>
      </c>
      <c r="I4044" s="2">
        <f ca="1">IFERROR(__xludf.DUMMYFUNCTION("""COMPUTED_VALUE"""),37622)</f>
        <v>37622</v>
      </c>
      <c r="J4044" s="2">
        <f ca="1">IFERROR(__xludf.DUMMYFUNCTION("""COMPUTED_VALUE"""),37986)</f>
        <v>37986</v>
      </c>
    </row>
    <row r="4045" spans="1:10" x14ac:dyDescent="0.25">
      <c r="A4045" s="1" t="str">
        <f ca="1">IFERROR(__xludf.DUMMYFUNCTION("""COMPUTED_VALUE"""),"MAFC")</f>
        <v>MAFC</v>
      </c>
      <c r="B4045" s="1" t="str">
        <f ca="1">IFERROR(__xludf.DUMMYFUNCTION("""COMPUTED_VALUE"""),"Osztódi Eszter")</f>
        <v>Osztódi Eszter</v>
      </c>
      <c r="C4045" s="1"/>
      <c r="D4045" s="1" t="str">
        <f ca="1">IFERROR(__xludf.DUMMYFUNCTION("""COMPUTED_VALUE"""),"Nő")</f>
        <v>Nő</v>
      </c>
      <c r="E4045" s="1"/>
      <c r="F4045" s="1">
        <f ca="1">IFERROR(__xludf.DUMMYFUNCTION("""COMPUTED_VALUE"""),1983)</f>
        <v>1983</v>
      </c>
      <c r="G4045" s="1">
        <f ca="1">IFERROR(__xludf.DUMMYFUNCTION("""COMPUTED_VALUE"""),726)</f>
        <v>726</v>
      </c>
      <c r="H4045" s="1" t="str">
        <f ca="1">IFERROR(__xludf.DUMMYFUNCTION("""COMPUTED_VALUE"""),"MTLSZ000726A02")</f>
        <v>MTLSZ000726A02</v>
      </c>
      <c r="I4045" s="2">
        <f ca="1">IFERROR(__xludf.DUMMYFUNCTION("""COMPUTED_VALUE"""),37622)</f>
        <v>37622</v>
      </c>
      <c r="J4045" s="2">
        <f ca="1">IFERROR(__xludf.DUMMYFUNCTION("""COMPUTED_VALUE"""),37986)</f>
        <v>37986</v>
      </c>
    </row>
    <row r="4046" spans="1:10" x14ac:dyDescent="0.25">
      <c r="A4046" s="1" t="str">
        <f ca="1">IFERROR(__xludf.DUMMYFUNCTION("""COMPUTED_VALUE"""),"MAFC")</f>
        <v>MAFC</v>
      </c>
      <c r="B4046" s="1" t="str">
        <f ca="1">IFERROR(__xludf.DUMMYFUNCTION("""COMPUTED_VALUE"""),"Osztódi Judit")</f>
        <v>Osztódi Judit</v>
      </c>
      <c r="C4046" s="1"/>
      <c r="D4046" s="1" t="str">
        <f ca="1">IFERROR(__xludf.DUMMYFUNCTION("""COMPUTED_VALUE"""),"Nő")</f>
        <v>Nő</v>
      </c>
      <c r="E4046" s="1"/>
      <c r="F4046" s="1">
        <f ca="1">IFERROR(__xludf.DUMMYFUNCTION("""COMPUTED_VALUE"""),1983)</f>
        <v>1983</v>
      </c>
      <c r="G4046" s="1">
        <f ca="1">IFERROR(__xludf.DUMMYFUNCTION("""COMPUTED_VALUE"""),727)</f>
        <v>727</v>
      </c>
      <c r="H4046" s="1" t="str">
        <f ca="1">IFERROR(__xludf.DUMMYFUNCTION("""COMPUTED_VALUE"""),"MTLSZ000727A02")</f>
        <v>MTLSZ000727A02</v>
      </c>
      <c r="I4046" s="2">
        <f ca="1">IFERROR(__xludf.DUMMYFUNCTION("""COMPUTED_VALUE"""),37622)</f>
        <v>37622</v>
      </c>
      <c r="J4046" s="2">
        <f ca="1">IFERROR(__xludf.DUMMYFUNCTION("""COMPUTED_VALUE"""),37986)</f>
        <v>37986</v>
      </c>
    </row>
    <row r="4047" spans="1:10" x14ac:dyDescent="0.25">
      <c r="A4047" s="1" t="str">
        <f ca="1">IFERROR(__xludf.DUMMYFUNCTION("""COMPUTED_VALUE"""),"MAFC")</f>
        <v>MAFC</v>
      </c>
      <c r="B4047" s="1" t="str">
        <f ca="1">IFERROR(__xludf.DUMMYFUNCTION("""COMPUTED_VALUE"""),"Perneczky Balázs")</f>
        <v>Perneczky Balázs</v>
      </c>
      <c r="C4047" s="1"/>
      <c r="D4047" s="1" t="str">
        <f ca="1">IFERROR(__xludf.DUMMYFUNCTION("""COMPUTED_VALUE"""),"Férfi")</f>
        <v>Férfi</v>
      </c>
      <c r="E4047" s="1"/>
      <c r="F4047" s="1">
        <f ca="1">IFERROR(__xludf.DUMMYFUNCTION("""COMPUTED_VALUE"""),1990)</f>
        <v>1990</v>
      </c>
      <c r="G4047" s="1">
        <f ca="1">IFERROR(__xludf.DUMMYFUNCTION("""COMPUTED_VALUE"""),1286)</f>
        <v>1286</v>
      </c>
      <c r="H4047" s="1" t="str">
        <f ca="1">IFERROR(__xludf.DUMMYFUNCTION("""COMPUTED_VALUE"""),"MTLSZ001286A02")</f>
        <v>MTLSZ001286A02</v>
      </c>
      <c r="I4047" s="2">
        <f ca="1">IFERROR(__xludf.DUMMYFUNCTION("""COMPUTED_VALUE"""),37622)</f>
        <v>37622</v>
      </c>
      <c r="J4047" s="2">
        <f ca="1">IFERROR(__xludf.DUMMYFUNCTION("""COMPUTED_VALUE"""),37986)</f>
        <v>37986</v>
      </c>
    </row>
    <row r="4048" spans="1:10" x14ac:dyDescent="0.25">
      <c r="A4048" s="1" t="str">
        <f ca="1">IFERROR(__xludf.DUMMYFUNCTION("""COMPUTED_VALUE"""),"MAFC")</f>
        <v>MAFC</v>
      </c>
      <c r="B4048" s="1" t="str">
        <f ca="1">IFERROR(__xludf.DUMMYFUNCTION("""COMPUTED_VALUE"""),"Perneczky Richárd")</f>
        <v>Perneczky Richárd</v>
      </c>
      <c r="C4048" s="1"/>
      <c r="D4048" s="1" t="str">
        <f ca="1">IFERROR(__xludf.DUMMYFUNCTION("""COMPUTED_VALUE"""),"Férfi")</f>
        <v>Férfi</v>
      </c>
      <c r="E4048" s="1"/>
      <c r="F4048" s="1">
        <f ca="1">IFERROR(__xludf.DUMMYFUNCTION("""COMPUTED_VALUE"""),1991)</f>
        <v>1991</v>
      </c>
      <c r="G4048" s="1">
        <f ca="1">IFERROR(__xludf.DUMMYFUNCTION("""COMPUTED_VALUE"""),1287)</f>
        <v>1287</v>
      </c>
      <c r="H4048" s="1" t="str">
        <f ca="1">IFERROR(__xludf.DUMMYFUNCTION("""COMPUTED_VALUE"""),"MTLSZ001287A02")</f>
        <v>MTLSZ001287A02</v>
      </c>
      <c r="I4048" s="2">
        <f ca="1">IFERROR(__xludf.DUMMYFUNCTION("""COMPUTED_VALUE"""),37622)</f>
        <v>37622</v>
      </c>
      <c r="J4048" s="2">
        <f ca="1">IFERROR(__xludf.DUMMYFUNCTION("""COMPUTED_VALUE"""),37986)</f>
        <v>37986</v>
      </c>
    </row>
    <row r="4049" spans="1:10" x14ac:dyDescent="0.25">
      <c r="A4049" s="1" t="str">
        <f ca="1">IFERROR(__xludf.DUMMYFUNCTION("""COMPUTED_VALUE"""),"MAFC")</f>
        <v>MAFC</v>
      </c>
      <c r="B4049" s="1" t="str">
        <f ca="1">IFERROR(__xludf.DUMMYFUNCTION("""COMPUTED_VALUE"""),"Rónyai Erika")</f>
        <v>Rónyai Erika</v>
      </c>
      <c r="C4049" s="1"/>
      <c r="D4049" s="1" t="str">
        <f ca="1">IFERROR(__xludf.DUMMYFUNCTION("""COMPUTED_VALUE"""),"Nő")</f>
        <v>Nő</v>
      </c>
      <c r="E4049" s="1"/>
      <c r="F4049" s="1">
        <f ca="1">IFERROR(__xludf.DUMMYFUNCTION("""COMPUTED_VALUE"""),1972)</f>
        <v>1972</v>
      </c>
      <c r="G4049" s="1">
        <f ca="1">IFERROR(__xludf.DUMMYFUNCTION("""COMPUTED_VALUE"""),816)</f>
        <v>816</v>
      </c>
      <c r="H4049" s="1" t="str">
        <f ca="1">IFERROR(__xludf.DUMMYFUNCTION("""COMPUTED_VALUE"""),"MTLSZ000816A02")</f>
        <v>MTLSZ000816A02</v>
      </c>
      <c r="I4049" s="2">
        <f ca="1">IFERROR(__xludf.DUMMYFUNCTION("""COMPUTED_VALUE"""),37622)</f>
        <v>37622</v>
      </c>
      <c r="J4049" s="2">
        <f ca="1">IFERROR(__xludf.DUMMYFUNCTION("""COMPUTED_VALUE"""),37986)</f>
        <v>37986</v>
      </c>
    </row>
    <row r="4050" spans="1:10" x14ac:dyDescent="0.25">
      <c r="A4050" s="1" t="str">
        <f ca="1">IFERROR(__xludf.DUMMYFUNCTION("""COMPUTED_VALUE"""),"MAFC")</f>
        <v>MAFC</v>
      </c>
      <c r="B4050" s="1" t="str">
        <f ca="1">IFERROR(__xludf.DUMMYFUNCTION("""COMPUTED_VALUE"""),"Schuh Edina")</f>
        <v>Schuh Edina</v>
      </c>
      <c r="C4050" s="1"/>
      <c r="D4050" s="1" t="str">
        <f ca="1">IFERROR(__xludf.DUMMYFUNCTION("""COMPUTED_VALUE"""),"Nő")</f>
        <v>Nő</v>
      </c>
      <c r="E4050" s="1"/>
      <c r="F4050" s="1">
        <f ca="1">IFERROR(__xludf.DUMMYFUNCTION("""COMPUTED_VALUE"""),1988)</f>
        <v>1988</v>
      </c>
      <c r="G4050" s="1">
        <f ca="1">IFERROR(__xludf.DUMMYFUNCTION("""COMPUTED_VALUE"""),841)</f>
        <v>841</v>
      </c>
      <c r="H4050" s="1" t="str">
        <f ca="1">IFERROR(__xludf.DUMMYFUNCTION("""COMPUTED_VALUE"""),"MTLSZ000841A02")</f>
        <v>MTLSZ000841A02</v>
      </c>
      <c r="I4050" s="2">
        <f ca="1">IFERROR(__xludf.DUMMYFUNCTION("""COMPUTED_VALUE"""),37622)</f>
        <v>37622</v>
      </c>
      <c r="J4050" s="2">
        <f ca="1">IFERROR(__xludf.DUMMYFUNCTION("""COMPUTED_VALUE"""),37986)</f>
        <v>37986</v>
      </c>
    </row>
    <row r="4051" spans="1:10" x14ac:dyDescent="0.25">
      <c r="A4051" s="1" t="str">
        <f ca="1">IFERROR(__xludf.DUMMYFUNCTION("""COMPUTED_VALUE"""),"MAFC")</f>
        <v>MAFC</v>
      </c>
      <c r="B4051" s="1" t="str">
        <f ca="1">IFERROR(__xludf.DUMMYFUNCTION("""COMPUTED_VALUE"""),"Serdült János")</f>
        <v>Serdült János</v>
      </c>
      <c r="C4051" s="1"/>
      <c r="D4051" s="1" t="str">
        <f ca="1">IFERROR(__xludf.DUMMYFUNCTION("""COMPUTED_VALUE"""),"Férfi")</f>
        <v>Férfi</v>
      </c>
      <c r="E4051" s="1"/>
      <c r="F4051" s="1">
        <f ca="1">IFERROR(__xludf.DUMMYFUNCTION("""COMPUTED_VALUE"""),1990)</f>
        <v>1990</v>
      </c>
      <c r="G4051" s="1">
        <f ca="1">IFERROR(__xludf.DUMMYFUNCTION("""COMPUTED_VALUE"""),1288)</f>
        <v>1288</v>
      </c>
      <c r="H4051" s="1" t="str">
        <f ca="1">IFERROR(__xludf.DUMMYFUNCTION("""COMPUTED_VALUE"""),"MTLSZ001288A02")</f>
        <v>MTLSZ001288A02</v>
      </c>
      <c r="I4051" s="2">
        <f ca="1">IFERROR(__xludf.DUMMYFUNCTION("""COMPUTED_VALUE"""),37622)</f>
        <v>37622</v>
      </c>
      <c r="J4051" s="2">
        <f ca="1">IFERROR(__xludf.DUMMYFUNCTION("""COMPUTED_VALUE"""),37986)</f>
        <v>37986</v>
      </c>
    </row>
    <row r="4052" spans="1:10" x14ac:dyDescent="0.25">
      <c r="A4052" s="1" t="str">
        <f ca="1">IFERROR(__xludf.DUMMYFUNCTION("""COMPUTED_VALUE"""),"MAFC")</f>
        <v>MAFC</v>
      </c>
      <c r="B4052" s="1" t="str">
        <f ca="1">IFERROR(__xludf.DUMMYFUNCTION("""COMPUTED_VALUE"""),"Somlai Lóránt")</f>
        <v>Somlai Lóránt</v>
      </c>
      <c r="C4052" s="1"/>
      <c r="D4052" s="1" t="str">
        <f ca="1">IFERROR(__xludf.DUMMYFUNCTION("""COMPUTED_VALUE"""),"Férfi")</f>
        <v>Férfi</v>
      </c>
      <c r="E4052" s="1"/>
      <c r="F4052" s="1">
        <f ca="1">IFERROR(__xludf.DUMMYFUNCTION("""COMPUTED_VALUE"""),1985)</f>
        <v>1985</v>
      </c>
      <c r="G4052" s="1">
        <f ca="1">IFERROR(__xludf.DUMMYFUNCTION("""COMPUTED_VALUE"""),1261)</f>
        <v>1261</v>
      </c>
      <c r="H4052" s="1" t="str">
        <f ca="1">IFERROR(__xludf.DUMMYFUNCTION("""COMPUTED_VALUE"""),"MTLSZ001261A02")</f>
        <v>MTLSZ001261A02</v>
      </c>
      <c r="I4052" s="2">
        <f ca="1">IFERROR(__xludf.DUMMYFUNCTION("""COMPUTED_VALUE"""),37622)</f>
        <v>37622</v>
      </c>
      <c r="J4052" s="2">
        <f ca="1">IFERROR(__xludf.DUMMYFUNCTION("""COMPUTED_VALUE"""),37986)</f>
        <v>37986</v>
      </c>
    </row>
    <row r="4053" spans="1:10" x14ac:dyDescent="0.25">
      <c r="A4053" s="1" t="str">
        <f ca="1">IFERROR(__xludf.DUMMYFUNCTION("""COMPUTED_VALUE"""),"MAFC")</f>
        <v>MAFC</v>
      </c>
      <c r="B4053" s="1" t="str">
        <f ca="1">IFERROR(__xludf.DUMMYFUNCTION("""COMPUTED_VALUE"""),"Suparmadi Arsena")</f>
        <v>Suparmadi Arsena</v>
      </c>
      <c r="C4053" s="1"/>
      <c r="D4053" s="1" t="str">
        <f ca="1">IFERROR(__xludf.DUMMYFUNCTION("""COMPUTED_VALUE"""),"Férfi")</f>
        <v>Férfi</v>
      </c>
      <c r="E4053" s="1"/>
      <c r="F4053" s="1">
        <f ca="1">IFERROR(__xludf.DUMMYFUNCTION("""COMPUTED_VALUE"""),1958)</f>
        <v>1958</v>
      </c>
      <c r="G4053" s="1">
        <f ca="1">IFERROR(__xludf.DUMMYFUNCTION("""COMPUTED_VALUE"""),876)</f>
        <v>876</v>
      </c>
      <c r="H4053" s="1" t="str">
        <f ca="1">IFERROR(__xludf.DUMMYFUNCTION("""COMPUTED_VALUE"""),"MTLSZ000876A02")</f>
        <v>MTLSZ000876A02</v>
      </c>
      <c r="I4053" s="2">
        <f ca="1">IFERROR(__xludf.DUMMYFUNCTION("""COMPUTED_VALUE"""),37622)</f>
        <v>37622</v>
      </c>
      <c r="J4053" s="2">
        <f ca="1">IFERROR(__xludf.DUMMYFUNCTION("""COMPUTED_VALUE"""),37986)</f>
        <v>37986</v>
      </c>
    </row>
    <row r="4054" spans="1:10" x14ac:dyDescent="0.25">
      <c r="A4054" s="1" t="str">
        <f ca="1">IFERROR(__xludf.DUMMYFUNCTION("""COMPUTED_VALUE"""),"MAFC")</f>
        <v>MAFC</v>
      </c>
      <c r="B4054" s="1" t="str">
        <f ca="1">IFERROR(__xludf.DUMMYFUNCTION("""COMPUTED_VALUE"""),"Szabó Iván")</f>
        <v>Szabó Iván</v>
      </c>
      <c r="C4054" s="1"/>
      <c r="D4054" s="1" t="str">
        <f ca="1">IFERROR(__xludf.DUMMYFUNCTION("""COMPUTED_VALUE"""),"Férfi")</f>
        <v>Férfi</v>
      </c>
      <c r="E4054" s="1"/>
      <c r="F4054" s="1">
        <f ca="1">IFERROR(__xludf.DUMMYFUNCTION("""COMPUTED_VALUE"""),1972)</f>
        <v>1972</v>
      </c>
      <c r="G4054" s="1">
        <f ca="1">IFERROR(__xludf.DUMMYFUNCTION("""COMPUTED_VALUE"""),893)</f>
        <v>893</v>
      </c>
      <c r="H4054" s="1" t="str">
        <f ca="1">IFERROR(__xludf.DUMMYFUNCTION("""COMPUTED_VALUE"""),"MTLSZ000893A02")</f>
        <v>MTLSZ000893A02</v>
      </c>
      <c r="I4054" s="2">
        <f ca="1">IFERROR(__xludf.DUMMYFUNCTION("""COMPUTED_VALUE"""),37622)</f>
        <v>37622</v>
      </c>
      <c r="J4054" s="2">
        <f ca="1">IFERROR(__xludf.DUMMYFUNCTION("""COMPUTED_VALUE"""),37986)</f>
        <v>37986</v>
      </c>
    </row>
    <row r="4055" spans="1:10" x14ac:dyDescent="0.25">
      <c r="A4055" s="1" t="str">
        <f ca="1">IFERROR(__xludf.DUMMYFUNCTION("""COMPUTED_VALUE"""),"MAFC")</f>
        <v>MAFC</v>
      </c>
      <c r="B4055" s="1" t="str">
        <f ca="1">IFERROR(__xludf.DUMMYFUNCTION("""COMPUTED_VALUE"""),"Szabó Lídia")</f>
        <v>Szabó Lídia</v>
      </c>
      <c r="C4055" s="1"/>
      <c r="D4055" s="1" t="str">
        <f ca="1">IFERROR(__xludf.DUMMYFUNCTION("""COMPUTED_VALUE"""),"Nő")</f>
        <v>Nő</v>
      </c>
      <c r="E4055" s="1"/>
      <c r="F4055" s="1">
        <f ca="1">IFERROR(__xludf.DUMMYFUNCTION("""COMPUTED_VALUE"""),1967)</f>
        <v>1967</v>
      </c>
      <c r="G4055" s="1">
        <f ca="1">IFERROR(__xludf.DUMMYFUNCTION("""COMPUTED_VALUE"""),898)</f>
        <v>898</v>
      </c>
      <c r="H4055" s="1" t="str">
        <f ca="1">IFERROR(__xludf.DUMMYFUNCTION("""COMPUTED_VALUE"""),"MTLSZ000898A02")</f>
        <v>MTLSZ000898A02</v>
      </c>
      <c r="I4055" s="2">
        <f ca="1">IFERROR(__xludf.DUMMYFUNCTION("""COMPUTED_VALUE"""),37622)</f>
        <v>37622</v>
      </c>
      <c r="J4055" s="2">
        <f ca="1">IFERROR(__xludf.DUMMYFUNCTION("""COMPUTED_VALUE"""),37986)</f>
        <v>37986</v>
      </c>
    </row>
    <row r="4056" spans="1:10" x14ac:dyDescent="0.25">
      <c r="A4056" s="1" t="str">
        <f ca="1">IFERROR(__xludf.DUMMYFUNCTION("""COMPUTED_VALUE"""),"MAFC")</f>
        <v>MAFC</v>
      </c>
      <c r="B4056" s="1" t="str">
        <f ca="1">IFERROR(__xludf.DUMMYFUNCTION("""COMPUTED_VALUE"""),"Szabó Viktória")</f>
        <v>Szabó Viktória</v>
      </c>
      <c r="C4056" s="1"/>
      <c r="D4056" s="1" t="str">
        <f ca="1">IFERROR(__xludf.DUMMYFUNCTION("""COMPUTED_VALUE"""),"Nő")</f>
        <v>Nő</v>
      </c>
      <c r="E4056" s="1"/>
      <c r="F4056" s="1">
        <f ca="1">IFERROR(__xludf.DUMMYFUNCTION("""COMPUTED_VALUE"""),1978)</f>
        <v>1978</v>
      </c>
      <c r="G4056" s="1">
        <f ca="1">IFERROR(__xludf.DUMMYFUNCTION("""COMPUTED_VALUE"""),905)</f>
        <v>905</v>
      </c>
      <c r="H4056" s="1" t="str">
        <f ca="1">IFERROR(__xludf.DUMMYFUNCTION("""COMPUTED_VALUE"""),"MTLSZ000905A02")</f>
        <v>MTLSZ000905A02</v>
      </c>
      <c r="I4056" s="2">
        <f ca="1">IFERROR(__xludf.DUMMYFUNCTION("""COMPUTED_VALUE"""),37622)</f>
        <v>37622</v>
      </c>
      <c r="J4056" s="2">
        <f ca="1">IFERROR(__xludf.DUMMYFUNCTION("""COMPUTED_VALUE"""),37986)</f>
        <v>37986</v>
      </c>
    </row>
    <row r="4057" spans="1:10" x14ac:dyDescent="0.25">
      <c r="A4057" s="1" t="str">
        <f ca="1">IFERROR(__xludf.DUMMYFUNCTION("""COMPUTED_VALUE"""),"MAFC")</f>
        <v>MAFC</v>
      </c>
      <c r="B4057" s="1" t="str">
        <f ca="1">IFERROR(__xludf.DUMMYFUNCTION("""COMPUTED_VALUE"""),"Szabó Zsófia")</f>
        <v>Szabó Zsófia</v>
      </c>
      <c r="C4057" s="1"/>
      <c r="D4057" s="1" t="str">
        <f ca="1">IFERROR(__xludf.DUMMYFUNCTION("""COMPUTED_VALUE"""),"Nő")</f>
        <v>Nő</v>
      </c>
      <c r="E4057" s="1"/>
      <c r="F4057" s="1">
        <f ca="1">IFERROR(__xludf.DUMMYFUNCTION("""COMPUTED_VALUE"""),1987)</f>
        <v>1987</v>
      </c>
      <c r="G4057" s="1">
        <f ca="1">IFERROR(__xludf.DUMMYFUNCTION("""COMPUTED_VALUE"""),1263)</f>
        <v>1263</v>
      </c>
      <c r="H4057" s="1" t="str">
        <f ca="1">IFERROR(__xludf.DUMMYFUNCTION("""COMPUTED_VALUE"""),"MTLSZ001263A02")</f>
        <v>MTLSZ001263A02</v>
      </c>
      <c r="I4057" s="2">
        <f ca="1">IFERROR(__xludf.DUMMYFUNCTION("""COMPUTED_VALUE"""),37622)</f>
        <v>37622</v>
      </c>
      <c r="J4057" s="2">
        <f ca="1">IFERROR(__xludf.DUMMYFUNCTION("""COMPUTED_VALUE"""),37986)</f>
        <v>37986</v>
      </c>
    </row>
    <row r="4058" spans="1:10" x14ac:dyDescent="0.25">
      <c r="A4058" s="1" t="str">
        <f ca="1">IFERROR(__xludf.DUMMYFUNCTION("""COMPUTED_VALUE"""),"MAFC")</f>
        <v>MAFC</v>
      </c>
      <c r="B4058" s="1" t="str">
        <f ca="1">IFERROR(__xludf.DUMMYFUNCTION("""COMPUTED_VALUE"""),"Szalai Éva")</f>
        <v>Szalai Éva</v>
      </c>
      <c r="C4058" s="1"/>
      <c r="D4058" s="1" t="str">
        <f ca="1">IFERROR(__xludf.DUMMYFUNCTION("""COMPUTED_VALUE"""),"Nő")</f>
        <v>Nő</v>
      </c>
      <c r="E4058" s="1"/>
      <c r="F4058" s="1">
        <f ca="1">IFERROR(__xludf.DUMMYFUNCTION("""COMPUTED_VALUE"""),1984)</f>
        <v>1984</v>
      </c>
      <c r="G4058" s="1">
        <f ca="1">IFERROR(__xludf.DUMMYFUNCTION("""COMPUTED_VALUE"""),1240)</f>
        <v>1240</v>
      </c>
      <c r="H4058" s="1" t="str">
        <f ca="1">IFERROR(__xludf.DUMMYFUNCTION("""COMPUTED_VALUE"""),"MTLSZ001240A02")</f>
        <v>MTLSZ001240A02</v>
      </c>
      <c r="I4058" s="2">
        <f ca="1">IFERROR(__xludf.DUMMYFUNCTION("""COMPUTED_VALUE"""),37622)</f>
        <v>37622</v>
      </c>
      <c r="J4058" s="2">
        <f ca="1">IFERROR(__xludf.DUMMYFUNCTION("""COMPUTED_VALUE"""),37986)</f>
        <v>37986</v>
      </c>
    </row>
    <row r="4059" spans="1:10" x14ac:dyDescent="0.25">
      <c r="A4059" s="1" t="str">
        <f ca="1">IFERROR(__xludf.DUMMYFUNCTION("""COMPUTED_VALUE"""),"MAFC")</f>
        <v>MAFC</v>
      </c>
      <c r="B4059" s="1" t="str">
        <f ca="1">IFERROR(__xludf.DUMMYFUNCTION("""COMPUTED_VALUE"""),"Szász Csaba")</f>
        <v>Szász Csaba</v>
      </c>
      <c r="C4059" s="1"/>
      <c r="D4059" s="1" t="str">
        <f ca="1">IFERROR(__xludf.DUMMYFUNCTION("""COMPUTED_VALUE"""),"Férfi")</f>
        <v>Férfi</v>
      </c>
      <c r="E4059" s="1"/>
      <c r="F4059" s="1">
        <f ca="1">IFERROR(__xludf.DUMMYFUNCTION("""COMPUTED_VALUE"""),1973)</f>
        <v>1973</v>
      </c>
      <c r="G4059" s="1">
        <f ca="1">IFERROR(__xludf.DUMMYFUNCTION("""COMPUTED_VALUE"""),916)</f>
        <v>916</v>
      </c>
      <c r="H4059" s="1" t="str">
        <f ca="1">IFERROR(__xludf.DUMMYFUNCTION("""COMPUTED_VALUE"""),"MTLSZ000916A02")</f>
        <v>MTLSZ000916A02</v>
      </c>
      <c r="I4059" s="2">
        <f ca="1">IFERROR(__xludf.DUMMYFUNCTION("""COMPUTED_VALUE"""),37622)</f>
        <v>37622</v>
      </c>
      <c r="J4059" s="2">
        <f ca="1">IFERROR(__xludf.DUMMYFUNCTION("""COMPUTED_VALUE"""),37986)</f>
        <v>37986</v>
      </c>
    </row>
    <row r="4060" spans="1:10" x14ac:dyDescent="0.25">
      <c r="A4060" s="1" t="str">
        <f ca="1">IFERROR(__xludf.DUMMYFUNCTION("""COMPUTED_VALUE"""),"MAFC")</f>
        <v>MAFC</v>
      </c>
      <c r="B4060" s="1" t="str">
        <f ca="1">IFERROR(__xludf.DUMMYFUNCTION("""COMPUTED_VALUE"""),"Szatmári Kornélia")</f>
        <v>Szatmári Kornélia</v>
      </c>
      <c r="C4060" s="1"/>
      <c r="D4060" s="1" t="str">
        <f ca="1">IFERROR(__xludf.DUMMYFUNCTION("""COMPUTED_VALUE"""),"Nő")</f>
        <v>Nő</v>
      </c>
      <c r="E4060" s="1"/>
      <c r="F4060" s="1">
        <f ca="1">IFERROR(__xludf.DUMMYFUNCTION("""COMPUTED_VALUE"""),1972)</f>
        <v>1972</v>
      </c>
      <c r="G4060" s="1">
        <f ca="1">IFERROR(__xludf.DUMMYFUNCTION("""COMPUTED_VALUE"""),919)</f>
        <v>919</v>
      </c>
      <c r="H4060" s="1" t="str">
        <f ca="1">IFERROR(__xludf.DUMMYFUNCTION("""COMPUTED_VALUE"""),"MTLSZ000919A02")</f>
        <v>MTLSZ000919A02</v>
      </c>
      <c r="I4060" s="2">
        <f ca="1">IFERROR(__xludf.DUMMYFUNCTION("""COMPUTED_VALUE"""),37622)</f>
        <v>37622</v>
      </c>
      <c r="J4060" s="2">
        <f ca="1">IFERROR(__xludf.DUMMYFUNCTION("""COMPUTED_VALUE"""),37986)</f>
        <v>37986</v>
      </c>
    </row>
    <row r="4061" spans="1:10" x14ac:dyDescent="0.25">
      <c r="A4061" s="1" t="str">
        <f ca="1">IFERROR(__xludf.DUMMYFUNCTION("""COMPUTED_VALUE"""),"MAFC")</f>
        <v>MAFC</v>
      </c>
      <c r="B4061" s="1" t="str">
        <f ca="1">IFERROR(__xludf.DUMMYFUNCTION("""COMPUTED_VALUE"""),"Szekeres Alexandra")</f>
        <v>Szekeres Alexandra</v>
      </c>
      <c r="C4061" s="1"/>
      <c r="D4061" s="1" t="str">
        <f ca="1">IFERROR(__xludf.DUMMYFUNCTION("""COMPUTED_VALUE"""),"Nő")</f>
        <v>Nő</v>
      </c>
      <c r="E4061" s="1"/>
      <c r="F4061" s="1">
        <f ca="1">IFERROR(__xludf.DUMMYFUNCTION("""COMPUTED_VALUE"""),1994)</f>
        <v>1994</v>
      </c>
      <c r="G4061" s="1">
        <f ca="1">IFERROR(__xludf.DUMMYFUNCTION("""COMPUTED_VALUE"""),1343)</f>
        <v>1343</v>
      </c>
      <c r="H4061" s="1" t="str">
        <f ca="1">IFERROR(__xludf.DUMMYFUNCTION("""COMPUTED_VALUE"""),"MTLSZ001343A03")</f>
        <v>MTLSZ001343A03</v>
      </c>
      <c r="I4061" s="2">
        <f ca="1">IFERROR(__xludf.DUMMYFUNCTION("""COMPUTED_VALUE"""),37622)</f>
        <v>37622</v>
      </c>
      <c r="J4061" s="2">
        <f ca="1">IFERROR(__xludf.DUMMYFUNCTION("""COMPUTED_VALUE"""),37986)</f>
        <v>37986</v>
      </c>
    </row>
    <row r="4062" spans="1:10" x14ac:dyDescent="0.25">
      <c r="A4062" s="1" t="str">
        <f ca="1">IFERROR(__xludf.DUMMYFUNCTION("""COMPUTED_VALUE"""),"MAFC")</f>
        <v>MAFC</v>
      </c>
      <c r="B4062" s="1" t="str">
        <f ca="1">IFERROR(__xludf.DUMMYFUNCTION("""COMPUTED_VALUE"""),"Szél Gábor")</f>
        <v>Szél Gábor</v>
      </c>
      <c r="C4062" s="1"/>
      <c r="D4062" s="1" t="str">
        <f ca="1">IFERROR(__xludf.DUMMYFUNCTION("""COMPUTED_VALUE"""),"Férfi")</f>
        <v>Férfi</v>
      </c>
      <c r="E4062" s="1"/>
      <c r="F4062" s="1">
        <f ca="1">IFERROR(__xludf.DUMMYFUNCTION("""COMPUTED_VALUE"""),1986)</f>
        <v>1986</v>
      </c>
      <c r="G4062" s="1">
        <f ca="1">IFERROR(__xludf.DUMMYFUNCTION("""COMPUTED_VALUE"""),931)</f>
        <v>931</v>
      </c>
      <c r="H4062" s="1" t="str">
        <f ca="1">IFERROR(__xludf.DUMMYFUNCTION("""COMPUTED_VALUE"""),"MTLSZ000931A02")</f>
        <v>MTLSZ000931A02</v>
      </c>
      <c r="I4062" s="2">
        <f ca="1">IFERROR(__xludf.DUMMYFUNCTION("""COMPUTED_VALUE"""),37622)</f>
        <v>37622</v>
      </c>
      <c r="J4062" s="2">
        <f ca="1">IFERROR(__xludf.DUMMYFUNCTION("""COMPUTED_VALUE"""),37986)</f>
        <v>37986</v>
      </c>
    </row>
    <row r="4063" spans="1:10" x14ac:dyDescent="0.25">
      <c r="A4063" s="1" t="str">
        <f ca="1">IFERROR(__xludf.DUMMYFUNCTION("""COMPUTED_VALUE"""),"MAFC")</f>
        <v>MAFC</v>
      </c>
      <c r="B4063" s="1" t="str">
        <f ca="1">IFERROR(__xludf.DUMMYFUNCTION("""COMPUTED_VALUE"""),"Takács Aranka")</f>
        <v>Takács Aranka</v>
      </c>
      <c r="C4063" s="1"/>
      <c r="D4063" s="1" t="str">
        <f ca="1">IFERROR(__xludf.DUMMYFUNCTION("""COMPUTED_VALUE"""),"Nő")</f>
        <v>Nő</v>
      </c>
      <c r="E4063" s="1"/>
      <c r="F4063" s="1">
        <f ca="1">IFERROR(__xludf.DUMMYFUNCTION("""COMPUTED_VALUE"""),1974)</f>
        <v>1974</v>
      </c>
      <c r="G4063" s="1">
        <f ca="1">IFERROR(__xludf.DUMMYFUNCTION("""COMPUTED_VALUE"""),986)</f>
        <v>986</v>
      </c>
      <c r="H4063" s="1" t="str">
        <f ca="1">IFERROR(__xludf.DUMMYFUNCTION("""COMPUTED_VALUE"""),"MTLSZ000986A02")</f>
        <v>MTLSZ000986A02</v>
      </c>
      <c r="I4063" s="2">
        <f ca="1">IFERROR(__xludf.DUMMYFUNCTION("""COMPUTED_VALUE"""),37622)</f>
        <v>37622</v>
      </c>
      <c r="J4063" s="2">
        <f ca="1">IFERROR(__xludf.DUMMYFUNCTION("""COMPUTED_VALUE"""),37986)</f>
        <v>37986</v>
      </c>
    </row>
    <row r="4064" spans="1:10" x14ac:dyDescent="0.25">
      <c r="A4064" s="1" t="str">
        <f ca="1">IFERROR(__xludf.DUMMYFUNCTION("""COMPUTED_VALUE"""),"MAFC")</f>
        <v>MAFC</v>
      </c>
      <c r="B4064" s="1" t="str">
        <f ca="1">IFERROR(__xludf.DUMMYFUNCTION("""COMPUTED_VALUE"""),"Török Virág")</f>
        <v>Török Virág</v>
      </c>
      <c r="C4064" s="1"/>
      <c r="D4064" s="1" t="str">
        <f ca="1">IFERROR(__xludf.DUMMYFUNCTION("""COMPUTED_VALUE"""),"Nő")</f>
        <v>Nő</v>
      </c>
      <c r="E4064" s="1"/>
      <c r="F4064" s="1">
        <f ca="1">IFERROR(__xludf.DUMMYFUNCTION("""COMPUTED_VALUE"""),1990)</f>
        <v>1990</v>
      </c>
      <c r="G4064" s="1">
        <f ca="1">IFERROR(__xludf.DUMMYFUNCTION("""COMPUTED_VALUE"""),1265)</f>
        <v>1265</v>
      </c>
      <c r="H4064" s="1" t="str">
        <f ca="1">IFERROR(__xludf.DUMMYFUNCTION("""COMPUTED_VALUE"""),"MTLSZ001265A02")</f>
        <v>MTLSZ001265A02</v>
      </c>
      <c r="I4064" s="2">
        <f ca="1">IFERROR(__xludf.DUMMYFUNCTION("""COMPUTED_VALUE"""),37622)</f>
        <v>37622</v>
      </c>
      <c r="J4064" s="2">
        <f ca="1">IFERROR(__xludf.DUMMYFUNCTION("""COMPUTED_VALUE"""),37986)</f>
        <v>37986</v>
      </c>
    </row>
    <row r="4065" spans="1:10" x14ac:dyDescent="0.25">
      <c r="A4065" s="1" t="str">
        <f ca="1">IFERROR(__xludf.DUMMYFUNCTION("""COMPUTED_VALUE"""),"MAFC")</f>
        <v>MAFC</v>
      </c>
      <c r="B4065" s="1" t="str">
        <f ca="1">IFERROR(__xludf.DUMMYFUNCTION("""COMPUTED_VALUE"""),"Vér Nóra")</f>
        <v>Vér Nóra</v>
      </c>
      <c r="C4065" s="1"/>
      <c r="D4065" s="1" t="str">
        <f ca="1">IFERROR(__xludf.DUMMYFUNCTION("""COMPUTED_VALUE"""),"Nő")</f>
        <v>Nő</v>
      </c>
      <c r="E4065" s="1"/>
      <c r="F4065" s="1">
        <f ca="1">IFERROR(__xludf.DUMMYFUNCTION("""COMPUTED_VALUE"""),1980)</f>
        <v>1980</v>
      </c>
      <c r="G4065" s="1">
        <f ca="1">IFERROR(__xludf.DUMMYFUNCTION("""COMPUTED_VALUE"""),1266)</f>
        <v>1266</v>
      </c>
      <c r="H4065" s="1" t="str">
        <f ca="1">IFERROR(__xludf.DUMMYFUNCTION("""COMPUTED_VALUE"""),"MTLSZ001266A02")</f>
        <v>MTLSZ001266A02</v>
      </c>
      <c r="I4065" s="2">
        <f ca="1">IFERROR(__xludf.DUMMYFUNCTION("""COMPUTED_VALUE"""),37622)</f>
        <v>37622</v>
      </c>
      <c r="J4065" s="2">
        <f ca="1">IFERROR(__xludf.DUMMYFUNCTION("""COMPUTED_VALUE"""),37986)</f>
        <v>37986</v>
      </c>
    </row>
    <row r="4066" spans="1:10" x14ac:dyDescent="0.25">
      <c r="A4066" s="1" t="str">
        <f ca="1">IFERROR(__xludf.DUMMYFUNCTION("""COMPUTED_VALUE"""),"MAFC")</f>
        <v>MAFC</v>
      </c>
      <c r="B4066" s="1" t="str">
        <f ca="1">IFERROR(__xludf.DUMMYFUNCTION("""COMPUTED_VALUE"""),"Vörös Éva")</f>
        <v>Vörös Éva</v>
      </c>
      <c r="C4066" s="1"/>
      <c r="D4066" s="1" t="str">
        <f ca="1">IFERROR(__xludf.DUMMYFUNCTION("""COMPUTED_VALUE"""),"Nő")</f>
        <v>Nő</v>
      </c>
      <c r="E4066" s="1"/>
      <c r="F4066" s="1">
        <f ca="1">IFERROR(__xludf.DUMMYFUNCTION("""COMPUTED_VALUE"""),1972)</f>
        <v>1972</v>
      </c>
      <c r="G4066" s="1">
        <f ca="1">IFERROR(__xludf.DUMMYFUNCTION("""COMPUTED_VALUE"""),1132)</f>
        <v>1132</v>
      </c>
      <c r="H4066" s="1" t="str">
        <f ca="1">IFERROR(__xludf.DUMMYFUNCTION("""COMPUTED_VALUE"""),"MTLSZ001132A02")</f>
        <v>MTLSZ001132A02</v>
      </c>
      <c r="I4066" s="2">
        <f ca="1">IFERROR(__xludf.DUMMYFUNCTION("""COMPUTED_VALUE"""),37622)</f>
        <v>37622</v>
      </c>
      <c r="J4066" s="2">
        <f ca="1">IFERROR(__xludf.DUMMYFUNCTION("""COMPUTED_VALUE"""),37986)</f>
        <v>37986</v>
      </c>
    </row>
    <row r="4067" spans="1:10" x14ac:dyDescent="0.25">
      <c r="A4067" s="1" t="str">
        <f ca="1">IFERROR(__xludf.DUMMYFUNCTION("""COMPUTED_VALUE"""),"MAFC")</f>
        <v>MAFC</v>
      </c>
      <c r="B4067" s="1" t="str">
        <f ca="1">IFERROR(__xludf.DUMMYFUNCTION("""COMPUTED_VALUE"""),"Widjaja Heriman")</f>
        <v>Widjaja Heriman</v>
      </c>
      <c r="C4067" s="1"/>
      <c r="D4067" s="1" t="str">
        <f ca="1">IFERROR(__xludf.DUMMYFUNCTION("""COMPUTED_VALUE"""),"Férfi")</f>
        <v>Férfi</v>
      </c>
      <c r="E4067" s="1"/>
      <c r="F4067" s="1">
        <f ca="1">IFERROR(__xludf.DUMMYFUNCTION("""COMPUTED_VALUE"""),1985)</f>
        <v>1985</v>
      </c>
      <c r="G4067" s="1">
        <f ca="1">IFERROR(__xludf.DUMMYFUNCTION("""COMPUTED_VALUE"""),1135)</f>
        <v>1135</v>
      </c>
      <c r="H4067" s="1" t="str">
        <f ca="1">IFERROR(__xludf.DUMMYFUNCTION("""COMPUTED_VALUE"""),"MTLSZ001135A02")</f>
        <v>MTLSZ001135A02</v>
      </c>
      <c r="I4067" s="2">
        <f ca="1">IFERROR(__xludf.DUMMYFUNCTION("""COMPUTED_VALUE"""),37622)</f>
        <v>37622</v>
      </c>
      <c r="J4067" s="2">
        <f ca="1">IFERROR(__xludf.DUMMYFUNCTION("""COMPUTED_VALUE"""),37986)</f>
        <v>37986</v>
      </c>
    </row>
    <row r="4068" spans="1:10" x14ac:dyDescent="0.25">
      <c r="A4068" s="1" t="str">
        <f ca="1">IFERROR(__xludf.DUMMYFUNCTION("""COMPUTED_VALUE"""),"NYVSC")</f>
        <v>NYVSC</v>
      </c>
      <c r="B4068" s="1" t="str">
        <f ca="1">IFERROR(__xludf.DUMMYFUNCTION("""COMPUTED_VALUE"""),"Almási Eszter")</f>
        <v>Almási Eszter</v>
      </c>
      <c r="C4068" s="1"/>
      <c r="D4068" s="1" t="str">
        <f ca="1">IFERROR(__xludf.DUMMYFUNCTION("""COMPUTED_VALUE"""),"Nő")</f>
        <v>Nő</v>
      </c>
      <c r="E4068" s="1"/>
      <c r="F4068" s="1">
        <f ca="1">IFERROR(__xludf.DUMMYFUNCTION("""COMPUTED_VALUE"""),1987)</f>
        <v>1987</v>
      </c>
      <c r="G4068" s="1">
        <f ca="1">IFERROR(__xludf.DUMMYFUNCTION("""COMPUTED_VALUE"""),13)</f>
        <v>13</v>
      </c>
      <c r="H4068" s="1" t="str">
        <f ca="1">IFERROR(__xludf.DUMMYFUNCTION("""COMPUTED_VALUE"""),"MTLSZ000013A02")</f>
        <v>MTLSZ000013A02</v>
      </c>
      <c r="I4068" s="2">
        <f ca="1">IFERROR(__xludf.DUMMYFUNCTION("""COMPUTED_VALUE"""),37622)</f>
        <v>37622</v>
      </c>
      <c r="J4068" s="2">
        <f ca="1">IFERROR(__xludf.DUMMYFUNCTION("""COMPUTED_VALUE"""),37986)</f>
        <v>37986</v>
      </c>
    </row>
    <row r="4069" spans="1:10" x14ac:dyDescent="0.25">
      <c r="A4069" s="1" t="str">
        <f ca="1">IFERROR(__xludf.DUMMYFUNCTION("""COMPUTED_VALUE"""),"NYVSC")</f>
        <v>NYVSC</v>
      </c>
      <c r="B4069" s="1" t="str">
        <f ca="1">IFERROR(__xludf.DUMMYFUNCTION("""COMPUTED_VALUE"""),"Balla Vivien")</f>
        <v>Balla Vivien</v>
      </c>
      <c r="C4069" s="1"/>
      <c r="D4069" s="1" t="str">
        <f ca="1">IFERROR(__xludf.DUMMYFUNCTION("""COMPUTED_VALUE"""),"Nő")</f>
        <v>Nő</v>
      </c>
      <c r="E4069" s="1"/>
      <c r="F4069" s="1">
        <f ca="1">IFERROR(__xludf.DUMMYFUNCTION("""COMPUTED_VALUE"""),1990)</f>
        <v>1990</v>
      </c>
      <c r="G4069" s="1">
        <f ca="1">IFERROR(__xludf.DUMMYFUNCTION("""COMPUTED_VALUE"""),35)</f>
        <v>35</v>
      </c>
      <c r="H4069" s="1" t="str">
        <f ca="1">IFERROR(__xludf.DUMMYFUNCTION("""COMPUTED_VALUE"""),"MTLSZ000035A02")</f>
        <v>MTLSZ000035A02</v>
      </c>
      <c r="I4069" s="2">
        <f ca="1">IFERROR(__xludf.DUMMYFUNCTION("""COMPUTED_VALUE"""),37622)</f>
        <v>37622</v>
      </c>
      <c r="J4069" s="2">
        <f ca="1">IFERROR(__xludf.DUMMYFUNCTION("""COMPUTED_VALUE"""),37986)</f>
        <v>37986</v>
      </c>
    </row>
    <row r="4070" spans="1:10" x14ac:dyDescent="0.25">
      <c r="A4070" s="1" t="str">
        <f ca="1">IFERROR(__xludf.DUMMYFUNCTION("""COMPUTED_VALUE"""),"NYVSC")</f>
        <v>NYVSC</v>
      </c>
      <c r="B4070" s="1" t="str">
        <f ca="1">IFERROR(__xludf.DUMMYFUNCTION("""COMPUTED_VALUE"""),"Bezdán Zoltán")</f>
        <v>Bezdán Zoltán</v>
      </c>
      <c r="C4070" s="1"/>
      <c r="D4070" s="1" t="str">
        <f ca="1">IFERROR(__xludf.DUMMYFUNCTION("""COMPUTED_VALUE"""),"Férfi")</f>
        <v>Férfi</v>
      </c>
      <c r="E4070" s="1"/>
      <c r="F4070" s="1">
        <f ca="1">IFERROR(__xludf.DUMMYFUNCTION("""COMPUTED_VALUE"""),1987)</f>
        <v>1987</v>
      </c>
      <c r="G4070" s="1">
        <f ca="1">IFERROR(__xludf.DUMMYFUNCTION("""COMPUTED_VALUE"""),87)</f>
        <v>87</v>
      </c>
      <c r="H4070" s="1" t="str">
        <f ca="1">IFERROR(__xludf.DUMMYFUNCTION("""COMPUTED_VALUE"""),"MTLSZ000087A02")</f>
        <v>MTLSZ000087A02</v>
      </c>
      <c r="I4070" s="2">
        <f ca="1">IFERROR(__xludf.DUMMYFUNCTION("""COMPUTED_VALUE"""),37622)</f>
        <v>37622</v>
      </c>
      <c r="J4070" s="2">
        <f ca="1">IFERROR(__xludf.DUMMYFUNCTION("""COMPUTED_VALUE"""),37986)</f>
        <v>37986</v>
      </c>
    </row>
    <row r="4071" spans="1:10" x14ac:dyDescent="0.25">
      <c r="A4071" s="1" t="str">
        <f ca="1">IFERROR(__xludf.DUMMYFUNCTION("""COMPUTED_VALUE"""),"NYVSC")</f>
        <v>NYVSC</v>
      </c>
      <c r="B4071" s="1" t="str">
        <f ca="1">IFERROR(__xludf.DUMMYFUNCTION("""COMPUTED_VALUE"""),"Bezzegh Andrea")</f>
        <v>Bezzegh Andrea</v>
      </c>
      <c r="C4071" s="1"/>
      <c r="D4071" s="1" t="str">
        <f ca="1">IFERROR(__xludf.DUMMYFUNCTION("""COMPUTED_VALUE"""),"Nő")</f>
        <v>Nő</v>
      </c>
      <c r="E4071" s="1"/>
      <c r="F4071" s="1">
        <f ca="1">IFERROR(__xludf.DUMMYFUNCTION("""COMPUTED_VALUE"""),2000)</f>
        <v>2000</v>
      </c>
      <c r="G4071" s="1">
        <f ca="1">IFERROR(__xludf.DUMMYFUNCTION("""COMPUTED_VALUE"""),88)</f>
        <v>88</v>
      </c>
      <c r="H4071" s="1" t="str">
        <f ca="1">IFERROR(__xludf.DUMMYFUNCTION("""COMPUTED_VALUE"""),"MTLSZ000088A02")</f>
        <v>MTLSZ000088A02</v>
      </c>
      <c r="I4071" s="2">
        <f ca="1">IFERROR(__xludf.DUMMYFUNCTION("""COMPUTED_VALUE"""),37622)</f>
        <v>37622</v>
      </c>
      <c r="J4071" s="2">
        <f ca="1">IFERROR(__xludf.DUMMYFUNCTION("""COMPUTED_VALUE"""),37986)</f>
        <v>37986</v>
      </c>
    </row>
    <row r="4072" spans="1:10" x14ac:dyDescent="0.25">
      <c r="A4072" s="1" t="str">
        <f ca="1">IFERROR(__xludf.DUMMYFUNCTION("""COMPUTED_VALUE"""),"NYVSC")</f>
        <v>NYVSC</v>
      </c>
      <c r="B4072" s="1" t="str">
        <f ca="1">IFERROR(__xludf.DUMMYFUNCTION("""COMPUTED_VALUE"""),"Csengeri János")</f>
        <v>Csengeri János</v>
      </c>
      <c r="C4072" s="1"/>
      <c r="D4072" s="1" t="str">
        <f ca="1">IFERROR(__xludf.DUMMYFUNCTION("""COMPUTED_VALUE"""),"Férfi")</f>
        <v>Férfi</v>
      </c>
      <c r="E4072" s="1"/>
      <c r="F4072" s="1">
        <f ca="1">IFERROR(__xludf.DUMMYFUNCTION("""COMPUTED_VALUE"""),1978)</f>
        <v>1978</v>
      </c>
      <c r="G4072" s="1">
        <f ca="1">IFERROR(__xludf.DUMMYFUNCTION("""COMPUTED_VALUE"""),132)</f>
        <v>132</v>
      </c>
      <c r="H4072" s="1" t="str">
        <f ca="1">IFERROR(__xludf.DUMMYFUNCTION("""COMPUTED_VALUE"""),"MTLSZ000132A02")</f>
        <v>MTLSZ000132A02</v>
      </c>
      <c r="I4072" s="2">
        <f ca="1">IFERROR(__xludf.DUMMYFUNCTION("""COMPUTED_VALUE"""),37622)</f>
        <v>37622</v>
      </c>
      <c r="J4072" s="2">
        <f ca="1">IFERROR(__xludf.DUMMYFUNCTION("""COMPUTED_VALUE"""),37986)</f>
        <v>37986</v>
      </c>
    </row>
    <row r="4073" spans="1:10" x14ac:dyDescent="0.25">
      <c r="A4073" s="1" t="str">
        <f ca="1">IFERROR(__xludf.DUMMYFUNCTION("""COMPUTED_VALUE"""),"NYVSC")</f>
        <v>NYVSC</v>
      </c>
      <c r="B4073" s="1" t="str">
        <f ca="1">IFERROR(__xludf.DUMMYFUNCTION("""COMPUTED_VALUE"""),"Csengeri Tibor")</f>
        <v>Csengeri Tibor</v>
      </c>
      <c r="C4073" s="1"/>
      <c r="D4073" s="1" t="str">
        <f ca="1">IFERROR(__xludf.DUMMYFUNCTION("""COMPUTED_VALUE"""),"Férfi")</f>
        <v>Férfi</v>
      </c>
      <c r="E4073" s="1"/>
      <c r="F4073" s="1">
        <f ca="1">IFERROR(__xludf.DUMMYFUNCTION("""COMPUTED_VALUE"""),1979)</f>
        <v>1979</v>
      </c>
      <c r="G4073" s="1">
        <f ca="1">IFERROR(__xludf.DUMMYFUNCTION("""COMPUTED_VALUE"""),133)</f>
        <v>133</v>
      </c>
      <c r="H4073" s="1" t="str">
        <f ca="1">IFERROR(__xludf.DUMMYFUNCTION("""COMPUTED_VALUE"""),"MTLSZ000133A02")</f>
        <v>MTLSZ000133A02</v>
      </c>
      <c r="I4073" s="2">
        <f ca="1">IFERROR(__xludf.DUMMYFUNCTION("""COMPUTED_VALUE"""),37622)</f>
        <v>37622</v>
      </c>
      <c r="J4073" s="2">
        <f ca="1">IFERROR(__xludf.DUMMYFUNCTION("""COMPUTED_VALUE"""),37986)</f>
        <v>37986</v>
      </c>
    </row>
    <row r="4074" spans="1:10" x14ac:dyDescent="0.25">
      <c r="A4074" s="1" t="str">
        <f ca="1">IFERROR(__xludf.DUMMYFUNCTION("""COMPUTED_VALUE"""),"NYVSC")</f>
        <v>NYVSC</v>
      </c>
      <c r="B4074" s="1" t="str">
        <f ca="1">IFERROR(__xludf.DUMMYFUNCTION("""COMPUTED_VALUE"""),"Csire Máté")</f>
        <v>Csire Máté</v>
      </c>
      <c r="C4074" s="1"/>
      <c r="D4074" s="1" t="str">
        <f ca="1">IFERROR(__xludf.DUMMYFUNCTION("""COMPUTED_VALUE"""),"Férfi")</f>
        <v>Férfi</v>
      </c>
      <c r="E4074" s="1"/>
      <c r="F4074" s="1">
        <f ca="1">IFERROR(__xludf.DUMMYFUNCTION("""COMPUTED_VALUE"""),1988)</f>
        <v>1988</v>
      </c>
      <c r="G4074" s="1">
        <f ca="1">IFERROR(__xludf.DUMMYFUNCTION("""COMPUTED_VALUE"""),147)</f>
        <v>147</v>
      </c>
      <c r="H4074" s="1" t="str">
        <f ca="1">IFERROR(__xludf.DUMMYFUNCTION("""COMPUTED_VALUE"""),"MTLSZ000147A02")</f>
        <v>MTLSZ000147A02</v>
      </c>
      <c r="I4074" s="2">
        <f ca="1">IFERROR(__xludf.DUMMYFUNCTION("""COMPUTED_VALUE"""),37622)</f>
        <v>37622</v>
      </c>
      <c r="J4074" s="2">
        <f ca="1">IFERROR(__xludf.DUMMYFUNCTION("""COMPUTED_VALUE"""),37986)</f>
        <v>37986</v>
      </c>
    </row>
    <row r="4075" spans="1:10" x14ac:dyDescent="0.25">
      <c r="A4075" s="1" t="str">
        <f ca="1">IFERROR(__xludf.DUMMYFUNCTION("""COMPUTED_VALUE"""),"NYVSC")</f>
        <v>NYVSC</v>
      </c>
      <c r="B4075" s="1" t="str">
        <f ca="1">IFERROR(__xludf.DUMMYFUNCTION("""COMPUTED_VALUE"""),"Csorba Miklós")</f>
        <v>Csorba Miklós</v>
      </c>
      <c r="C4075" s="1"/>
      <c r="D4075" s="1" t="str">
        <f ca="1">IFERROR(__xludf.DUMMYFUNCTION("""COMPUTED_VALUE"""),"Férfi")</f>
        <v>Férfi</v>
      </c>
      <c r="E4075" s="1"/>
      <c r="F4075" s="1">
        <f ca="1">IFERROR(__xludf.DUMMYFUNCTION("""COMPUTED_VALUE"""),1985)</f>
        <v>1985</v>
      </c>
      <c r="G4075" s="1">
        <f ca="1">IFERROR(__xludf.DUMMYFUNCTION("""COMPUTED_VALUE"""),156)</f>
        <v>156</v>
      </c>
      <c r="H4075" s="1" t="str">
        <f ca="1">IFERROR(__xludf.DUMMYFUNCTION("""COMPUTED_VALUE"""),"MTLSZ000156A02")</f>
        <v>MTLSZ000156A02</v>
      </c>
      <c r="I4075" s="2">
        <f ca="1">IFERROR(__xludf.DUMMYFUNCTION("""COMPUTED_VALUE"""),37622)</f>
        <v>37622</v>
      </c>
      <c r="J4075" s="2">
        <f ca="1">IFERROR(__xludf.DUMMYFUNCTION("""COMPUTED_VALUE"""),37986)</f>
        <v>37986</v>
      </c>
    </row>
    <row r="4076" spans="1:10" x14ac:dyDescent="0.25">
      <c r="A4076" s="1" t="str">
        <f ca="1">IFERROR(__xludf.DUMMYFUNCTION("""COMPUTED_VALUE"""),"NYVSC")</f>
        <v>NYVSC</v>
      </c>
      <c r="B4076" s="1" t="str">
        <f ca="1">IFERROR(__xludf.DUMMYFUNCTION("""COMPUTED_VALUE"""),"Czompa Hajnalka")</f>
        <v>Czompa Hajnalka</v>
      </c>
      <c r="C4076" s="1"/>
      <c r="D4076" s="1" t="str">
        <f ca="1">IFERROR(__xludf.DUMMYFUNCTION("""COMPUTED_VALUE"""),"Nő")</f>
        <v>Nő</v>
      </c>
      <c r="E4076" s="1"/>
      <c r="F4076" s="1">
        <f ca="1">IFERROR(__xludf.DUMMYFUNCTION("""COMPUTED_VALUE"""),1986)</f>
        <v>1986</v>
      </c>
      <c r="G4076" s="1">
        <f ca="1">IFERROR(__xludf.DUMMYFUNCTION("""COMPUTED_VALUE"""),168)</f>
        <v>168</v>
      </c>
      <c r="H4076" s="1" t="str">
        <f ca="1">IFERROR(__xludf.DUMMYFUNCTION("""COMPUTED_VALUE"""),"MTLSZ000168A02")</f>
        <v>MTLSZ000168A02</v>
      </c>
      <c r="I4076" s="2">
        <f ca="1">IFERROR(__xludf.DUMMYFUNCTION("""COMPUTED_VALUE"""),37622)</f>
        <v>37622</v>
      </c>
      <c r="J4076" s="2">
        <f ca="1">IFERROR(__xludf.DUMMYFUNCTION("""COMPUTED_VALUE"""),37986)</f>
        <v>37986</v>
      </c>
    </row>
    <row r="4077" spans="1:10" x14ac:dyDescent="0.25">
      <c r="A4077" s="1" t="str">
        <f ca="1">IFERROR(__xludf.DUMMYFUNCTION("""COMPUTED_VALUE"""),"NYVSC")</f>
        <v>NYVSC</v>
      </c>
      <c r="B4077" s="1" t="str">
        <f ca="1">IFERROR(__xludf.DUMMYFUNCTION("""COMPUTED_VALUE"""),"Éles Edit")</f>
        <v>Éles Edit</v>
      </c>
      <c r="C4077" s="1"/>
      <c r="D4077" s="1" t="str">
        <f ca="1">IFERROR(__xludf.DUMMYFUNCTION("""COMPUTED_VALUE"""),"Nő")</f>
        <v>Nő</v>
      </c>
      <c r="E4077" s="1"/>
      <c r="F4077" s="1">
        <f ca="1">IFERROR(__xludf.DUMMYFUNCTION("""COMPUTED_VALUE"""),1982)</f>
        <v>1982</v>
      </c>
      <c r="G4077" s="1">
        <f ca="1">IFERROR(__xludf.DUMMYFUNCTION("""COMPUTED_VALUE"""),215)</f>
        <v>215</v>
      </c>
      <c r="H4077" s="1" t="str">
        <f ca="1">IFERROR(__xludf.DUMMYFUNCTION("""COMPUTED_VALUE"""),"MTLSZ000215A02")</f>
        <v>MTLSZ000215A02</v>
      </c>
      <c r="I4077" s="2">
        <f ca="1">IFERROR(__xludf.DUMMYFUNCTION("""COMPUTED_VALUE"""),37622)</f>
        <v>37622</v>
      </c>
      <c r="J4077" s="2">
        <f ca="1">IFERROR(__xludf.DUMMYFUNCTION("""COMPUTED_VALUE"""),37986)</f>
        <v>37986</v>
      </c>
    </row>
    <row r="4078" spans="1:10" x14ac:dyDescent="0.25">
      <c r="A4078" s="1" t="str">
        <f ca="1">IFERROR(__xludf.DUMMYFUNCTION("""COMPUTED_VALUE"""),"NYVSC")</f>
        <v>NYVSC</v>
      </c>
      <c r="B4078" s="1" t="str">
        <f ca="1">IFERROR(__xludf.DUMMYFUNCTION("""COMPUTED_VALUE"""),"Franczel Andrea")</f>
        <v>Franczel Andrea</v>
      </c>
      <c r="C4078" s="1"/>
      <c r="D4078" s="1" t="str">
        <f ca="1">IFERROR(__xludf.DUMMYFUNCTION("""COMPUTED_VALUE"""),"Nő")</f>
        <v>Nő</v>
      </c>
      <c r="E4078" s="1"/>
      <c r="F4078" s="1">
        <f ca="1">IFERROR(__xludf.DUMMYFUNCTION("""COMPUTED_VALUE"""),1977)</f>
        <v>1977</v>
      </c>
      <c r="G4078" s="1">
        <f ca="1">IFERROR(__xludf.DUMMYFUNCTION("""COMPUTED_VALUE"""),261)</f>
        <v>261</v>
      </c>
      <c r="H4078" s="1" t="str">
        <f ca="1">IFERROR(__xludf.DUMMYFUNCTION("""COMPUTED_VALUE"""),"MTLSZ000261A02")</f>
        <v>MTLSZ000261A02</v>
      </c>
      <c r="I4078" s="2">
        <f ca="1">IFERROR(__xludf.DUMMYFUNCTION("""COMPUTED_VALUE"""),37622)</f>
        <v>37622</v>
      </c>
      <c r="J4078" s="2">
        <f ca="1">IFERROR(__xludf.DUMMYFUNCTION("""COMPUTED_VALUE"""),37986)</f>
        <v>37986</v>
      </c>
    </row>
    <row r="4079" spans="1:10" x14ac:dyDescent="0.25">
      <c r="A4079" s="1" t="str">
        <f ca="1">IFERROR(__xludf.DUMMYFUNCTION("""COMPUTED_VALUE"""),"NYVSC")</f>
        <v>NYVSC</v>
      </c>
      <c r="B4079" s="1" t="str">
        <f ca="1">IFERROR(__xludf.DUMMYFUNCTION("""COMPUTED_VALUE"""),"Franczel Richárd")</f>
        <v>Franczel Richárd</v>
      </c>
      <c r="C4079" s="1"/>
      <c r="D4079" s="1" t="str">
        <f ca="1">IFERROR(__xludf.DUMMYFUNCTION("""COMPUTED_VALUE"""),"Férfi")</f>
        <v>Férfi</v>
      </c>
      <c r="E4079" s="1"/>
      <c r="F4079" s="1">
        <f ca="1">IFERROR(__xludf.DUMMYFUNCTION("""COMPUTED_VALUE"""),1983)</f>
        <v>1983</v>
      </c>
      <c r="G4079" s="1">
        <f ca="1">IFERROR(__xludf.DUMMYFUNCTION("""COMPUTED_VALUE"""),262)</f>
        <v>262</v>
      </c>
      <c r="H4079" s="1" t="str">
        <f ca="1">IFERROR(__xludf.DUMMYFUNCTION("""COMPUTED_VALUE"""),"MTLSZ000262A02")</f>
        <v>MTLSZ000262A02</v>
      </c>
      <c r="I4079" s="2">
        <f ca="1">IFERROR(__xludf.DUMMYFUNCTION("""COMPUTED_VALUE"""),37622)</f>
        <v>37622</v>
      </c>
      <c r="J4079" s="2">
        <f ca="1">IFERROR(__xludf.DUMMYFUNCTION("""COMPUTED_VALUE"""),37986)</f>
        <v>37986</v>
      </c>
    </row>
    <row r="4080" spans="1:10" x14ac:dyDescent="0.25">
      <c r="A4080" s="1" t="str">
        <f ca="1">IFERROR(__xludf.DUMMYFUNCTION("""COMPUTED_VALUE"""),"NYVSC")</f>
        <v>NYVSC</v>
      </c>
      <c r="B4080" s="1" t="str">
        <f ca="1">IFERROR(__xludf.DUMMYFUNCTION("""COMPUTED_VALUE"""),"Füzesséry Erik")</f>
        <v>Füzesséry Erik</v>
      </c>
      <c r="C4080" s="1"/>
      <c r="D4080" s="1" t="str">
        <f ca="1">IFERROR(__xludf.DUMMYFUNCTION("""COMPUTED_VALUE"""),"Férfi")</f>
        <v>Férfi</v>
      </c>
      <c r="E4080" s="1"/>
      <c r="F4080" s="1">
        <f ca="1">IFERROR(__xludf.DUMMYFUNCTION("""COMPUTED_VALUE"""),1979)</f>
        <v>1979</v>
      </c>
      <c r="G4080" s="1">
        <f ca="1">IFERROR(__xludf.DUMMYFUNCTION("""COMPUTED_VALUE"""),267)</f>
        <v>267</v>
      </c>
      <c r="H4080" s="1" t="str">
        <f ca="1">IFERROR(__xludf.DUMMYFUNCTION("""COMPUTED_VALUE"""),"MTLSZ000267A02")</f>
        <v>MTLSZ000267A02</v>
      </c>
      <c r="I4080" s="2">
        <f ca="1">IFERROR(__xludf.DUMMYFUNCTION("""COMPUTED_VALUE"""),37622)</f>
        <v>37622</v>
      </c>
      <c r="J4080" s="2">
        <f ca="1">IFERROR(__xludf.DUMMYFUNCTION("""COMPUTED_VALUE"""),37986)</f>
        <v>37986</v>
      </c>
    </row>
    <row r="4081" spans="1:10" x14ac:dyDescent="0.25">
      <c r="A4081" s="1" t="str">
        <f ca="1">IFERROR(__xludf.DUMMYFUNCTION("""COMPUTED_VALUE"""),"NYVSC")</f>
        <v>NYVSC</v>
      </c>
      <c r="B4081" s="1" t="str">
        <f ca="1">IFERROR(__xludf.DUMMYFUNCTION("""COMPUTED_VALUE"""),"Gabulya Rita")</f>
        <v>Gabulya Rita</v>
      </c>
      <c r="C4081" s="1"/>
      <c r="D4081" s="1" t="str">
        <f ca="1">IFERROR(__xludf.DUMMYFUNCTION("""COMPUTED_VALUE"""),"Nő")</f>
        <v>Nő</v>
      </c>
      <c r="E4081" s="1"/>
      <c r="F4081" s="1">
        <f ca="1">IFERROR(__xludf.DUMMYFUNCTION("""COMPUTED_VALUE"""),1987)</f>
        <v>1987</v>
      </c>
      <c r="G4081" s="1">
        <f ca="1">IFERROR(__xludf.DUMMYFUNCTION("""COMPUTED_VALUE"""),273)</f>
        <v>273</v>
      </c>
      <c r="H4081" s="1" t="str">
        <f ca="1">IFERROR(__xludf.DUMMYFUNCTION("""COMPUTED_VALUE"""),"MTLSZ000273A02")</f>
        <v>MTLSZ000273A02</v>
      </c>
      <c r="I4081" s="2">
        <f ca="1">IFERROR(__xludf.DUMMYFUNCTION("""COMPUTED_VALUE"""),37622)</f>
        <v>37622</v>
      </c>
      <c r="J4081" s="2">
        <f ca="1">IFERROR(__xludf.DUMMYFUNCTION("""COMPUTED_VALUE"""),37986)</f>
        <v>37986</v>
      </c>
    </row>
    <row r="4082" spans="1:10" x14ac:dyDescent="0.25">
      <c r="A4082" s="1" t="str">
        <f ca="1">IFERROR(__xludf.DUMMYFUNCTION("""COMPUTED_VALUE"""),"NYVSC")</f>
        <v>NYVSC</v>
      </c>
      <c r="B4082" s="1" t="str">
        <f ca="1">IFERROR(__xludf.DUMMYFUNCTION("""COMPUTED_VALUE"""),"Gazdag Viktor")</f>
        <v>Gazdag Viktor</v>
      </c>
      <c r="C4082" s="1"/>
      <c r="D4082" s="1" t="str">
        <f ca="1">IFERROR(__xludf.DUMMYFUNCTION("""COMPUTED_VALUE"""),"Férfi")</f>
        <v>Férfi</v>
      </c>
      <c r="E4082" s="1"/>
      <c r="F4082" s="1">
        <f ca="1">IFERROR(__xludf.DUMMYFUNCTION("""COMPUTED_VALUE"""),1986)</f>
        <v>1986</v>
      </c>
      <c r="G4082" s="1">
        <f ca="1">IFERROR(__xludf.DUMMYFUNCTION("""COMPUTED_VALUE"""),289)</f>
        <v>289</v>
      </c>
      <c r="H4082" s="1" t="str">
        <f ca="1">IFERROR(__xludf.DUMMYFUNCTION("""COMPUTED_VALUE"""),"MTLSZ000289A02")</f>
        <v>MTLSZ000289A02</v>
      </c>
      <c r="I4082" s="2">
        <f ca="1">IFERROR(__xludf.DUMMYFUNCTION("""COMPUTED_VALUE"""),37622)</f>
        <v>37622</v>
      </c>
      <c r="J4082" s="2">
        <f ca="1">IFERROR(__xludf.DUMMYFUNCTION("""COMPUTED_VALUE"""),37986)</f>
        <v>37986</v>
      </c>
    </row>
    <row r="4083" spans="1:10" x14ac:dyDescent="0.25">
      <c r="A4083" s="1" t="str">
        <f ca="1">IFERROR(__xludf.DUMMYFUNCTION("""COMPUTED_VALUE"""),"NYVSC")</f>
        <v>NYVSC</v>
      </c>
      <c r="B4083" s="1" t="str">
        <f ca="1">IFERROR(__xludf.DUMMYFUNCTION("""COMPUTED_VALUE"""),"Gyöngyösi Attila")</f>
        <v>Gyöngyösi Attila</v>
      </c>
      <c r="C4083" s="1"/>
      <c r="D4083" s="1" t="str">
        <f ca="1">IFERROR(__xludf.DUMMYFUNCTION("""COMPUTED_VALUE"""),"Férfi")</f>
        <v>Férfi</v>
      </c>
      <c r="E4083" s="1"/>
      <c r="F4083" s="1">
        <f ca="1">IFERROR(__xludf.DUMMYFUNCTION("""COMPUTED_VALUE"""),1969)</f>
        <v>1969</v>
      </c>
      <c r="G4083" s="1">
        <f ca="1">IFERROR(__xludf.DUMMYFUNCTION("""COMPUTED_VALUE"""),322)</f>
        <v>322</v>
      </c>
      <c r="H4083" s="1" t="str">
        <f ca="1">IFERROR(__xludf.DUMMYFUNCTION("""COMPUTED_VALUE"""),"MTLSZ000322A02")</f>
        <v>MTLSZ000322A02</v>
      </c>
      <c r="I4083" s="2">
        <f ca="1">IFERROR(__xludf.DUMMYFUNCTION("""COMPUTED_VALUE"""),37622)</f>
        <v>37622</v>
      </c>
      <c r="J4083" s="2">
        <f ca="1">IFERROR(__xludf.DUMMYFUNCTION("""COMPUTED_VALUE"""),37986)</f>
        <v>37986</v>
      </c>
    </row>
    <row r="4084" spans="1:10" x14ac:dyDescent="0.25">
      <c r="A4084" s="1" t="str">
        <f ca="1">IFERROR(__xludf.DUMMYFUNCTION("""COMPUTED_VALUE"""),"NYVSC")</f>
        <v>NYVSC</v>
      </c>
      <c r="B4084" s="1" t="str">
        <f ca="1">IFERROR(__xludf.DUMMYFUNCTION("""COMPUTED_VALUE"""),"Hanász Róbert")</f>
        <v>Hanász Róbert</v>
      </c>
      <c r="C4084" s="1"/>
      <c r="D4084" s="1" t="str">
        <f ca="1">IFERROR(__xludf.DUMMYFUNCTION("""COMPUTED_VALUE"""),"Férfi")</f>
        <v>Férfi</v>
      </c>
      <c r="E4084" s="1"/>
      <c r="F4084" s="1">
        <f ca="1">IFERROR(__xludf.DUMMYFUNCTION("""COMPUTED_VALUE"""),1986)</f>
        <v>1986</v>
      </c>
      <c r="G4084" s="1">
        <f ca="1">IFERROR(__xludf.DUMMYFUNCTION("""COMPUTED_VALUE"""),337)</f>
        <v>337</v>
      </c>
      <c r="H4084" s="1" t="str">
        <f ca="1">IFERROR(__xludf.DUMMYFUNCTION("""COMPUTED_VALUE"""),"MTLSZ000337A02")</f>
        <v>MTLSZ000337A02</v>
      </c>
      <c r="I4084" s="2">
        <f ca="1">IFERROR(__xludf.DUMMYFUNCTION("""COMPUTED_VALUE"""),37622)</f>
        <v>37622</v>
      </c>
      <c r="J4084" s="2">
        <f ca="1">IFERROR(__xludf.DUMMYFUNCTION("""COMPUTED_VALUE"""),37986)</f>
        <v>37986</v>
      </c>
    </row>
    <row r="4085" spans="1:10" x14ac:dyDescent="0.25">
      <c r="A4085" s="1" t="str">
        <f ca="1">IFERROR(__xludf.DUMMYFUNCTION("""COMPUTED_VALUE"""),"NYVSC")</f>
        <v>NYVSC</v>
      </c>
      <c r="B4085" s="1" t="str">
        <f ca="1">IFERROR(__xludf.DUMMYFUNCTION("""COMPUTED_VALUE"""),"Hubicska Adrienn")</f>
        <v>Hubicska Adrienn</v>
      </c>
      <c r="C4085" s="1"/>
      <c r="D4085" s="1" t="str">
        <f ca="1">IFERROR(__xludf.DUMMYFUNCTION("""COMPUTED_VALUE"""),"Nő")</f>
        <v>Nő</v>
      </c>
      <c r="E4085" s="1"/>
      <c r="F4085" s="1">
        <f ca="1">IFERROR(__xludf.DUMMYFUNCTION("""COMPUTED_VALUE"""),1988)</f>
        <v>1988</v>
      </c>
      <c r="G4085" s="1">
        <f ca="1">IFERROR(__xludf.DUMMYFUNCTION("""COMPUTED_VALUE"""),385)</f>
        <v>385</v>
      </c>
      <c r="H4085" s="1" t="str">
        <f ca="1">IFERROR(__xludf.DUMMYFUNCTION("""COMPUTED_VALUE"""),"MTLSZ000385A02")</f>
        <v>MTLSZ000385A02</v>
      </c>
      <c r="I4085" s="2">
        <f ca="1">IFERROR(__xludf.DUMMYFUNCTION("""COMPUTED_VALUE"""),37622)</f>
        <v>37622</v>
      </c>
      <c r="J4085" s="2">
        <f ca="1">IFERROR(__xludf.DUMMYFUNCTION("""COMPUTED_VALUE"""),37986)</f>
        <v>37986</v>
      </c>
    </row>
    <row r="4086" spans="1:10" x14ac:dyDescent="0.25">
      <c r="A4086" s="1" t="str">
        <f ca="1">IFERROR(__xludf.DUMMYFUNCTION("""COMPUTED_VALUE"""),"NYVSC")</f>
        <v>NYVSC</v>
      </c>
      <c r="B4086" s="1" t="str">
        <f ca="1">IFERROR(__xludf.DUMMYFUNCTION("""COMPUTED_VALUE"""),"Hudák Levente")</f>
        <v>Hudák Levente</v>
      </c>
      <c r="C4086" s="1"/>
      <c r="D4086" s="1" t="str">
        <f ca="1">IFERROR(__xludf.DUMMYFUNCTION("""COMPUTED_VALUE"""),"Férfi")</f>
        <v>Férfi</v>
      </c>
      <c r="E4086" s="1"/>
      <c r="F4086" s="1">
        <f ca="1">IFERROR(__xludf.DUMMYFUNCTION("""COMPUTED_VALUE"""),1986)</f>
        <v>1986</v>
      </c>
      <c r="G4086" s="1">
        <f ca="1">IFERROR(__xludf.DUMMYFUNCTION("""COMPUTED_VALUE"""),386)</f>
        <v>386</v>
      </c>
      <c r="H4086" s="1" t="str">
        <f ca="1">IFERROR(__xludf.DUMMYFUNCTION("""COMPUTED_VALUE"""),"MTLSZ000386A02")</f>
        <v>MTLSZ000386A02</v>
      </c>
      <c r="I4086" s="2">
        <f ca="1">IFERROR(__xludf.DUMMYFUNCTION("""COMPUTED_VALUE"""),37622)</f>
        <v>37622</v>
      </c>
      <c r="J4086" s="2">
        <f ca="1">IFERROR(__xludf.DUMMYFUNCTION("""COMPUTED_VALUE"""),37986)</f>
        <v>37986</v>
      </c>
    </row>
    <row r="4087" spans="1:10" x14ac:dyDescent="0.25">
      <c r="A4087" s="1" t="str">
        <f ca="1">IFERROR(__xludf.DUMMYFUNCTION("""COMPUTED_VALUE"""),"NYVSC")</f>
        <v>NYVSC</v>
      </c>
      <c r="B4087" s="1" t="str">
        <f ca="1">IFERROR(__xludf.DUMMYFUNCTION("""COMPUTED_VALUE"""),"Jakab Brigitta")</f>
        <v>Jakab Brigitta</v>
      </c>
      <c r="C4087" s="1"/>
      <c r="D4087" s="1" t="str">
        <f ca="1">IFERROR(__xludf.DUMMYFUNCTION("""COMPUTED_VALUE"""),"Nő")</f>
        <v>Nő</v>
      </c>
      <c r="E4087" s="1"/>
      <c r="F4087" s="1">
        <f ca="1">IFERROR(__xludf.DUMMYFUNCTION("""COMPUTED_VALUE"""),1980)</f>
        <v>1980</v>
      </c>
      <c r="G4087" s="1">
        <f ca="1">IFERROR(__xludf.DUMMYFUNCTION("""COMPUTED_VALUE"""),404)</f>
        <v>404</v>
      </c>
      <c r="H4087" s="1" t="str">
        <f ca="1">IFERROR(__xludf.DUMMYFUNCTION("""COMPUTED_VALUE"""),"MTLSZ000404A02")</f>
        <v>MTLSZ000404A02</v>
      </c>
      <c r="I4087" s="2">
        <f ca="1">IFERROR(__xludf.DUMMYFUNCTION("""COMPUTED_VALUE"""),37622)</f>
        <v>37622</v>
      </c>
      <c r="J4087" s="2">
        <f ca="1">IFERROR(__xludf.DUMMYFUNCTION("""COMPUTED_VALUE"""),37986)</f>
        <v>37986</v>
      </c>
    </row>
    <row r="4088" spans="1:10" x14ac:dyDescent="0.25">
      <c r="A4088" s="1" t="str">
        <f ca="1">IFERROR(__xludf.DUMMYFUNCTION("""COMPUTED_VALUE"""),"NYVSC")</f>
        <v>NYVSC</v>
      </c>
      <c r="B4088" s="1" t="str">
        <f ca="1">IFERROR(__xludf.DUMMYFUNCTION("""COMPUTED_VALUE"""),"Kiss Renáta")</f>
        <v>Kiss Renáta</v>
      </c>
      <c r="C4088" s="1"/>
      <c r="D4088" s="1" t="str">
        <f ca="1">IFERROR(__xludf.DUMMYFUNCTION("""COMPUTED_VALUE"""),"Nő")</f>
        <v>Nő</v>
      </c>
      <c r="E4088" s="1"/>
      <c r="F4088" s="1">
        <f ca="1">IFERROR(__xludf.DUMMYFUNCTION("""COMPUTED_VALUE"""),1988)</f>
        <v>1988</v>
      </c>
      <c r="G4088" s="1">
        <f ca="1">IFERROR(__xludf.DUMMYFUNCTION("""COMPUTED_VALUE"""),491)</f>
        <v>491</v>
      </c>
      <c r="H4088" s="1" t="str">
        <f ca="1">IFERROR(__xludf.DUMMYFUNCTION("""COMPUTED_VALUE"""),"MTLSZ000491A02")</f>
        <v>MTLSZ000491A02</v>
      </c>
      <c r="I4088" s="2">
        <f ca="1">IFERROR(__xludf.DUMMYFUNCTION("""COMPUTED_VALUE"""),37622)</f>
        <v>37622</v>
      </c>
      <c r="J4088" s="2">
        <f ca="1">IFERROR(__xludf.DUMMYFUNCTION("""COMPUTED_VALUE"""),37986)</f>
        <v>37986</v>
      </c>
    </row>
    <row r="4089" spans="1:10" x14ac:dyDescent="0.25">
      <c r="A4089" s="1" t="str">
        <f ca="1">IFERROR(__xludf.DUMMYFUNCTION("""COMPUTED_VALUE"""),"NYVSC")</f>
        <v>NYVSC</v>
      </c>
      <c r="B4089" s="1" t="str">
        <f ca="1">IFERROR(__xludf.DUMMYFUNCTION("""COMPUTED_VALUE"""),"Kiss Zsófia")</f>
        <v>Kiss Zsófia</v>
      </c>
      <c r="C4089" s="1"/>
      <c r="D4089" s="1" t="str">
        <f ca="1">IFERROR(__xludf.DUMMYFUNCTION("""COMPUTED_VALUE"""),"Nő")</f>
        <v>Nő</v>
      </c>
      <c r="E4089" s="1"/>
      <c r="F4089" s="1">
        <f ca="1">IFERROR(__xludf.DUMMYFUNCTION("""COMPUTED_VALUE"""),1986)</f>
        <v>1986</v>
      </c>
      <c r="G4089" s="1">
        <f ca="1">IFERROR(__xludf.DUMMYFUNCTION("""COMPUTED_VALUE"""),497)</f>
        <v>497</v>
      </c>
      <c r="H4089" s="1" t="str">
        <f ca="1">IFERROR(__xludf.DUMMYFUNCTION("""COMPUTED_VALUE"""),"MTLSZ000497A02")</f>
        <v>MTLSZ000497A02</v>
      </c>
      <c r="I4089" s="2">
        <f ca="1">IFERROR(__xludf.DUMMYFUNCTION("""COMPUTED_VALUE"""),37622)</f>
        <v>37622</v>
      </c>
      <c r="J4089" s="2">
        <f ca="1">IFERROR(__xludf.DUMMYFUNCTION("""COMPUTED_VALUE"""),37986)</f>
        <v>37986</v>
      </c>
    </row>
    <row r="4090" spans="1:10" x14ac:dyDescent="0.25">
      <c r="A4090" s="1" t="str">
        <f ca="1">IFERROR(__xludf.DUMMYFUNCTION("""COMPUTED_VALUE"""),"NYVSC")</f>
        <v>NYVSC</v>
      </c>
      <c r="B4090" s="1" t="str">
        <f ca="1">IFERROR(__xludf.DUMMYFUNCTION("""COMPUTED_VALUE"""),"Konczos Nóra")</f>
        <v>Konczos Nóra</v>
      </c>
      <c r="C4090" s="1"/>
      <c r="D4090" s="1" t="str">
        <f ca="1">IFERROR(__xludf.DUMMYFUNCTION("""COMPUTED_VALUE"""),"Nő")</f>
        <v>Nő</v>
      </c>
      <c r="E4090" s="1"/>
      <c r="F4090" s="1">
        <f ca="1">IFERROR(__xludf.DUMMYFUNCTION("""COMPUTED_VALUE"""),1982)</f>
        <v>1982</v>
      </c>
      <c r="G4090" s="1">
        <f ca="1">IFERROR(__xludf.DUMMYFUNCTION("""COMPUTED_VALUE"""),515)</f>
        <v>515</v>
      </c>
      <c r="H4090" s="1" t="str">
        <f ca="1">IFERROR(__xludf.DUMMYFUNCTION("""COMPUTED_VALUE"""),"MTLSZ000515A02")</f>
        <v>MTLSZ000515A02</v>
      </c>
      <c r="I4090" s="2">
        <f ca="1">IFERROR(__xludf.DUMMYFUNCTION("""COMPUTED_VALUE"""),37622)</f>
        <v>37622</v>
      </c>
      <c r="J4090" s="2">
        <f ca="1">IFERROR(__xludf.DUMMYFUNCTION("""COMPUTED_VALUE"""),37986)</f>
        <v>37986</v>
      </c>
    </row>
    <row r="4091" spans="1:10" x14ac:dyDescent="0.25">
      <c r="A4091" s="1" t="str">
        <f ca="1">IFERROR(__xludf.DUMMYFUNCTION("""COMPUTED_VALUE"""),"NYVSC")</f>
        <v>NYVSC</v>
      </c>
      <c r="B4091" s="1" t="str">
        <f ca="1">IFERROR(__xludf.DUMMYFUNCTION("""COMPUTED_VALUE"""),"Liskány Anita")</f>
        <v>Liskány Anita</v>
      </c>
      <c r="C4091" s="1"/>
      <c r="D4091" s="1" t="str">
        <f ca="1">IFERROR(__xludf.DUMMYFUNCTION("""COMPUTED_VALUE"""),"Nő")</f>
        <v>Nő</v>
      </c>
      <c r="E4091" s="1"/>
      <c r="F4091" s="1">
        <f ca="1">IFERROR(__xludf.DUMMYFUNCTION("""COMPUTED_VALUE"""),1987)</f>
        <v>1987</v>
      </c>
      <c r="G4091" s="1">
        <f ca="1">IFERROR(__xludf.DUMMYFUNCTION("""COMPUTED_VALUE"""),592)</f>
        <v>592</v>
      </c>
      <c r="H4091" s="1" t="str">
        <f ca="1">IFERROR(__xludf.DUMMYFUNCTION("""COMPUTED_VALUE"""),"MTLSZ000592A02")</f>
        <v>MTLSZ000592A02</v>
      </c>
      <c r="I4091" s="2">
        <f ca="1">IFERROR(__xludf.DUMMYFUNCTION("""COMPUTED_VALUE"""),37622)</f>
        <v>37622</v>
      </c>
      <c r="J4091" s="2">
        <f ca="1">IFERROR(__xludf.DUMMYFUNCTION("""COMPUTED_VALUE"""),37986)</f>
        <v>37986</v>
      </c>
    </row>
    <row r="4092" spans="1:10" x14ac:dyDescent="0.25">
      <c r="A4092" s="1" t="str">
        <f ca="1">IFERROR(__xludf.DUMMYFUNCTION("""COMPUTED_VALUE"""),"NYVSC")</f>
        <v>NYVSC</v>
      </c>
      <c r="B4092" s="1" t="str">
        <f ca="1">IFERROR(__xludf.DUMMYFUNCTION("""COMPUTED_VALUE"""),"Marinka Szabolcs")</f>
        <v>Marinka Szabolcs</v>
      </c>
      <c r="C4092" s="1"/>
      <c r="D4092" s="1" t="str">
        <f ca="1">IFERROR(__xludf.DUMMYFUNCTION("""COMPUTED_VALUE"""),"Férfi")</f>
        <v>Férfi</v>
      </c>
      <c r="E4092" s="1"/>
      <c r="F4092" s="1">
        <f ca="1">IFERROR(__xludf.DUMMYFUNCTION("""COMPUTED_VALUE"""),1989)</f>
        <v>1989</v>
      </c>
      <c r="G4092" s="1">
        <f ca="1">IFERROR(__xludf.DUMMYFUNCTION("""COMPUTED_VALUE"""),616)</f>
        <v>616</v>
      </c>
      <c r="H4092" s="1" t="str">
        <f ca="1">IFERROR(__xludf.DUMMYFUNCTION("""COMPUTED_VALUE"""),"MTLSZ000616A02")</f>
        <v>MTLSZ000616A02</v>
      </c>
      <c r="I4092" s="2">
        <f ca="1">IFERROR(__xludf.DUMMYFUNCTION("""COMPUTED_VALUE"""),37622)</f>
        <v>37622</v>
      </c>
      <c r="J4092" s="2">
        <f ca="1">IFERROR(__xludf.DUMMYFUNCTION("""COMPUTED_VALUE"""),37986)</f>
        <v>37986</v>
      </c>
    </row>
    <row r="4093" spans="1:10" x14ac:dyDescent="0.25">
      <c r="A4093" s="1" t="str">
        <f ca="1">IFERROR(__xludf.DUMMYFUNCTION("""COMPUTED_VALUE"""),"NYVSC")</f>
        <v>NYVSC</v>
      </c>
      <c r="B4093" s="1" t="str">
        <f ca="1">IFERROR(__xludf.DUMMYFUNCTION("""COMPUTED_VALUE"""),"Márkus Regina")</f>
        <v>Márkus Regina</v>
      </c>
      <c r="C4093" s="1"/>
      <c r="D4093" s="1" t="str">
        <f ca="1">IFERROR(__xludf.DUMMYFUNCTION("""COMPUTED_VALUE"""),"Nő")</f>
        <v>Nő</v>
      </c>
      <c r="E4093" s="1"/>
      <c r="F4093" s="1">
        <f ca="1">IFERROR(__xludf.DUMMYFUNCTION("""COMPUTED_VALUE"""),1988)</f>
        <v>1988</v>
      </c>
      <c r="G4093" s="1">
        <f ca="1">IFERROR(__xludf.DUMMYFUNCTION("""COMPUTED_VALUE"""),618)</f>
        <v>618</v>
      </c>
      <c r="H4093" s="1" t="str">
        <f ca="1">IFERROR(__xludf.DUMMYFUNCTION("""COMPUTED_VALUE"""),"MTLSZ000618A02")</f>
        <v>MTLSZ000618A02</v>
      </c>
      <c r="I4093" s="2">
        <f ca="1">IFERROR(__xludf.DUMMYFUNCTION("""COMPUTED_VALUE"""),37622)</f>
        <v>37622</v>
      </c>
      <c r="J4093" s="2">
        <f ca="1">IFERROR(__xludf.DUMMYFUNCTION("""COMPUTED_VALUE"""),37986)</f>
        <v>37986</v>
      </c>
    </row>
    <row r="4094" spans="1:10" x14ac:dyDescent="0.25">
      <c r="A4094" s="1" t="str">
        <f ca="1">IFERROR(__xludf.DUMMYFUNCTION("""COMPUTED_VALUE"""),"NYVSC")</f>
        <v>NYVSC</v>
      </c>
      <c r="B4094" s="1" t="str">
        <f ca="1">IFERROR(__xludf.DUMMYFUNCTION("""COMPUTED_VALUE"""),"Márkus Tibor")</f>
        <v>Márkus Tibor</v>
      </c>
      <c r="C4094" s="1"/>
      <c r="D4094" s="1" t="str">
        <f ca="1">IFERROR(__xludf.DUMMYFUNCTION("""COMPUTED_VALUE"""),"Férfi")</f>
        <v>Férfi</v>
      </c>
      <c r="E4094" s="1"/>
      <c r="F4094" s="1">
        <f ca="1">IFERROR(__xludf.DUMMYFUNCTION("""COMPUTED_VALUE"""),1985)</f>
        <v>1985</v>
      </c>
      <c r="G4094" s="1">
        <f ca="1">IFERROR(__xludf.DUMMYFUNCTION("""COMPUTED_VALUE"""),619)</f>
        <v>619</v>
      </c>
      <c r="H4094" s="1" t="str">
        <f ca="1">IFERROR(__xludf.DUMMYFUNCTION("""COMPUTED_VALUE"""),"MTLSZ000619A02")</f>
        <v>MTLSZ000619A02</v>
      </c>
      <c r="I4094" s="2">
        <f ca="1">IFERROR(__xludf.DUMMYFUNCTION("""COMPUTED_VALUE"""),37622)</f>
        <v>37622</v>
      </c>
      <c r="J4094" s="2">
        <f ca="1">IFERROR(__xludf.DUMMYFUNCTION("""COMPUTED_VALUE"""),37986)</f>
        <v>37986</v>
      </c>
    </row>
    <row r="4095" spans="1:10" x14ac:dyDescent="0.25">
      <c r="A4095" s="1" t="str">
        <f ca="1">IFERROR(__xludf.DUMMYFUNCTION("""COMPUTED_VALUE"""),"NYVSC")</f>
        <v>NYVSC</v>
      </c>
      <c r="B4095" s="1" t="str">
        <f ca="1">IFERROR(__xludf.DUMMYFUNCTION("""COMPUTED_VALUE"""),"Megyesi Zsolt")</f>
        <v>Megyesi Zsolt</v>
      </c>
      <c r="C4095" s="1"/>
      <c r="D4095" s="1" t="str">
        <f ca="1">IFERROR(__xludf.DUMMYFUNCTION("""COMPUTED_VALUE"""),"Férfi")</f>
        <v>Férfi</v>
      </c>
      <c r="E4095" s="1"/>
      <c r="F4095" s="1">
        <f ca="1">IFERROR(__xludf.DUMMYFUNCTION("""COMPUTED_VALUE"""),1975)</f>
        <v>1975</v>
      </c>
      <c r="G4095" s="1">
        <f ca="1">IFERROR(__xludf.DUMMYFUNCTION("""COMPUTED_VALUE"""),632)</f>
        <v>632</v>
      </c>
      <c r="H4095" s="1" t="str">
        <f ca="1">IFERROR(__xludf.DUMMYFUNCTION("""COMPUTED_VALUE"""),"MTLSZ000632A02")</f>
        <v>MTLSZ000632A02</v>
      </c>
      <c r="I4095" s="2">
        <f ca="1">IFERROR(__xludf.DUMMYFUNCTION("""COMPUTED_VALUE"""),37622)</f>
        <v>37622</v>
      </c>
      <c r="J4095" s="2">
        <f ca="1">IFERROR(__xludf.DUMMYFUNCTION("""COMPUTED_VALUE"""),37986)</f>
        <v>37986</v>
      </c>
    </row>
    <row r="4096" spans="1:10" x14ac:dyDescent="0.25">
      <c r="A4096" s="1" t="str">
        <f ca="1">IFERROR(__xludf.DUMMYFUNCTION("""COMPUTED_VALUE"""),"NYVSC")</f>
        <v>NYVSC</v>
      </c>
      <c r="B4096" s="1" t="str">
        <f ca="1">IFERROR(__xludf.DUMMYFUNCTION("""COMPUTED_VALUE"""),"Molnár Dávid")</f>
        <v>Molnár Dávid</v>
      </c>
      <c r="C4096" s="1"/>
      <c r="D4096" s="1" t="str">
        <f ca="1">IFERROR(__xludf.DUMMYFUNCTION("""COMPUTED_VALUE"""),"Férfi")</f>
        <v>Férfi</v>
      </c>
      <c r="E4096" s="1"/>
      <c r="F4096" s="1">
        <f ca="1">IFERROR(__xludf.DUMMYFUNCTION("""COMPUTED_VALUE"""),1986)</f>
        <v>1986</v>
      </c>
      <c r="G4096" s="1">
        <f ca="1">IFERROR(__xludf.DUMMYFUNCTION("""COMPUTED_VALUE"""),659)</f>
        <v>659</v>
      </c>
      <c r="H4096" s="1" t="str">
        <f ca="1">IFERROR(__xludf.DUMMYFUNCTION("""COMPUTED_VALUE"""),"MTLSZ000659A02")</f>
        <v>MTLSZ000659A02</v>
      </c>
      <c r="I4096" s="2">
        <f ca="1">IFERROR(__xludf.DUMMYFUNCTION("""COMPUTED_VALUE"""),37622)</f>
        <v>37622</v>
      </c>
      <c r="J4096" s="2">
        <f ca="1">IFERROR(__xludf.DUMMYFUNCTION("""COMPUTED_VALUE"""),37986)</f>
        <v>37986</v>
      </c>
    </row>
    <row r="4097" spans="1:10" x14ac:dyDescent="0.25">
      <c r="A4097" s="1" t="str">
        <f ca="1">IFERROR(__xludf.DUMMYFUNCTION("""COMPUTED_VALUE"""),"NYVSC")</f>
        <v>NYVSC</v>
      </c>
      <c r="B4097" s="1" t="str">
        <f ca="1">IFERROR(__xludf.DUMMYFUNCTION("""COMPUTED_VALUE"""),"Olajos Mariann")</f>
        <v>Olajos Mariann</v>
      </c>
      <c r="C4097" s="1"/>
      <c r="D4097" s="1" t="str">
        <f ca="1">IFERROR(__xludf.DUMMYFUNCTION("""COMPUTED_VALUE"""),"Nő")</f>
        <v>Nő</v>
      </c>
      <c r="E4097" s="1"/>
      <c r="F4097" s="1">
        <f ca="1">IFERROR(__xludf.DUMMYFUNCTION("""COMPUTED_VALUE"""),1986)</f>
        <v>1986</v>
      </c>
      <c r="G4097" s="1">
        <f ca="1">IFERROR(__xludf.DUMMYFUNCTION("""COMPUTED_VALUE"""),716)</f>
        <v>716</v>
      </c>
      <c r="H4097" s="1" t="str">
        <f ca="1">IFERROR(__xludf.DUMMYFUNCTION("""COMPUTED_VALUE"""),"MTLSZ000716A02")</f>
        <v>MTLSZ000716A02</v>
      </c>
      <c r="I4097" s="2">
        <f ca="1">IFERROR(__xludf.DUMMYFUNCTION("""COMPUTED_VALUE"""),37622)</f>
        <v>37622</v>
      </c>
      <c r="J4097" s="2">
        <f ca="1">IFERROR(__xludf.DUMMYFUNCTION("""COMPUTED_VALUE"""),37986)</f>
        <v>37986</v>
      </c>
    </row>
    <row r="4098" spans="1:10" x14ac:dyDescent="0.25">
      <c r="A4098" s="1" t="str">
        <f ca="1">IFERROR(__xludf.DUMMYFUNCTION("""COMPUTED_VALUE"""),"NYVSC")</f>
        <v>NYVSC</v>
      </c>
      <c r="B4098" s="1" t="str">
        <f ca="1">IFERROR(__xludf.DUMMYFUNCTION("""COMPUTED_VALUE"""),"Potornai Máté")</f>
        <v>Potornai Máté</v>
      </c>
      <c r="C4098" s="1"/>
      <c r="D4098" s="1" t="str">
        <f ca="1">IFERROR(__xludf.DUMMYFUNCTION("""COMPUTED_VALUE"""),"Férfi")</f>
        <v>Férfi</v>
      </c>
      <c r="E4098" s="1"/>
      <c r="F4098" s="1">
        <f ca="1">IFERROR(__xludf.DUMMYFUNCTION("""COMPUTED_VALUE"""),1988)</f>
        <v>1988</v>
      </c>
      <c r="G4098" s="1">
        <f ca="1">IFERROR(__xludf.DUMMYFUNCTION("""COMPUTED_VALUE"""),784)</f>
        <v>784</v>
      </c>
      <c r="H4098" s="1" t="str">
        <f ca="1">IFERROR(__xludf.DUMMYFUNCTION("""COMPUTED_VALUE"""),"MTLSZ000784A02")</f>
        <v>MTLSZ000784A02</v>
      </c>
      <c r="I4098" s="2">
        <f ca="1">IFERROR(__xludf.DUMMYFUNCTION("""COMPUTED_VALUE"""),37622)</f>
        <v>37622</v>
      </c>
      <c r="J4098" s="2">
        <f ca="1">IFERROR(__xludf.DUMMYFUNCTION("""COMPUTED_VALUE"""),37986)</f>
        <v>37986</v>
      </c>
    </row>
    <row r="4099" spans="1:10" x14ac:dyDescent="0.25">
      <c r="A4099" s="1" t="str">
        <f ca="1">IFERROR(__xludf.DUMMYFUNCTION("""COMPUTED_VALUE"""),"NYVSC")</f>
        <v>NYVSC</v>
      </c>
      <c r="B4099" s="1" t="str">
        <f ca="1">IFERROR(__xludf.DUMMYFUNCTION("""COMPUTED_VALUE"""),"Reményi Enikő")</f>
        <v>Reményi Enikő</v>
      </c>
      <c r="C4099" s="1"/>
      <c r="D4099" s="1" t="str">
        <f ca="1">IFERROR(__xludf.DUMMYFUNCTION("""COMPUTED_VALUE"""),"Nő")</f>
        <v>Nő</v>
      </c>
      <c r="E4099" s="1"/>
      <c r="F4099" s="1">
        <f ca="1">IFERROR(__xludf.DUMMYFUNCTION("""COMPUTED_VALUE"""),1990)</f>
        <v>1990</v>
      </c>
      <c r="G4099" s="1">
        <f ca="1">IFERROR(__xludf.DUMMYFUNCTION("""COMPUTED_VALUE"""),804)</f>
        <v>804</v>
      </c>
      <c r="H4099" s="1" t="str">
        <f ca="1">IFERROR(__xludf.DUMMYFUNCTION("""COMPUTED_VALUE"""),"MTLSZ000804A02")</f>
        <v>MTLSZ000804A02</v>
      </c>
      <c r="I4099" s="2">
        <f ca="1">IFERROR(__xludf.DUMMYFUNCTION("""COMPUTED_VALUE"""),37622)</f>
        <v>37622</v>
      </c>
      <c r="J4099" s="2">
        <f ca="1">IFERROR(__xludf.DUMMYFUNCTION("""COMPUTED_VALUE"""),37986)</f>
        <v>37986</v>
      </c>
    </row>
    <row r="4100" spans="1:10" x14ac:dyDescent="0.25">
      <c r="A4100" s="1" t="str">
        <f ca="1">IFERROR(__xludf.DUMMYFUNCTION("""COMPUTED_VALUE"""),"NYVSC")</f>
        <v>NYVSC</v>
      </c>
      <c r="B4100" s="1" t="str">
        <f ca="1">IFERROR(__xludf.DUMMYFUNCTION("""COMPUTED_VALUE"""),"Sebestyén Edina")</f>
        <v>Sebestyén Edina</v>
      </c>
      <c r="C4100" s="1"/>
      <c r="D4100" s="1" t="str">
        <f ca="1">IFERROR(__xludf.DUMMYFUNCTION("""COMPUTED_VALUE"""),"Nő")</f>
        <v>Nő</v>
      </c>
      <c r="E4100" s="1"/>
      <c r="F4100" s="1">
        <f ca="1">IFERROR(__xludf.DUMMYFUNCTION("""COMPUTED_VALUE"""),1987)</f>
        <v>1987</v>
      </c>
      <c r="G4100" s="1">
        <f ca="1">IFERROR(__xludf.DUMMYFUNCTION("""COMPUTED_VALUE"""),844)</f>
        <v>844</v>
      </c>
      <c r="H4100" s="1" t="str">
        <f ca="1">IFERROR(__xludf.DUMMYFUNCTION("""COMPUTED_VALUE"""),"MTLSZ000844A02")</f>
        <v>MTLSZ000844A02</v>
      </c>
      <c r="I4100" s="2">
        <f ca="1">IFERROR(__xludf.DUMMYFUNCTION("""COMPUTED_VALUE"""),37622)</f>
        <v>37622</v>
      </c>
      <c r="J4100" s="2">
        <f ca="1">IFERROR(__xludf.DUMMYFUNCTION("""COMPUTED_VALUE"""),37986)</f>
        <v>37986</v>
      </c>
    </row>
    <row r="4101" spans="1:10" x14ac:dyDescent="0.25">
      <c r="A4101" s="1" t="str">
        <f ca="1">IFERROR(__xludf.DUMMYFUNCTION("""COMPUTED_VALUE"""),"NYVSC")</f>
        <v>NYVSC</v>
      </c>
      <c r="B4101" s="1" t="str">
        <f ca="1">IFERROR(__xludf.DUMMYFUNCTION("""COMPUTED_VALUE"""),"Sivadó Gergő")</f>
        <v>Sivadó Gergő</v>
      </c>
      <c r="C4101" s="1"/>
      <c r="D4101" s="1" t="str">
        <f ca="1">IFERROR(__xludf.DUMMYFUNCTION("""COMPUTED_VALUE"""),"Férfi")</f>
        <v>Férfi</v>
      </c>
      <c r="E4101" s="1"/>
      <c r="F4101" s="1">
        <f ca="1">IFERROR(__xludf.DUMMYFUNCTION("""COMPUTED_VALUE"""),1991)</f>
        <v>1991</v>
      </c>
      <c r="G4101" s="1">
        <f ca="1">IFERROR(__xludf.DUMMYFUNCTION("""COMPUTED_VALUE"""),862)</f>
        <v>862</v>
      </c>
      <c r="H4101" s="1" t="str">
        <f ca="1">IFERROR(__xludf.DUMMYFUNCTION("""COMPUTED_VALUE"""),"MTLSZ000862A02")</f>
        <v>MTLSZ000862A02</v>
      </c>
      <c r="I4101" s="2">
        <f ca="1">IFERROR(__xludf.DUMMYFUNCTION("""COMPUTED_VALUE"""),37622)</f>
        <v>37622</v>
      </c>
      <c r="J4101" s="2">
        <f ca="1">IFERROR(__xludf.DUMMYFUNCTION("""COMPUTED_VALUE"""),37986)</f>
        <v>37986</v>
      </c>
    </row>
    <row r="4102" spans="1:10" x14ac:dyDescent="0.25">
      <c r="A4102" s="1" t="str">
        <f ca="1">IFERROR(__xludf.DUMMYFUNCTION("""COMPUTED_VALUE"""),"NYVSC")</f>
        <v>NYVSC</v>
      </c>
      <c r="B4102" s="1" t="str">
        <f ca="1">IFERROR(__xludf.DUMMYFUNCTION("""COMPUTED_VALUE"""),"Sivadó Miklós")</f>
        <v>Sivadó Miklós</v>
      </c>
      <c r="C4102" s="1"/>
      <c r="D4102" s="1" t="str">
        <f ca="1">IFERROR(__xludf.DUMMYFUNCTION("""COMPUTED_VALUE"""),"Férfi")</f>
        <v>Férfi</v>
      </c>
      <c r="E4102" s="1"/>
      <c r="F4102" s="1">
        <f ca="1">IFERROR(__xludf.DUMMYFUNCTION("""COMPUTED_VALUE"""),1990)</f>
        <v>1990</v>
      </c>
      <c r="G4102" s="1">
        <f ca="1">IFERROR(__xludf.DUMMYFUNCTION("""COMPUTED_VALUE"""),863)</f>
        <v>863</v>
      </c>
      <c r="H4102" s="1" t="str">
        <f ca="1">IFERROR(__xludf.DUMMYFUNCTION("""COMPUTED_VALUE"""),"MTLSZ000863A02")</f>
        <v>MTLSZ000863A02</v>
      </c>
      <c r="I4102" s="2">
        <f ca="1">IFERROR(__xludf.DUMMYFUNCTION("""COMPUTED_VALUE"""),37622)</f>
        <v>37622</v>
      </c>
      <c r="J4102" s="2">
        <f ca="1">IFERROR(__xludf.DUMMYFUNCTION("""COMPUTED_VALUE"""),37986)</f>
        <v>37986</v>
      </c>
    </row>
    <row r="4103" spans="1:10" x14ac:dyDescent="0.25">
      <c r="A4103" s="1" t="str">
        <f ca="1">IFERROR(__xludf.DUMMYFUNCTION("""COMPUTED_VALUE"""),"NYVSC")</f>
        <v>NYVSC</v>
      </c>
      <c r="B4103" s="1" t="str">
        <f ca="1">IFERROR(__xludf.DUMMYFUNCTION("""COMPUTED_VALUE"""),"Szabó Tamás")</f>
        <v>Szabó Tamás</v>
      </c>
      <c r="C4103" s="1"/>
      <c r="D4103" s="1" t="str">
        <f ca="1">IFERROR(__xludf.DUMMYFUNCTION("""COMPUTED_VALUE"""),"Férfi")</f>
        <v>Férfi</v>
      </c>
      <c r="E4103" s="1"/>
      <c r="F4103" s="1">
        <f ca="1">IFERROR(__xludf.DUMMYFUNCTION("""COMPUTED_VALUE"""),1987)</f>
        <v>1987</v>
      </c>
      <c r="G4103" s="1">
        <f ca="1">IFERROR(__xludf.DUMMYFUNCTION("""COMPUTED_VALUE"""),903)</f>
        <v>903</v>
      </c>
      <c r="H4103" s="1" t="str">
        <f ca="1">IFERROR(__xludf.DUMMYFUNCTION("""COMPUTED_VALUE"""),"MTLSZ000903A02")</f>
        <v>MTLSZ000903A02</v>
      </c>
      <c r="I4103" s="2">
        <f ca="1">IFERROR(__xludf.DUMMYFUNCTION("""COMPUTED_VALUE"""),37622)</f>
        <v>37622</v>
      </c>
      <c r="J4103" s="2">
        <f ca="1">IFERROR(__xludf.DUMMYFUNCTION("""COMPUTED_VALUE"""),37986)</f>
        <v>37986</v>
      </c>
    </row>
    <row r="4104" spans="1:10" x14ac:dyDescent="0.25">
      <c r="A4104" s="1" t="str">
        <f ca="1">IFERROR(__xludf.DUMMYFUNCTION("""COMPUTED_VALUE"""),"NYVSC")</f>
        <v>NYVSC</v>
      </c>
      <c r="B4104" s="1" t="str">
        <f ca="1">IFERROR(__xludf.DUMMYFUNCTION("""COMPUTED_VALUE"""),"Szakács Attila")</f>
        <v>Szakács Attila</v>
      </c>
      <c r="C4104" s="1"/>
      <c r="D4104" s="1" t="str">
        <f ca="1">IFERROR(__xludf.DUMMYFUNCTION("""COMPUTED_VALUE"""),"Férfi")</f>
        <v>Férfi</v>
      </c>
      <c r="E4104" s="1"/>
      <c r="F4104" s="1">
        <f ca="1">IFERROR(__xludf.DUMMYFUNCTION("""COMPUTED_VALUE"""),1987)</f>
        <v>1987</v>
      </c>
      <c r="G4104" s="1">
        <f ca="1">IFERROR(__xludf.DUMMYFUNCTION("""COMPUTED_VALUE"""),909)</f>
        <v>909</v>
      </c>
      <c r="H4104" s="1" t="str">
        <f ca="1">IFERROR(__xludf.DUMMYFUNCTION("""COMPUTED_VALUE"""),"MTLSZ000909A02")</f>
        <v>MTLSZ000909A02</v>
      </c>
      <c r="I4104" s="2">
        <f ca="1">IFERROR(__xludf.DUMMYFUNCTION("""COMPUTED_VALUE"""),37622)</f>
        <v>37622</v>
      </c>
      <c r="J4104" s="2">
        <f ca="1">IFERROR(__xludf.DUMMYFUNCTION("""COMPUTED_VALUE"""),37986)</f>
        <v>37986</v>
      </c>
    </row>
    <row r="4105" spans="1:10" x14ac:dyDescent="0.25">
      <c r="A4105" s="1" t="str">
        <f ca="1">IFERROR(__xludf.DUMMYFUNCTION("""COMPUTED_VALUE"""),"NYVSC")</f>
        <v>NYVSC</v>
      </c>
      <c r="B4105" s="1" t="str">
        <f ca="1">IFERROR(__xludf.DUMMYFUNCTION("""COMPUTED_VALUE"""),"Székelyföldi Zoltán")</f>
        <v>Székelyföldi Zoltán</v>
      </c>
      <c r="C4105" s="1"/>
      <c r="D4105" s="1" t="str">
        <f ca="1">IFERROR(__xludf.DUMMYFUNCTION("""COMPUTED_VALUE"""),"Férfi")</f>
        <v>Férfi</v>
      </c>
      <c r="E4105" s="1"/>
      <c r="F4105" s="1">
        <f ca="1">IFERROR(__xludf.DUMMYFUNCTION("""COMPUTED_VALUE"""),1981)</f>
        <v>1981</v>
      </c>
      <c r="G4105" s="1">
        <f ca="1">IFERROR(__xludf.DUMMYFUNCTION("""COMPUTED_VALUE"""),928)</f>
        <v>928</v>
      </c>
      <c r="H4105" s="1" t="str">
        <f ca="1">IFERROR(__xludf.DUMMYFUNCTION("""COMPUTED_VALUE"""),"MTLSZ000928A02")</f>
        <v>MTLSZ000928A02</v>
      </c>
      <c r="I4105" s="2">
        <f ca="1">IFERROR(__xludf.DUMMYFUNCTION("""COMPUTED_VALUE"""),37622)</f>
        <v>37622</v>
      </c>
      <c r="J4105" s="2">
        <f ca="1">IFERROR(__xludf.DUMMYFUNCTION("""COMPUTED_VALUE"""),37986)</f>
        <v>37986</v>
      </c>
    </row>
    <row r="4106" spans="1:10" x14ac:dyDescent="0.25">
      <c r="A4106" s="1" t="str">
        <f ca="1">IFERROR(__xludf.DUMMYFUNCTION("""COMPUTED_VALUE"""),"NYVSC")</f>
        <v>NYVSC</v>
      </c>
      <c r="B4106" s="1" t="str">
        <f ca="1">IFERROR(__xludf.DUMMYFUNCTION("""COMPUTED_VALUE"""),"Tolcsvai Ádám")</f>
        <v>Tolcsvai Ádám</v>
      </c>
      <c r="C4106" s="1"/>
      <c r="D4106" s="1" t="str">
        <f ca="1">IFERROR(__xludf.DUMMYFUNCTION("""COMPUTED_VALUE"""),"Férfi")</f>
        <v>Férfi</v>
      </c>
      <c r="E4106" s="1"/>
      <c r="F4106" s="1">
        <f ca="1">IFERROR(__xludf.DUMMYFUNCTION("""COMPUTED_VALUE"""),1984)</f>
        <v>1984</v>
      </c>
      <c r="G4106" s="1">
        <f ca="1">IFERROR(__xludf.DUMMYFUNCTION("""COMPUTED_VALUE"""),1012)</f>
        <v>1012</v>
      </c>
      <c r="H4106" s="1" t="str">
        <f ca="1">IFERROR(__xludf.DUMMYFUNCTION("""COMPUTED_VALUE"""),"MTLSZ001012A02")</f>
        <v>MTLSZ001012A02</v>
      </c>
      <c r="I4106" s="2">
        <f ca="1">IFERROR(__xludf.DUMMYFUNCTION("""COMPUTED_VALUE"""),37622)</f>
        <v>37622</v>
      </c>
      <c r="J4106" s="2">
        <f ca="1">IFERROR(__xludf.DUMMYFUNCTION("""COMPUTED_VALUE"""),37986)</f>
        <v>37986</v>
      </c>
    </row>
    <row r="4107" spans="1:10" x14ac:dyDescent="0.25">
      <c r="A4107" s="1" t="str">
        <f ca="1">IFERROR(__xludf.DUMMYFUNCTION("""COMPUTED_VALUE"""),"NYVSC")</f>
        <v>NYVSC</v>
      </c>
      <c r="B4107" s="1" t="str">
        <f ca="1">IFERROR(__xludf.DUMMYFUNCTION("""COMPUTED_VALUE"""),"Tótfalusi Fruzsina")</f>
        <v>Tótfalusi Fruzsina</v>
      </c>
      <c r="C4107" s="1"/>
      <c r="D4107" s="1" t="str">
        <f ca="1">IFERROR(__xludf.DUMMYFUNCTION("""COMPUTED_VALUE"""),"Nő")</f>
        <v>Nő</v>
      </c>
      <c r="E4107" s="1"/>
      <c r="F4107" s="1">
        <f ca="1">IFERROR(__xludf.DUMMYFUNCTION("""COMPUTED_VALUE"""),1988)</f>
        <v>1988</v>
      </c>
      <c r="G4107" s="1">
        <f ca="1">IFERROR(__xludf.DUMMYFUNCTION("""COMPUTED_VALUE"""),1021)</f>
        <v>1021</v>
      </c>
      <c r="H4107" s="1" t="str">
        <f ca="1">IFERROR(__xludf.DUMMYFUNCTION("""COMPUTED_VALUE"""),"MTLSZ001021A02")</f>
        <v>MTLSZ001021A02</v>
      </c>
      <c r="I4107" s="2">
        <f ca="1">IFERROR(__xludf.DUMMYFUNCTION("""COMPUTED_VALUE"""),37622)</f>
        <v>37622</v>
      </c>
      <c r="J4107" s="2">
        <f ca="1">IFERROR(__xludf.DUMMYFUNCTION("""COMPUTED_VALUE"""),37986)</f>
        <v>37986</v>
      </c>
    </row>
    <row r="4108" spans="1:10" x14ac:dyDescent="0.25">
      <c r="A4108" s="1" t="str">
        <f ca="1">IFERROR(__xludf.DUMMYFUNCTION("""COMPUTED_VALUE"""),"NYVSC")</f>
        <v>NYVSC</v>
      </c>
      <c r="B4108" s="1" t="str">
        <f ca="1">IFERROR(__xludf.DUMMYFUNCTION("""COMPUTED_VALUE"""),"Tóth Eszter")</f>
        <v>Tóth Eszter</v>
      </c>
      <c r="C4108" s="1"/>
      <c r="D4108" s="1" t="str">
        <f ca="1">IFERROR(__xludf.DUMMYFUNCTION("""COMPUTED_VALUE"""),"Nő")</f>
        <v>Nő</v>
      </c>
      <c r="E4108" s="1"/>
      <c r="F4108" s="1">
        <f ca="1">IFERROR(__xludf.DUMMYFUNCTION("""COMPUTED_VALUE"""),1985)</f>
        <v>1985</v>
      </c>
      <c r="G4108" s="1">
        <f ca="1">IFERROR(__xludf.DUMMYFUNCTION("""COMPUTED_VALUE"""),1029)</f>
        <v>1029</v>
      </c>
      <c r="H4108" s="1" t="str">
        <f ca="1">IFERROR(__xludf.DUMMYFUNCTION("""COMPUTED_VALUE"""),"MTLSZ001029A02")</f>
        <v>MTLSZ001029A02</v>
      </c>
      <c r="I4108" s="2">
        <f ca="1">IFERROR(__xludf.DUMMYFUNCTION("""COMPUTED_VALUE"""),37622)</f>
        <v>37622</v>
      </c>
      <c r="J4108" s="2">
        <f ca="1">IFERROR(__xludf.DUMMYFUNCTION("""COMPUTED_VALUE"""),37986)</f>
        <v>37986</v>
      </c>
    </row>
    <row r="4109" spans="1:10" x14ac:dyDescent="0.25">
      <c r="A4109" s="1" t="str">
        <f ca="1">IFERROR(__xludf.DUMMYFUNCTION("""COMPUTED_VALUE"""),"NYVSC")</f>
        <v>NYVSC</v>
      </c>
      <c r="B4109" s="1" t="str">
        <f ca="1">IFERROR(__xludf.DUMMYFUNCTION("""COMPUTED_VALUE"""),"Tölgyesi Péter")</f>
        <v>Tölgyesi Péter</v>
      </c>
      <c r="C4109" s="1"/>
      <c r="D4109" s="1" t="str">
        <f ca="1">IFERROR(__xludf.DUMMYFUNCTION("""COMPUTED_VALUE"""),"Férfi")</f>
        <v>Férfi</v>
      </c>
      <c r="E4109" s="1"/>
      <c r="F4109" s="1">
        <f ca="1">IFERROR(__xludf.DUMMYFUNCTION("""COMPUTED_VALUE"""),1990)</f>
        <v>1990</v>
      </c>
      <c r="G4109" s="1">
        <f ca="1">IFERROR(__xludf.DUMMYFUNCTION("""COMPUTED_VALUE"""),1066)</f>
        <v>1066</v>
      </c>
      <c r="H4109" s="1" t="str">
        <f ca="1">IFERROR(__xludf.DUMMYFUNCTION("""COMPUTED_VALUE"""),"MTLSZ001066A02")</f>
        <v>MTLSZ001066A02</v>
      </c>
      <c r="I4109" s="2">
        <f ca="1">IFERROR(__xludf.DUMMYFUNCTION("""COMPUTED_VALUE"""),37622)</f>
        <v>37622</v>
      </c>
      <c r="J4109" s="2">
        <f ca="1">IFERROR(__xludf.DUMMYFUNCTION("""COMPUTED_VALUE"""),37986)</f>
        <v>37986</v>
      </c>
    </row>
    <row r="4110" spans="1:10" x14ac:dyDescent="0.25">
      <c r="A4110" s="1" t="str">
        <f ca="1">IFERROR(__xludf.DUMMYFUNCTION("""COMPUTED_VALUE"""),"NYVSC")</f>
        <v>NYVSC</v>
      </c>
      <c r="B4110" s="1" t="str">
        <f ca="1">IFERROR(__xludf.DUMMYFUNCTION("""COMPUTED_VALUE"""),"Turi Beatrix")</f>
        <v>Turi Beatrix</v>
      </c>
      <c r="C4110" s="1"/>
      <c r="D4110" s="1" t="str">
        <f ca="1">IFERROR(__xludf.DUMMYFUNCTION("""COMPUTED_VALUE"""),"Nő")</f>
        <v>Nő</v>
      </c>
      <c r="E4110" s="1"/>
      <c r="F4110" s="1">
        <f ca="1">IFERROR(__xludf.DUMMYFUNCTION("""COMPUTED_VALUE"""),1988)</f>
        <v>1988</v>
      </c>
      <c r="G4110" s="1">
        <f ca="1">IFERROR(__xludf.DUMMYFUNCTION("""COMPUTED_VALUE"""),1061)</f>
        <v>1061</v>
      </c>
      <c r="H4110" s="1" t="str">
        <f ca="1">IFERROR(__xludf.DUMMYFUNCTION("""COMPUTED_VALUE"""),"MTLSZ001061A02")</f>
        <v>MTLSZ001061A02</v>
      </c>
      <c r="I4110" s="2">
        <f ca="1">IFERROR(__xludf.DUMMYFUNCTION("""COMPUTED_VALUE"""),37622)</f>
        <v>37622</v>
      </c>
      <c r="J4110" s="2">
        <f ca="1">IFERROR(__xludf.DUMMYFUNCTION("""COMPUTED_VALUE"""),37986)</f>
        <v>37986</v>
      </c>
    </row>
    <row r="4111" spans="1:10" x14ac:dyDescent="0.25">
      <c r="A4111" s="1" t="str">
        <f ca="1">IFERROR(__xludf.DUMMYFUNCTION("""COMPUTED_VALUE"""),"NYVSC")</f>
        <v>NYVSC</v>
      </c>
      <c r="B4111" s="1" t="str">
        <f ca="1">IFERROR(__xludf.DUMMYFUNCTION("""COMPUTED_VALUE"""),"Varga Árpád")</f>
        <v>Varga Árpád</v>
      </c>
      <c r="C4111" s="1"/>
      <c r="D4111" s="1" t="str">
        <f ca="1">IFERROR(__xludf.DUMMYFUNCTION("""COMPUTED_VALUE"""),"Férfi")</f>
        <v>Férfi</v>
      </c>
      <c r="E4111" s="1"/>
      <c r="F4111" s="1">
        <f ca="1">IFERROR(__xludf.DUMMYFUNCTION("""COMPUTED_VALUE"""),1988)</f>
        <v>1988</v>
      </c>
      <c r="G4111" s="1">
        <f ca="1">IFERROR(__xludf.DUMMYFUNCTION("""COMPUTED_VALUE"""),1086)</f>
        <v>1086</v>
      </c>
      <c r="H4111" s="1" t="str">
        <f ca="1">IFERROR(__xludf.DUMMYFUNCTION("""COMPUTED_VALUE"""),"MTLSZ001086A02")</f>
        <v>MTLSZ001086A02</v>
      </c>
      <c r="I4111" s="2">
        <f ca="1">IFERROR(__xludf.DUMMYFUNCTION("""COMPUTED_VALUE"""),37622)</f>
        <v>37622</v>
      </c>
      <c r="J4111" s="2">
        <f ca="1">IFERROR(__xludf.DUMMYFUNCTION("""COMPUTED_VALUE"""),37986)</f>
        <v>37986</v>
      </c>
    </row>
    <row r="4112" spans="1:10" x14ac:dyDescent="0.25">
      <c r="A4112" s="1" t="str">
        <f ca="1">IFERROR(__xludf.DUMMYFUNCTION("""COMPUTED_VALUE"""),"NYVSC")</f>
        <v>NYVSC</v>
      </c>
      <c r="B4112" s="1" t="str">
        <f ca="1">IFERROR(__xludf.DUMMYFUNCTION("""COMPUTED_VALUE"""),"Vári Andrea")</f>
        <v>Vári Andrea</v>
      </c>
      <c r="C4112" s="1"/>
      <c r="D4112" s="1" t="str">
        <f ca="1">IFERROR(__xludf.DUMMYFUNCTION("""COMPUTED_VALUE"""),"Nő")</f>
        <v>Nő</v>
      </c>
      <c r="E4112" s="1"/>
      <c r="F4112" s="1">
        <f ca="1">IFERROR(__xludf.DUMMYFUNCTION("""COMPUTED_VALUE"""),1990)</f>
        <v>1990</v>
      </c>
      <c r="G4112" s="1">
        <f ca="1">IFERROR(__xludf.DUMMYFUNCTION("""COMPUTED_VALUE"""),1101)</f>
        <v>1101</v>
      </c>
      <c r="H4112" s="1" t="str">
        <f ca="1">IFERROR(__xludf.DUMMYFUNCTION("""COMPUTED_VALUE"""),"MTLSZ001101A02")</f>
        <v>MTLSZ001101A02</v>
      </c>
      <c r="I4112" s="2">
        <f ca="1">IFERROR(__xludf.DUMMYFUNCTION("""COMPUTED_VALUE"""),37622)</f>
        <v>37622</v>
      </c>
      <c r="J4112" s="2">
        <f ca="1">IFERROR(__xludf.DUMMYFUNCTION("""COMPUTED_VALUE"""),37986)</f>
        <v>37986</v>
      </c>
    </row>
    <row r="4113" spans="1:10" x14ac:dyDescent="0.25">
      <c r="A4113" s="1" t="str">
        <f ca="1">IFERROR(__xludf.DUMMYFUNCTION("""COMPUTED_VALUE"""),"NYVSC")</f>
        <v>NYVSC</v>
      </c>
      <c r="B4113" s="1" t="str">
        <f ca="1">IFERROR(__xludf.DUMMYFUNCTION("""COMPUTED_VALUE"""),"Veréb Sarolta")</f>
        <v>Veréb Sarolta</v>
      </c>
      <c r="C4113" s="1"/>
      <c r="D4113" s="1" t="str">
        <f ca="1">IFERROR(__xludf.DUMMYFUNCTION("""COMPUTED_VALUE"""),"Nő")</f>
        <v>Nő</v>
      </c>
      <c r="E4113" s="1"/>
      <c r="F4113" s="1">
        <f ca="1">IFERROR(__xludf.DUMMYFUNCTION("""COMPUTED_VALUE"""),1990)</f>
        <v>1990</v>
      </c>
      <c r="G4113" s="1">
        <f ca="1">IFERROR(__xludf.DUMMYFUNCTION("""COMPUTED_VALUE"""),1112)</f>
        <v>1112</v>
      </c>
      <c r="H4113" s="1" t="str">
        <f ca="1">IFERROR(__xludf.DUMMYFUNCTION("""COMPUTED_VALUE"""),"MTLSZ001112A02")</f>
        <v>MTLSZ001112A02</v>
      </c>
      <c r="I4113" s="2">
        <f ca="1">IFERROR(__xludf.DUMMYFUNCTION("""COMPUTED_VALUE"""),37622)</f>
        <v>37622</v>
      </c>
      <c r="J4113" s="2">
        <f ca="1">IFERROR(__xludf.DUMMYFUNCTION("""COMPUTED_VALUE"""),37986)</f>
        <v>37986</v>
      </c>
    </row>
    <row r="4114" spans="1:10" x14ac:dyDescent="0.25">
      <c r="A4114" s="1" t="str">
        <f ca="1">IFERROR(__xludf.DUMMYFUNCTION("""COMPUTED_VALUE"""),"NYVSC")</f>
        <v>NYVSC</v>
      </c>
      <c r="B4114" s="1" t="str">
        <f ca="1">IFERROR(__xludf.DUMMYFUNCTION("""COMPUTED_VALUE"""),"Veres Anikó")</f>
        <v>Veres Anikó</v>
      </c>
      <c r="C4114" s="1"/>
      <c r="D4114" s="1" t="str">
        <f ca="1">IFERROR(__xludf.DUMMYFUNCTION("""COMPUTED_VALUE"""),"Nő")</f>
        <v>Nő</v>
      </c>
      <c r="E4114" s="1"/>
      <c r="F4114" s="1">
        <f ca="1">IFERROR(__xludf.DUMMYFUNCTION("""COMPUTED_VALUE"""),1987)</f>
        <v>1987</v>
      </c>
      <c r="G4114" s="1">
        <f ca="1">IFERROR(__xludf.DUMMYFUNCTION("""COMPUTED_VALUE"""),1113)</f>
        <v>1113</v>
      </c>
      <c r="H4114" s="1" t="str">
        <f ca="1">IFERROR(__xludf.DUMMYFUNCTION("""COMPUTED_VALUE"""),"MTLSZ001113A02")</f>
        <v>MTLSZ001113A02</v>
      </c>
      <c r="I4114" s="2">
        <f ca="1">IFERROR(__xludf.DUMMYFUNCTION("""COMPUTED_VALUE"""),37622)</f>
        <v>37622</v>
      </c>
      <c r="J4114" s="2">
        <f ca="1">IFERROR(__xludf.DUMMYFUNCTION("""COMPUTED_VALUE"""),37986)</f>
        <v>37986</v>
      </c>
    </row>
    <row r="4115" spans="1:10" x14ac:dyDescent="0.25">
      <c r="A4115" s="1" t="str">
        <f ca="1">IFERROR(__xludf.DUMMYFUNCTION("""COMPUTED_VALUE"""),"NYVSC")</f>
        <v>NYVSC</v>
      </c>
      <c r="B4115" s="1" t="str">
        <f ca="1">IFERROR(__xludf.DUMMYFUNCTION("""COMPUTED_VALUE"""),"Vinnai Rita")</f>
        <v>Vinnai Rita</v>
      </c>
      <c r="C4115" s="1"/>
      <c r="D4115" s="1" t="str">
        <f ca="1">IFERROR(__xludf.DUMMYFUNCTION("""COMPUTED_VALUE"""),"Nő")</f>
        <v>Nő</v>
      </c>
      <c r="E4115" s="1"/>
      <c r="F4115" s="1">
        <f ca="1">IFERROR(__xludf.DUMMYFUNCTION("""COMPUTED_VALUE"""),1987)</f>
        <v>1987</v>
      </c>
      <c r="G4115" s="1">
        <f ca="1">IFERROR(__xludf.DUMMYFUNCTION("""COMPUTED_VALUE"""),1123)</f>
        <v>1123</v>
      </c>
      <c r="H4115" s="1" t="str">
        <f ca="1">IFERROR(__xludf.DUMMYFUNCTION("""COMPUTED_VALUE"""),"MTLSZ001123A02")</f>
        <v>MTLSZ001123A02</v>
      </c>
      <c r="I4115" s="2">
        <f ca="1">IFERROR(__xludf.DUMMYFUNCTION("""COMPUTED_VALUE"""),37622)</f>
        <v>37622</v>
      </c>
      <c r="J4115" s="2">
        <f ca="1">IFERROR(__xludf.DUMMYFUNCTION("""COMPUTED_VALUE"""),37986)</f>
        <v>37986</v>
      </c>
    </row>
    <row r="4116" spans="1:10" x14ac:dyDescent="0.25">
      <c r="A4116" s="1" t="str">
        <f ca="1">IFERROR(__xludf.DUMMYFUNCTION("""COMPUTED_VALUE"""),"NYVSC")</f>
        <v>NYVSC</v>
      </c>
      <c r="B4116" s="1" t="str">
        <f ca="1">IFERROR(__xludf.DUMMYFUNCTION("""COMPUTED_VALUE"""),"Zajácz Beáta")</f>
        <v>Zajácz Beáta</v>
      </c>
      <c r="C4116" s="1"/>
      <c r="D4116" s="1" t="str">
        <f ca="1">IFERROR(__xludf.DUMMYFUNCTION("""COMPUTED_VALUE"""),"Nő")</f>
        <v>Nő</v>
      </c>
      <c r="E4116" s="1"/>
      <c r="F4116" s="1">
        <f ca="1">IFERROR(__xludf.DUMMYFUNCTION("""COMPUTED_VALUE"""),1989)</f>
        <v>1989</v>
      </c>
      <c r="G4116" s="1">
        <f ca="1">IFERROR(__xludf.DUMMYFUNCTION("""COMPUTED_VALUE"""),1137)</f>
        <v>1137</v>
      </c>
      <c r="H4116" s="1" t="str">
        <f ca="1">IFERROR(__xludf.DUMMYFUNCTION("""COMPUTED_VALUE"""),"MTLSZ001137A02")</f>
        <v>MTLSZ001137A02</v>
      </c>
      <c r="I4116" s="2">
        <f ca="1">IFERROR(__xludf.DUMMYFUNCTION("""COMPUTED_VALUE"""),37622)</f>
        <v>37622</v>
      </c>
      <c r="J4116" s="2">
        <f ca="1">IFERROR(__xludf.DUMMYFUNCTION("""COMPUTED_VALUE"""),37986)</f>
        <v>37986</v>
      </c>
    </row>
    <row r="4117" spans="1:10" x14ac:dyDescent="0.25">
      <c r="A4117" s="1" t="str">
        <f ca="1">IFERROR(__xludf.DUMMYFUNCTION("""COMPUTED_VALUE"""),"OSC")</f>
        <v>OSC</v>
      </c>
      <c r="B4117" s="1" t="str">
        <f ca="1">IFERROR(__xludf.DUMMYFUNCTION("""COMPUTED_VALUE"""),"Árvai Dániel")</f>
        <v>Árvai Dániel</v>
      </c>
      <c r="C4117" s="1"/>
      <c r="D4117" s="1" t="str">
        <f ca="1">IFERROR(__xludf.DUMMYFUNCTION("""COMPUTED_VALUE"""),"Férfi")</f>
        <v>Férfi</v>
      </c>
      <c r="E4117" s="1"/>
      <c r="F4117" s="1">
        <f ca="1">IFERROR(__xludf.DUMMYFUNCTION("""COMPUTED_VALUE"""),1980)</f>
        <v>1980</v>
      </c>
      <c r="G4117" s="1">
        <f ca="1">IFERROR(__xludf.DUMMYFUNCTION("""COMPUTED_VALUE"""),19)</f>
        <v>19</v>
      </c>
      <c r="H4117" s="1" t="str">
        <f ca="1">IFERROR(__xludf.DUMMYFUNCTION("""COMPUTED_VALUE"""),"MTLSZ000019A02")</f>
        <v>MTLSZ000019A02</v>
      </c>
      <c r="I4117" s="2">
        <f ca="1">IFERROR(__xludf.DUMMYFUNCTION("""COMPUTED_VALUE"""),37622)</f>
        <v>37622</v>
      </c>
      <c r="J4117" s="2">
        <f ca="1">IFERROR(__xludf.DUMMYFUNCTION("""COMPUTED_VALUE"""),37986)</f>
        <v>37986</v>
      </c>
    </row>
    <row r="4118" spans="1:10" x14ac:dyDescent="0.25">
      <c r="A4118" s="1" t="str">
        <f ca="1">IFERROR(__xludf.DUMMYFUNCTION("""COMPUTED_VALUE"""),"OSC")</f>
        <v>OSC</v>
      </c>
      <c r="B4118" s="1" t="str">
        <f ca="1">IFERROR(__xludf.DUMMYFUNCTION("""COMPUTED_VALUE"""),"Baló Péter")</f>
        <v>Baló Péter</v>
      </c>
      <c r="C4118" s="1"/>
      <c r="D4118" s="1" t="str">
        <f ca="1">IFERROR(__xludf.DUMMYFUNCTION("""COMPUTED_VALUE"""),"Férfi")</f>
        <v>Férfi</v>
      </c>
      <c r="E4118" s="1"/>
      <c r="F4118" s="1">
        <f ca="1">IFERROR(__xludf.DUMMYFUNCTION("""COMPUTED_VALUE"""),1984)</f>
        <v>1984</v>
      </c>
      <c r="G4118" s="1">
        <f ca="1">IFERROR(__xludf.DUMMYFUNCTION("""COMPUTED_VALUE"""),36)</f>
        <v>36</v>
      </c>
      <c r="H4118" s="1" t="str">
        <f ca="1">IFERROR(__xludf.DUMMYFUNCTION("""COMPUTED_VALUE"""),"MTLSZ000036A02")</f>
        <v>MTLSZ000036A02</v>
      </c>
      <c r="I4118" s="2">
        <f ca="1">IFERROR(__xludf.DUMMYFUNCTION("""COMPUTED_VALUE"""),37622)</f>
        <v>37622</v>
      </c>
      <c r="J4118" s="2">
        <f ca="1">IFERROR(__xludf.DUMMYFUNCTION("""COMPUTED_VALUE"""),37986)</f>
        <v>37986</v>
      </c>
    </row>
    <row r="4119" spans="1:10" x14ac:dyDescent="0.25">
      <c r="A4119" s="1" t="str">
        <f ca="1">IFERROR(__xludf.DUMMYFUNCTION("""COMPUTED_VALUE"""),"OSC")</f>
        <v>OSC</v>
      </c>
      <c r="B4119" s="1" t="str">
        <f ca="1">IFERROR(__xludf.DUMMYFUNCTION("""COMPUTED_VALUE"""),"Balog Katalin")</f>
        <v>Balog Katalin</v>
      </c>
      <c r="C4119" s="1"/>
      <c r="D4119" s="1" t="str">
        <f ca="1">IFERROR(__xludf.DUMMYFUNCTION("""COMPUTED_VALUE"""),"Nő")</f>
        <v>Nő</v>
      </c>
      <c r="E4119" s="1"/>
      <c r="F4119" s="1">
        <f ca="1">IFERROR(__xludf.DUMMYFUNCTION("""COMPUTED_VALUE"""),1980)</f>
        <v>1980</v>
      </c>
      <c r="G4119" s="1">
        <f ca="1">IFERROR(__xludf.DUMMYFUNCTION("""COMPUTED_VALUE"""),38)</f>
        <v>38</v>
      </c>
      <c r="H4119" s="1" t="str">
        <f ca="1">IFERROR(__xludf.DUMMYFUNCTION("""COMPUTED_VALUE"""),"MTLSZ000038A02")</f>
        <v>MTLSZ000038A02</v>
      </c>
      <c r="I4119" s="2">
        <f ca="1">IFERROR(__xludf.DUMMYFUNCTION("""COMPUTED_VALUE"""),37622)</f>
        <v>37622</v>
      </c>
      <c r="J4119" s="2">
        <f ca="1">IFERROR(__xludf.DUMMYFUNCTION("""COMPUTED_VALUE"""),37986)</f>
        <v>37986</v>
      </c>
    </row>
    <row r="4120" spans="1:10" x14ac:dyDescent="0.25">
      <c r="A4120" s="1" t="str">
        <f ca="1">IFERROR(__xludf.DUMMYFUNCTION("""COMPUTED_VALUE"""),"OSC")</f>
        <v>OSC</v>
      </c>
      <c r="B4120" s="1" t="str">
        <f ca="1">IFERROR(__xludf.DUMMYFUNCTION("""COMPUTED_VALUE"""),"Benvenuti Erna")</f>
        <v>Benvenuti Erna</v>
      </c>
      <c r="C4120" s="1"/>
      <c r="D4120" s="1" t="str">
        <f ca="1">IFERROR(__xludf.DUMMYFUNCTION("""COMPUTED_VALUE"""),"Nő")</f>
        <v>Nő</v>
      </c>
      <c r="E4120" s="1"/>
      <c r="F4120" s="1">
        <f ca="1">IFERROR(__xludf.DUMMYFUNCTION("""COMPUTED_VALUE"""),1982)</f>
        <v>1982</v>
      </c>
      <c r="G4120" s="1">
        <f ca="1">IFERROR(__xludf.DUMMYFUNCTION("""COMPUTED_VALUE"""),74)</f>
        <v>74</v>
      </c>
      <c r="H4120" s="1" t="str">
        <f ca="1">IFERROR(__xludf.DUMMYFUNCTION("""COMPUTED_VALUE"""),"MTLSZ000074A02")</f>
        <v>MTLSZ000074A02</v>
      </c>
      <c r="I4120" s="2">
        <f ca="1">IFERROR(__xludf.DUMMYFUNCTION("""COMPUTED_VALUE"""),37622)</f>
        <v>37622</v>
      </c>
      <c r="J4120" s="2">
        <f ca="1">IFERROR(__xludf.DUMMYFUNCTION("""COMPUTED_VALUE"""),37986)</f>
        <v>37986</v>
      </c>
    </row>
    <row r="4121" spans="1:10" x14ac:dyDescent="0.25">
      <c r="A4121" s="1" t="str">
        <f ca="1">IFERROR(__xludf.DUMMYFUNCTION("""COMPUTED_VALUE"""),"OSC")</f>
        <v>OSC</v>
      </c>
      <c r="B4121" s="1" t="str">
        <f ca="1">IFERROR(__xludf.DUMMYFUNCTION("""COMPUTED_VALUE"""),"Dedinszky Marina")</f>
        <v>Dedinszky Marina</v>
      </c>
      <c r="C4121" s="1"/>
      <c r="D4121" s="1" t="str">
        <f ca="1">IFERROR(__xludf.DUMMYFUNCTION("""COMPUTED_VALUE"""),"Nő")</f>
        <v>Nő</v>
      </c>
      <c r="E4121" s="1"/>
      <c r="F4121" s="1">
        <f ca="1">IFERROR(__xludf.DUMMYFUNCTION("""COMPUTED_VALUE"""),1979)</f>
        <v>1979</v>
      </c>
      <c r="G4121" s="1">
        <f ca="1">IFERROR(__xludf.DUMMYFUNCTION("""COMPUTED_VALUE"""),185)</f>
        <v>185</v>
      </c>
      <c r="H4121" s="1" t="str">
        <f ca="1">IFERROR(__xludf.DUMMYFUNCTION("""COMPUTED_VALUE"""),"MTLSZ000185A02")</f>
        <v>MTLSZ000185A02</v>
      </c>
      <c r="I4121" s="2">
        <f ca="1">IFERROR(__xludf.DUMMYFUNCTION("""COMPUTED_VALUE"""),37622)</f>
        <v>37622</v>
      </c>
      <c r="J4121" s="2">
        <f ca="1">IFERROR(__xludf.DUMMYFUNCTION("""COMPUTED_VALUE"""),37986)</f>
        <v>37986</v>
      </c>
    </row>
    <row r="4122" spans="1:10" x14ac:dyDescent="0.25">
      <c r="A4122" s="1" t="str">
        <f ca="1">IFERROR(__xludf.DUMMYFUNCTION("""COMPUTED_VALUE"""),"OSC")</f>
        <v>OSC</v>
      </c>
      <c r="B4122" s="1" t="str">
        <f ca="1">IFERROR(__xludf.DUMMYFUNCTION("""COMPUTED_VALUE"""),"Deme Gábor dr.")</f>
        <v>Deme Gábor dr.</v>
      </c>
      <c r="C4122" s="1"/>
      <c r="D4122" s="1" t="str">
        <f ca="1">IFERROR(__xludf.DUMMYFUNCTION("""COMPUTED_VALUE"""),"Férfi")</f>
        <v>Férfi</v>
      </c>
      <c r="E4122" s="1"/>
      <c r="F4122" s="1">
        <f ca="1">IFERROR(__xludf.DUMMYFUNCTION("""COMPUTED_VALUE"""),1962)</f>
        <v>1962</v>
      </c>
      <c r="G4122" s="1">
        <f ca="1">IFERROR(__xludf.DUMMYFUNCTION("""COMPUTED_VALUE"""),186)</f>
        <v>186</v>
      </c>
      <c r="H4122" s="1" t="str">
        <f ca="1">IFERROR(__xludf.DUMMYFUNCTION("""COMPUTED_VALUE"""),"MTLSZ000186A02")</f>
        <v>MTLSZ000186A02</v>
      </c>
      <c r="I4122" s="2">
        <f ca="1">IFERROR(__xludf.DUMMYFUNCTION("""COMPUTED_VALUE"""),37622)</f>
        <v>37622</v>
      </c>
      <c r="J4122" s="2">
        <f ca="1">IFERROR(__xludf.DUMMYFUNCTION("""COMPUTED_VALUE"""),37986)</f>
        <v>37986</v>
      </c>
    </row>
    <row r="4123" spans="1:10" x14ac:dyDescent="0.25">
      <c r="A4123" s="1" t="str">
        <f ca="1">IFERROR(__xludf.DUMMYFUNCTION("""COMPUTED_VALUE"""),"OSC")</f>
        <v>OSC</v>
      </c>
      <c r="B4123" s="1" t="str">
        <f ca="1">IFERROR(__xludf.DUMMYFUNCTION("""COMPUTED_VALUE"""),"Dózsa Dániel")</f>
        <v>Dózsa Dániel</v>
      </c>
      <c r="C4123" s="1"/>
      <c r="D4123" s="1" t="str">
        <f ca="1">IFERROR(__xludf.DUMMYFUNCTION("""COMPUTED_VALUE"""),"Férfi")</f>
        <v>Férfi</v>
      </c>
      <c r="E4123" s="1"/>
      <c r="F4123" s="1">
        <f ca="1">IFERROR(__xludf.DUMMYFUNCTION("""COMPUTED_VALUE"""),1982)</f>
        <v>1982</v>
      </c>
      <c r="G4123" s="1">
        <f ca="1">IFERROR(__xludf.DUMMYFUNCTION("""COMPUTED_VALUE"""),199)</f>
        <v>199</v>
      </c>
      <c r="H4123" s="1" t="str">
        <f ca="1">IFERROR(__xludf.DUMMYFUNCTION("""COMPUTED_VALUE"""),"MTLSZ000199A02")</f>
        <v>MTLSZ000199A02</v>
      </c>
      <c r="I4123" s="2">
        <f ca="1">IFERROR(__xludf.DUMMYFUNCTION("""COMPUTED_VALUE"""),37622)</f>
        <v>37622</v>
      </c>
      <c r="J4123" s="2">
        <f ca="1">IFERROR(__xludf.DUMMYFUNCTION("""COMPUTED_VALUE"""),37986)</f>
        <v>37986</v>
      </c>
    </row>
    <row r="4124" spans="1:10" x14ac:dyDescent="0.25">
      <c r="A4124" s="1" t="str">
        <f ca="1">IFERROR(__xludf.DUMMYFUNCTION("""COMPUTED_VALUE"""),"OSC")</f>
        <v>OSC</v>
      </c>
      <c r="B4124" s="1" t="str">
        <f ca="1">IFERROR(__xludf.DUMMYFUNCTION("""COMPUTED_VALUE"""),"Erdei Katalin")</f>
        <v>Erdei Katalin</v>
      </c>
      <c r="C4124" s="1"/>
      <c r="D4124" s="1" t="str">
        <f ca="1">IFERROR(__xludf.DUMMYFUNCTION("""COMPUTED_VALUE"""),"Nő")</f>
        <v>Nő</v>
      </c>
      <c r="E4124" s="1"/>
      <c r="F4124" s="1">
        <f ca="1">IFERROR(__xludf.DUMMYFUNCTION("""COMPUTED_VALUE"""),1973)</f>
        <v>1973</v>
      </c>
      <c r="G4124" s="1">
        <f ca="1">IFERROR(__xludf.DUMMYFUNCTION("""COMPUTED_VALUE"""),217)</f>
        <v>217</v>
      </c>
      <c r="H4124" s="1" t="str">
        <f ca="1">IFERROR(__xludf.DUMMYFUNCTION("""COMPUTED_VALUE"""),"MTLSZ000217A02")</f>
        <v>MTLSZ000217A02</v>
      </c>
      <c r="I4124" s="2">
        <f ca="1">IFERROR(__xludf.DUMMYFUNCTION("""COMPUTED_VALUE"""),37622)</f>
        <v>37622</v>
      </c>
      <c r="J4124" s="2">
        <f ca="1">IFERROR(__xludf.DUMMYFUNCTION("""COMPUTED_VALUE"""),37986)</f>
        <v>37986</v>
      </c>
    </row>
    <row r="4125" spans="1:10" x14ac:dyDescent="0.25">
      <c r="A4125" s="1" t="str">
        <f ca="1">IFERROR(__xludf.DUMMYFUNCTION("""COMPUTED_VALUE"""),"OSC")</f>
        <v>OSC</v>
      </c>
      <c r="B4125" s="1" t="str">
        <f ca="1">IFERROR(__xludf.DUMMYFUNCTION("""COMPUTED_VALUE"""),"Gyurós István")</f>
        <v>Gyurós István</v>
      </c>
      <c r="C4125" s="1"/>
      <c r="D4125" s="1" t="str">
        <f ca="1">IFERROR(__xludf.DUMMYFUNCTION("""COMPUTED_VALUE"""),"Férfi")</f>
        <v>Férfi</v>
      </c>
      <c r="E4125" s="1"/>
      <c r="F4125" s="1">
        <f ca="1">IFERROR(__xludf.DUMMYFUNCTION("""COMPUTED_VALUE"""),1974)</f>
        <v>1974</v>
      </c>
      <c r="G4125" s="1">
        <f ca="1">IFERROR(__xludf.DUMMYFUNCTION("""COMPUTED_VALUE"""),319)</f>
        <v>319</v>
      </c>
      <c r="H4125" s="1" t="str">
        <f ca="1">IFERROR(__xludf.DUMMYFUNCTION("""COMPUTED_VALUE"""),"MTLSZ000319A02")</f>
        <v>MTLSZ000319A02</v>
      </c>
      <c r="I4125" s="2">
        <f ca="1">IFERROR(__xludf.DUMMYFUNCTION("""COMPUTED_VALUE"""),37622)</f>
        <v>37622</v>
      </c>
      <c r="J4125" s="2">
        <f ca="1">IFERROR(__xludf.DUMMYFUNCTION("""COMPUTED_VALUE"""),37986)</f>
        <v>37986</v>
      </c>
    </row>
    <row r="4126" spans="1:10" x14ac:dyDescent="0.25">
      <c r="A4126" s="1" t="str">
        <f ca="1">IFERROR(__xludf.DUMMYFUNCTION("""COMPUTED_VALUE"""),"OSC")</f>
        <v>OSC</v>
      </c>
      <c r="B4126" s="1" t="str">
        <f ca="1">IFERROR(__xludf.DUMMYFUNCTION("""COMPUTED_VALUE"""),"Halász Mihály")</f>
        <v>Halász Mihály</v>
      </c>
      <c r="C4126" s="1"/>
      <c r="D4126" s="1" t="str">
        <f ca="1">IFERROR(__xludf.DUMMYFUNCTION("""COMPUTED_VALUE"""),"Férfi")</f>
        <v>Férfi</v>
      </c>
      <c r="E4126" s="1"/>
      <c r="F4126" s="1">
        <f ca="1">IFERROR(__xludf.DUMMYFUNCTION("""COMPUTED_VALUE"""),1968)</f>
        <v>1968</v>
      </c>
      <c r="G4126" s="1">
        <f ca="1">IFERROR(__xludf.DUMMYFUNCTION("""COMPUTED_VALUE"""),334)</f>
        <v>334</v>
      </c>
      <c r="H4126" s="1" t="str">
        <f ca="1">IFERROR(__xludf.DUMMYFUNCTION("""COMPUTED_VALUE"""),"MTLSZ000334A02")</f>
        <v>MTLSZ000334A02</v>
      </c>
      <c r="I4126" s="2">
        <f ca="1">IFERROR(__xludf.DUMMYFUNCTION("""COMPUTED_VALUE"""),37622)</f>
        <v>37622</v>
      </c>
      <c r="J4126" s="2">
        <f ca="1">IFERROR(__xludf.DUMMYFUNCTION("""COMPUTED_VALUE"""),37986)</f>
        <v>37986</v>
      </c>
    </row>
    <row r="4127" spans="1:10" x14ac:dyDescent="0.25">
      <c r="A4127" s="1" t="str">
        <f ca="1">IFERROR(__xludf.DUMMYFUNCTION("""COMPUTED_VALUE"""),"OSC")</f>
        <v>OSC</v>
      </c>
      <c r="B4127" s="1" t="str">
        <f ca="1">IFERROR(__xludf.DUMMYFUNCTION("""COMPUTED_VALUE"""),"Halek András")</f>
        <v>Halek András</v>
      </c>
      <c r="C4127" s="1"/>
      <c r="D4127" s="1" t="str">
        <f ca="1">IFERROR(__xludf.DUMMYFUNCTION("""COMPUTED_VALUE"""),"Férfi")</f>
        <v>Férfi</v>
      </c>
      <c r="E4127" s="1"/>
      <c r="F4127" s="1">
        <f ca="1">IFERROR(__xludf.DUMMYFUNCTION("""COMPUTED_VALUE"""),1980)</f>
        <v>1980</v>
      </c>
      <c r="G4127" s="1">
        <f ca="1">IFERROR(__xludf.DUMMYFUNCTION("""COMPUTED_VALUE"""),335)</f>
        <v>335</v>
      </c>
      <c r="H4127" s="1" t="str">
        <f ca="1">IFERROR(__xludf.DUMMYFUNCTION("""COMPUTED_VALUE"""),"MTLSZ000335A02")</f>
        <v>MTLSZ000335A02</v>
      </c>
      <c r="I4127" s="2">
        <f ca="1">IFERROR(__xludf.DUMMYFUNCTION("""COMPUTED_VALUE"""),37622)</f>
        <v>37622</v>
      </c>
      <c r="J4127" s="2">
        <f ca="1">IFERROR(__xludf.DUMMYFUNCTION("""COMPUTED_VALUE"""),37986)</f>
        <v>37986</v>
      </c>
    </row>
    <row r="4128" spans="1:10" x14ac:dyDescent="0.25">
      <c r="A4128" s="1" t="str">
        <f ca="1">IFERROR(__xludf.DUMMYFUNCTION("""COMPUTED_VALUE"""),"OSC")</f>
        <v>OSC</v>
      </c>
      <c r="B4128" s="1" t="str">
        <f ca="1">IFERROR(__xludf.DUMMYFUNCTION("""COMPUTED_VALUE"""),"Kiefer Gábor")</f>
        <v>Kiefer Gábor</v>
      </c>
      <c r="C4128" s="1"/>
      <c r="D4128" s="1" t="str">
        <f ca="1">IFERROR(__xludf.DUMMYFUNCTION("""COMPUTED_VALUE"""),"Férfi")</f>
        <v>Férfi</v>
      </c>
      <c r="E4128" s="1"/>
      <c r="F4128" s="1">
        <f ca="1">IFERROR(__xludf.DUMMYFUNCTION("""COMPUTED_VALUE"""),1961)</f>
        <v>1961</v>
      </c>
      <c r="G4128" s="1">
        <f ca="1">IFERROR(__xludf.DUMMYFUNCTION("""COMPUTED_VALUE"""),467)</f>
        <v>467</v>
      </c>
      <c r="H4128" s="1" t="str">
        <f ca="1">IFERROR(__xludf.DUMMYFUNCTION("""COMPUTED_VALUE"""),"MTLSZ000467A02")</f>
        <v>MTLSZ000467A02</v>
      </c>
      <c r="I4128" s="2">
        <f ca="1">IFERROR(__xludf.DUMMYFUNCTION("""COMPUTED_VALUE"""),37622)</f>
        <v>37622</v>
      </c>
      <c r="J4128" s="2">
        <f ca="1">IFERROR(__xludf.DUMMYFUNCTION("""COMPUTED_VALUE"""),37986)</f>
        <v>37986</v>
      </c>
    </row>
    <row r="4129" spans="1:10" x14ac:dyDescent="0.25">
      <c r="A4129" s="1" t="str">
        <f ca="1">IFERROR(__xludf.DUMMYFUNCTION("""COMPUTED_VALUE"""),"OSC")</f>
        <v>OSC</v>
      </c>
      <c r="B4129" s="1" t="str">
        <f ca="1">IFERROR(__xludf.DUMMYFUNCTION("""COMPUTED_VALUE"""),"Kiss András")</f>
        <v>Kiss András</v>
      </c>
      <c r="C4129" s="1"/>
      <c r="D4129" s="1" t="str">
        <f ca="1">IFERROR(__xludf.DUMMYFUNCTION("""COMPUTED_VALUE"""),"Férfi")</f>
        <v>Férfi</v>
      </c>
      <c r="E4129" s="1"/>
      <c r="F4129" s="1">
        <f ca="1">IFERROR(__xludf.DUMMYFUNCTION("""COMPUTED_VALUE"""),1976)</f>
        <v>1976</v>
      </c>
      <c r="G4129" s="1">
        <f ca="1">IFERROR(__xludf.DUMMYFUNCTION("""COMPUTED_VALUE"""),483)</f>
        <v>483</v>
      </c>
      <c r="H4129" s="1" t="str">
        <f ca="1">IFERROR(__xludf.DUMMYFUNCTION("""COMPUTED_VALUE"""),"MTLSZ000483A02")</f>
        <v>MTLSZ000483A02</v>
      </c>
      <c r="I4129" s="2">
        <f ca="1">IFERROR(__xludf.DUMMYFUNCTION("""COMPUTED_VALUE"""),37622)</f>
        <v>37622</v>
      </c>
      <c r="J4129" s="2">
        <f ca="1">IFERROR(__xludf.DUMMYFUNCTION("""COMPUTED_VALUE"""),37986)</f>
        <v>37986</v>
      </c>
    </row>
    <row r="4130" spans="1:10" x14ac:dyDescent="0.25">
      <c r="A4130" s="1" t="str">
        <f ca="1">IFERROR(__xludf.DUMMYFUNCTION("""COMPUTED_VALUE"""),"OSC")</f>
        <v>OSC</v>
      </c>
      <c r="B4130" s="1" t="str">
        <f ca="1">IFERROR(__xludf.DUMMYFUNCTION("""COMPUTED_VALUE"""),"Kovács F. Gábor")</f>
        <v>Kovács F. Gábor</v>
      </c>
      <c r="C4130" s="1"/>
      <c r="D4130" s="1" t="str">
        <f ca="1">IFERROR(__xludf.DUMMYFUNCTION("""COMPUTED_VALUE"""),"Férfi")</f>
        <v>Férfi</v>
      </c>
      <c r="E4130" s="1"/>
      <c r="F4130" s="1">
        <f ca="1">IFERROR(__xludf.DUMMYFUNCTION("""COMPUTED_VALUE"""),1975)</f>
        <v>1975</v>
      </c>
      <c r="G4130" s="1">
        <f ca="1">IFERROR(__xludf.DUMMYFUNCTION("""COMPUTED_VALUE"""),530)</f>
        <v>530</v>
      </c>
      <c r="H4130" s="1" t="str">
        <f ca="1">IFERROR(__xludf.DUMMYFUNCTION("""COMPUTED_VALUE"""),"MTLSZ000530A02")</f>
        <v>MTLSZ000530A02</v>
      </c>
      <c r="I4130" s="2">
        <f ca="1">IFERROR(__xludf.DUMMYFUNCTION("""COMPUTED_VALUE"""),37622)</f>
        <v>37622</v>
      </c>
      <c r="J4130" s="2">
        <f ca="1">IFERROR(__xludf.DUMMYFUNCTION("""COMPUTED_VALUE"""),37986)</f>
        <v>37986</v>
      </c>
    </row>
    <row r="4131" spans="1:10" x14ac:dyDescent="0.25">
      <c r="A4131" s="1" t="str">
        <f ca="1">IFERROR(__xludf.DUMMYFUNCTION("""COMPUTED_VALUE"""),"OSC")</f>
        <v>OSC</v>
      </c>
      <c r="B4131" s="1" t="str">
        <f ca="1">IFERROR(__xludf.DUMMYFUNCTION("""COMPUTED_VALUE"""),"Kulik István")</f>
        <v>Kulik István</v>
      </c>
      <c r="C4131" s="1"/>
      <c r="D4131" s="1" t="str">
        <f ca="1">IFERROR(__xludf.DUMMYFUNCTION("""COMPUTED_VALUE"""),"Férfi")</f>
        <v>Férfi</v>
      </c>
      <c r="E4131" s="1"/>
      <c r="F4131" s="1">
        <f ca="1">IFERROR(__xludf.DUMMYFUNCTION("""COMPUTED_VALUE"""),1980)</f>
        <v>1980</v>
      </c>
      <c r="G4131" s="1">
        <f ca="1">IFERROR(__xludf.DUMMYFUNCTION("""COMPUTED_VALUE"""),554)</f>
        <v>554</v>
      </c>
      <c r="H4131" s="1" t="str">
        <f ca="1">IFERROR(__xludf.DUMMYFUNCTION("""COMPUTED_VALUE"""),"MTLSZ000554A02")</f>
        <v>MTLSZ000554A02</v>
      </c>
      <c r="I4131" s="2">
        <f ca="1">IFERROR(__xludf.DUMMYFUNCTION("""COMPUTED_VALUE"""),37622)</f>
        <v>37622</v>
      </c>
      <c r="J4131" s="2">
        <f ca="1">IFERROR(__xludf.DUMMYFUNCTION("""COMPUTED_VALUE"""),37986)</f>
        <v>37986</v>
      </c>
    </row>
    <row r="4132" spans="1:10" x14ac:dyDescent="0.25">
      <c r="A4132" s="1" t="str">
        <f ca="1">IFERROR(__xludf.DUMMYFUNCTION("""COMPUTED_VALUE"""),"OSC")</f>
        <v>OSC</v>
      </c>
      <c r="B4132" s="1" t="str">
        <f ca="1">IFERROR(__xludf.DUMMYFUNCTION("""COMPUTED_VALUE"""),"Molnár Miklós")</f>
        <v>Molnár Miklós</v>
      </c>
      <c r="C4132" s="1"/>
      <c r="D4132" s="1" t="str">
        <f ca="1">IFERROR(__xludf.DUMMYFUNCTION("""COMPUTED_VALUE"""),"Férfi")</f>
        <v>Férfi</v>
      </c>
      <c r="E4132" s="1"/>
      <c r="F4132" s="1">
        <f ca="1">IFERROR(__xludf.DUMMYFUNCTION("""COMPUTED_VALUE"""),1969)</f>
        <v>1969</v>
      </c>
      <c r="G4132" s="1">
        <f ca="1">IFERROR(__xludf.DUMMYFUNCTION("""COMPUTED_VALUE"""),665)</f>
        <v>665</v>
      </c>
      <c r="H4132" s="1" t="str">
        <f ca="1">IFERROR(__xludf.DUMMYFUNCTION("""COMPUTED_VALUE"""),"MTLSZ000665A02")</f>
        <v>MTLSZ000665A02</v>
      </c>
      <c r="I4132" s="2">
        <f ca="1">IFERROR(__xludf.DUMMYFUNCTION("""COMPUTED_VALUE"""),37622)</f>
        <v>37622</v>
      </c>
      <c r="J4132" s="2">
        <f ca="1">IFERROR(__xludf.DUMMYFUNCTION("""COMPUTED_VALUE"""),37986)</f>
        <v>37986</v>
      </c>
    </row>
    <row r="4133" spans="1:10" x14ac:dyDescent="0.25">
      <c r="A4133" s="1" t="str">
        <f ca="1">IFERROR(__xludf.DUMMYFUNCTION("""COMPUTED_VALUE"""),"OSC")</f>
        <v>OSC</v>
      </c>
      <c r="B4133" s="1" t="str">
        <f ca="1">IFERROR(__xludf.DUMMYFUNCTION("""COMPUTED_VALUE"""),"Molnár Tímea")</f>
        <v>Molnár Tímea</v>
      </c>
      <c r="C4133" s="1"/>
      <c r="D4133" s="1" t="str">
        <f ca="1">IFERROR(__xludf.DUMMYFUNCTION("""COMPUTED_VALUE"""),"Nő")</f>
        <v>Nő</v>
      </c>
      <c r="E4133" s="1"/>
      <c r="F4133" s="1">
        <f ca="1">IFERROR(__xludf.DUMMYFUNCTION("""COMPUTED_VALUE"""),1984)</f>
        <v>1984</v>
      </c>
      <c r="G4133" s="1">
        <f ca="1">IFERROR(__xludf.DUMMYFUNCTION("""COMPUTED_VALUE"""),667)</f>
        <v>667</v>
      </c>
      <c r="H4133" s="1" t="str">
        <f ca="1">IFERROR(__xludf.DUMMYFUNCTION("""COMPUTED_VALUE"""),"MTLSZ000667A02")</f>
        <v>MTLSZ000667A02</v>
      </c>
      <c r="I4133" s="2">
        <f ca="1">IFERROR(__xludf.DUMMYFUNCTION("""COMPUTED_VALUE"""),37622)</f>
        <v>37622</v>
      </c>
      <c r="J4133" s="2">
        <f ca="1">IFERROR(__xludf.DUMMYFUNCTION("""COMPUTED_VALUE"""),37986)</f>
        <v>37986</v>
      </c>
    </row>
    <row r="4134" spans="1:10" x14ac:dyDescent="0.25">
      <c r="A4134" s="1" t="str">
        <f ca="1">IFERROR(__xludf.DUMMYFUNCTION("""COMPUTED_VALUE"""),"OSC")</f>
        <v>OSC</v>
      </c>
      <c r="B4134" s="1" t="str">
        <f ca="1">IFERROR(__xludf.DUMMYFUNCTION("""COMPUTED_VALUE"""),"Palczert Miklós dr.")</f>
        <v>Palczert Miklós dr.</v>
      </c>
      <c r="C4134" s="1"/>
      <c r="D4134" s="1" t="str">
        <f ca="1">IFERROR(__xludf.DUMMYFUNCTION("""COMPUTED_VALUE"""),"Férfi")</f>
        <v>Férfi</v>
      </c>
      <c r="E4134" s="1"/>
      <c r="F4134" s="1">
        <f ca="1">IFERROR(__xludf.DUMMYFUNCTION("""COMPUTED_VALUE"""),1975)</f>
        <v>1975</v>
      </c>
      <c r="G4134" s="1">
        <f ca="1">IFERROR(__xludf.DUMMYFUNCTION("""COMPUTED_VALUE"""),735)</f>
        <v>735</v>
      </c>
      <c r="H4134" s="1" t="str">
        <f ca="1">IFERROR(__xludf.DUMMYFUNCTION("""COMPUTED_VALUE"""),"MTLSZ000735A02")</f>
        <v>MTLSZ000735A02</v>
      </c>
      <c r="I4134" s="2">
        <f ca="1">IFERROR(__xludf.DUMMYFUNCTION("""COMPUTED_VALUE"""),37622)</f>
        <v>37622</v>
      </c>
      <c r="J4134" s="2">
        <f ca="1">IFERROR(__xludf.DUMMYFUNCTION("""COMPUTED_VALUE"""),37986)</f>
        <v>37986</v>
      </c>
    </row>
    <row r="4135" spans="1:10" x14ac:dyDescent="0.25">
      <c r="A4135" s="1" t="str">
        <f ca="1">IFERROR(__xludf.DUMMYFUNCTION("""COMPUTED_VALUE"""),"OSC")</f>
        <v>OSC</v>
      </c>
      <c r="B4135" s="1" t="str">
        <f ca="1">IFERROR(__xludf.DUMMYFUNCTION("""COMPUTED_VALUE"""),"Pallang Ottó")</f>
        <v>Pallang Ottó</v>
      </c>
      <c r="C4135" s="1"/>
      <c r="D4135" s="1" t="str">
        <f ca="1">IFERROR(__xludf.DUMMYFUNCTION("""COMPUTED_VALUE"""),"Férfi")</f>
        <v>Férfi</v>
      </c>
      <c r="E4135" s="1"/>
      <c r="F4135" s="1">
        <f ca="1">IFERROR(__xludf.DUMMYFUNCTION("""COMPUTED_VALUE"""),1977)</f>
        <v>1977</v>
      </c>
      <c r="G4135" s="1">
        <f ca="1">IFERROR(__xludf.DUMMYFUNCTION("""COMPUTED_VALUE"""),738)</f>
        <v>738</v>
      </c>
      <c r="H4135" s="1" t="str">
        <f ca="1">IFERROR(__xludf.DUMMYFUNCTION("""COMPUTED_VALUE"""),"MTLSZ000738A02")</f>
        <v>MTLSZ000738A02</v>
      </c>
      <c r="I4135" s="2">
        <f ca="1">IFERROR(__xludf.DUMMYFUNCTION("""COMPUTED_VALUE"""),37622)</f>
        <v>37622</v>
      </c>
      <c r="J4135" s="2">
        <f ca="1">IFERROR(__xludf.DUMMYFUNCTION("""COMPUTED_VALUE"""),37986)</f>
        <v>37986</v>
      </c>
    </row>
    <row r="4136" spans="1:10" x14ac:dyDescent="0.25">
      <c r="A4136" s="1" t="str">
        <f ca="1">IFERROR(__xludf.DUMMYFUNCTION("""COMPUTED_VALUE"""),"OSC")</f>
        <v>OSC</v>
      </c>
      <c r="B4136" s="1" t="str">
        <f ca="1">IFERROR(__xludf.DUMMYFUNCTION("""COMPUTED_VALUE"""),"Pásztor József")</f>
        <v>Pásztor József</v>
      </c>
      <c r="C4136" s="1"/>
      <c r="D4136" s="1" t="str">
        <f ca="1">IFERROR(__xludf.DUMMYFUNCTION("""COMPUTED_VALUE"""),"Férfi")</f>
        <v>Férfi</v>
      </c>
      <c r="E4136" s="1"/>
      <c r="F4136" s="1">
        <f ca="1">IFERROR(__xludf.DUMMYFUNCTION("""COMPUTED_VALUE"""),1947)</f>
        <v>1947</v>
      </c>
      <c r="G4136" s="1">
        <f ca="1">IFERROR(__xludf.DUMMYFUNCTION("""COMPUTED_VALUE"""),759)</f>
        <v>759</v>
      </c>
      <c r="H4136" s="1" t="str">
        <f ca="1">IFERROR(__xludf.DUMMYFUNCTION("""COMPUTED_VALUE"""),"MTLSZ000759A02")</f>
        <v>MTLSZ000759A02</v>
      </c>
      <c r="I4136" s="2">
        <f ca="1">IFERROR(__xludf.DUMMYFUNCTION("""COMPUTED_VALUE"""),37622)</f>
        <v>37622</v>
      </c>
      <c r="J4136" s="2">
        <f ca="1">IFERROR(__xludf.DUMMYFUNCTION("""COMPUTED_VALUE"""),37986)</f>
        <v>37986</v>
      </c>
    </row>
    <row r="4137" spans="1:10" x14ac:dyDescent="0.25">
      <c r="A4137" s="1" t="str">
        <f ca="1">IFERROR(__xludf.DUMMYFUNCTION("""COMPUTED_VALUE"""),"OSC")</f>
        <v>OSC</v>
      </c>
      <c r="B4137" s="1" t="str">
        <f ca="1">IFERROR(__xludf.DUMMYFUNCTION("""COMPUTED_VALUE"""),"Roth István")</f>
        <v>Roth István</v>
      </c>
      <c r="C4137" s="1"/>
      <c r="D4137" s="1" t="str">
        <f ca="1">IFERROR(__xludf.DUMMYFUNCTION("""COMPUTED_VALUE"""),"Férfi")</f>
        <v>Férfi</v>
      </c>
      <c r="E4137" s="1"/>
      <c r="F4137" s="1">
        <f ca="1">IFERROR(__xludf.DUMMYFUNCTION("""COMPUTED_VALUE"""),1963)</f>
        <v>1963</v>
      </c>
      <c r="G4137" s="1">
        <f ca="1">IFERROR(__xludf.DUMMYFUNCTION("""COMPUTED_VALUE"""),818)</f>
        <v>818</v>
      </c>
      <c r="H4137" s="1" t="str">
        <f ca="1">IFERROR(__xludf.DUMMYFUNCTION("""COMPUTED_VALUE"""),"MTLSZ000818A02")</f>
        <v>MTLSZ000818A02</v>
      </c>
      <c r="I4137" s="2">
        <f ca="1">IFERROR(__xludf.DUMMYFUNCTION("""COMPUTED_VALUE"""),37622)</f>
        <v>37622</v>
      </c>
      <c r="J4137" s="2">
        <f ca="1">IFERROR(__xludf.DUMMYFUNCTION("""COMPUTED_VALUE"""),37986)</f>
        <v>37986</v>
      </c>
    </row>
    <row r="4138" spans="1:10" x14ac:dyDescent="0.25">
      <c r="A4138" s="1" t="str">
        <f ca="1">IFERROR(__xludf.DUMMYFUNCTION("""COMPUTED_VALUE"""),"OSC")</f>
        <v>OSC</v>
      </c>
      <c r="B4138" s="1" t="str">
        <f ca="1">IFERROR(__xludf.DUMMYFUNCTION("""COMPUTED_VALUE"""),"Sági Zenina")</f>
        <v>Sági Zenina</v>
      </c>
      <c r="C4138" s="1"/>
      <c r="D4138" s="1" t="str">
        <f ca="1">IFERROR(__xludf.DUMMYFUNCTION("""COMPUTED_VALUE"""),"Nő")</f>
        <v>Nő</v>
      </c>
      <c r="E4138" s="1"/>
      <c r="F4138" s="1">
        <f ca="1">IFERROR(__xludf.DUMMYFUNCTION("""COMPUTED_VALUE"""),1975)</f>
        <v>1975</v>
      </c>
      <c r="G4138" s="1">
        <f ca="1">IFERROR(__xludf.DUMMYFUNCTION("""COMPUTED_VALUE"""),823)</f>
        <v>823</v>
      </c>
      <c r="H4138" s="1" t="str">
        <f ca="1">IFERROR(__xludf.DUMMYFUNCTION("""COMPUTED_VALUE"""),"MTLSZ000823A02")</f>
        <v>MTLSZ000823A02</v>
      </c>
      <c r="I4138" s="2">
        <f ca="1">IFERROR(__xludf.DUMMYFUNCTION("""COMPUTED_VALUE"""),37622)</f>
        <v>37622</v>
      </c>
      <c r="J4138" s="2">
        <f ca="1">IFERROR(__xludf.DUMMYFUNCTION("""COMPUTED_VALUE"""),37986)</f>
        <v>37986</v>
      </c>
    </row>
    <row r="4139" spans="1:10" x14ac:dyDescent="0.25">
      <c r="A4139" s="1" t="str">
        <f ca="1">IFERROR(__xludf.DUMMYFUNCTION("""COMPUTED_VALUE"""),"OSC")</f>
        <v>OSC</v>
      </c>
      <c r="B4139" s="1" t="str">
        <f ca="1">IFERROR(__xludf.DUMMYFUNCTION("""COMPUTED_VALUE"""),"Segatto Emil")</f>
        <v>Segatto Emil</v>
      </c>
      <c r="C4139" s="1"/>
      <c r="D4139" s="1" t="str">
        <f ca="1">IFERROR(__xludf.DUMMYFUNCTION("""COMPUTED_VALUE"""),"Férfi")</f>
        <v>Férfi</v>
      </c>
      <c r="E4139" s="1"/>
      <c r="F4139" s="1">
        <f ca="1">IFERROR(__xludf.DUMMYFUNCTION("""COMPUTED_VALUE"""),1970)</f>
        <v>1970</v>
      </c>
      <c r="G4139" s="1">
        <f ca="1">IFERROR(__xludf.DUMMYFUNCTION("""COMPUTED_VALUE"""),847)</f>
        <v>847</v>
      </c>
      <c r="H4139" s="1" t="str">
        <f ca="1">IFERROR(__xludf.DUMMYFUNCTION("""COMPUTED_VALUE"""),"MTLSZ000847A02")</f>
        <v>MTLSZ000847A02</v>
      </c>
      <c r="I4139" s="2">
        <f ca="1">IFERROR(__xludf.DUMMYFUNCTION("""COMPUTED_VALUE"""),37622)</f>
        <v>37622</v>
      </c>
      <c r="J4139" s="2">
        <f ca="1">IFERROR(__xludf.DUMMYFUNCTION("""COMPUTED_VALUE"""),37986)</f>
        <v>37986</v>
      </c>
    </row>
    <row r="4140" spans="1:10" x14ac:dyDescent="0.25">
      <c r="A4140" s="1" t="str">
        <f ca="1">IFERROR(__xludf.DUMMYFUNCTION("""COMPUTED_VALUE"""),"OSC")</f>
        <v>OSC</v>
      </c>
      <c r="B4140" s="1" t="str">
        <f ca="1">IFERROR(__xludf.DUMMYFUNCTION("""COMPUTED_VALUE"""),"Szabolcs András")</f>
        <v>Szabolcs András</v>
      </c>
      <c r="C4140" s="1"/>
      <c r="D4140" s="1" t="str">
        <f ca="1">IFERROR(__xludf.DUMMYFUNCTION("""COMPUTED_VALUE"""),"Férfi")</f>
        <v>Férfi</v>
      </c>
      <c r="E4140" s="1"/>
      <c r="F4140" s="1">
        <f ca="1">IFERROR(__xludf.DUMMYFUNCTION("""COMPUTED_VALUE"""),1982)</f>
        <v>1982</v>
      </c>
      <c r="G4140" s="1">
        <f ca="1">IFERROR(__xludf.DUMMYFUNCTION("""COMPUTED_VALUE"""),908)</f>
        <v>908</v>
      </c>
      <c r="H4140" s="1" t="str">
        <f ca="1">IFERROR(__xludf.DUMMYFUNCTION("""COMPUTED_VALUE"""),"MTLSZ000908A02")</f>
        <v>MTLSZ000908A02</v>
      </c>
      <c r="I4140" s="2">
        <f ca="1">IFERROR(__xludf.DUMMYFUNCTION("""COMPUTED_VALUE"""),37622)</f>
        <v>37622</v>
      </c>
      <c r="J4140" s="2">
        <f ca="1">IFERROR(__xludf.DUMMYFUNCTION("""COMPUTED_VALUE"""),37986)</f>
        <v>37986</v>
      </c>
    </row>
    <row r="4141" spans="1:10" x14ac:dyDescent="0.25">
      <c r="A4141" s="1" t="str">
        <f ca="1">IFERROR(__xludf.DUMMYFUNCTION("""COMPUTED_VALUE"""),"OSC")</f>
        <v>OSC</v>
      </c>
      <c r="B4141" s="1" t="str">
        <f ca="1">IFERROR(__xludf.DUMMYFUNCTION("""COMPUTED_VALUE"""),"Szentesi József")</f>
        <v>Szentesi József</v>
      </c>
      <c r="C4141" s="1"/>
      <c r="D4141" s="1" t="str">
        <f ca="1">IFERROR(__xludf.DUMMYFUNCTION("""COMPUTED_VALUE"""),"Férfi")</f>
        <v>Férfi</v>
      </c>
      <c r="E4141" s="1"/>
      <c r="F4141" s="1">
        <f ca="1">IFERROR(__xludf.DUMMYFUNCTION("""COMPUTED_VALUE"""),1948)</f>
        <v>1948</v>
      </c>
      <c r="G4141" s="1">
        <f ca="1">IFERROR(__xludf.DUMMYFUNCTION("""COMPUTED_VALUE"""),938)</f>
        <v>938</v>
      </c>
      <c r="H4141" s="1" t="str">
        <f ca="1">IFERROR(__xludf.DUMMYFUNCTION("""COMPUTED_VALUE"""),"MTLSZ000938A02")</f>
        <v>MTLSZ000938A02</v>
      </c>
      <c r="I4141" s="2">
        <f ca="1">IFERROR(__xludf.DUMMYFUNCTION("""COMPUTED_VALUE"""),37622)</f>
        <v>37622</v>
      </c>
      <c r="J4141" s="2">
        <f ca="1">IFERROR(__xludf.DUMMYFUNCTION("""COMPUTED_VALUE"""),37986)</f>
        <v>37986</v>
      </c>
    </row>
    <row r="4142" spans="1:10" x14ac:dyDescent="0.25">
      <c r="A4142" s="1" t="str">
        <f ca="1">IFERROR(__xludf.DUMMYFUNCTION("""COMPUTED_VALUE"""),"OSC")</f>
        <v>OSC</v>
      </c>
      <c r="B4142" s="1" t="str">
        <f ca="1">IFERROR(__xludf.DUMMYFUNCTION("""COMPUTED_VALUE"""),"Szentkúti Ádám")</f>
        <v>Szentkúti Ádám</v>
      </c>
      <c r="C4142" s="1"/>
      <c r="D4142" s="1" t="str">
        <f ca="1">IFERROR(__xludf.DUMMYFUNCTION("""COMPUTED_VALUE"""),"Férfi")</f>
        <v>Férfi</v>
      </c>
      <c r="E4142" s="1"/>
      <c r="F4142" s="1">
        <f ca="1">IFERROR(__xludf.DUMMYFUNCTION("""COMPUTED_VALUE"""),1974)</f>
        <v>1974</v>
      </c>
      <c r="G4142" s="1">
        <f ca="1">IFERROR(__xludf.DUMMYFUNCTION("""COMPUTED_VALUE"""),939)</f>
        <v>939</v>
      </c>
      <c r="H4142" s="1" t="str">
        <f ca="1">IFERROR(__xludf.DUMMYFUNCTION("""COMPUTED_VALUE"""),"MTLSZ000939A02")</f>
        <v>MTLSZ000939A02</v>
      </c>
      <c r="I4142" s="2">
        <f ca="1">IFERROR(__xludf.DUMMYFUNCTION("""COMPUTED_VALUE"""),37622)</f>
        <v>37622</v>
      </c>
      <c r="J4142" s="2">
        <f ca="1">IFERROR(__xludf.DUMMYFUNCTION("""COMPUTED_VALUE"""),37986)</f>
        <v>37986</v>
      </c>
    </row>
    <row r="4143" spans="1:10" x14ac:dyDescent="0.25">
      <c r="A4143" s="1" t="str">
        <f ca="1">IFERROR(__xludf.DUMMYFUNCTION("""COMPUTED_VALUE"""),"OSC")</f>
        <v>OSC</v>
      </c>
      <c r="B4143" s="1" t="str">
        <f ca="1">IFERROR(__xludf.DUMMYFUNCTION("""COMPUTED_VALUE"""),"Szutor Ildikó")</f>
        <v>Szutor Ildikó</v>
      </c>
      <c r="C4143" s="1"/>
      <c r="D4143" s="1" t="str">
        <f ca="1">IFERROR(__xludf.DUMMYFUNCTION("""COMPUTED_VALUE"""),"Nő")</f>
        <v>Nő</v>
      </c>
      <c r="E4143" s="1"/>
      <c r="F4143" s="1">
        <f ca="1">IFERROR(__xludf.DUMMYFUNCTION("""COMPUTED_VALUE"""),1967)</f>
        <v>1967</v>
      </c>
      <c r="G4143" s="1">
        <f ca="1">IFERROR(__xludf.DUMMYFUNCTION("""COMPUTED_VALUE"""),980)</f>
        <v>980</v>
      </c>
      <c r="H4143" s="1" t="str">
        <f ca="1">IFERROR(__xludf.DUMMYFUNCTION("""COMPUTED_VALUE"""),"MTLSZ000980A02")</f>
        <v>MTLSZ000980A02</v>
      </c>
      <c r="I4143" s="2">
        <f ca="1">IFERROR(__xludf.DUMMYFUNCTION("""COMPUTED_VALUE"""),37622)</f>
        <v>37622</v>
      </c>
      <c r="J4143" s="2">
        <f ca="1">IFERROR(__xludf.DUMMYFUNCTION("""COMPUTED_VALUE"""),37986)</f>
        <v>37986</v>
      </c>
    </row>
    <row r="4144" spans="1:10" x14ac:dyDescent="0.25">
      <c r="A4144" s="1" t="str">
        <f ca="1">IFERROR(__xludf.DUMMYFUNCTION("""COMPUTED_VALUE"""),"OSC")</f>
        <v>OSC</v>
      </c>
      <c r="B4144" s="1" t="str">
        <f ca="1">IFERROR(__xludf.DUMMYFUNCTION("""COMPUTED_VALUE"""),"Urbán Tibor")</f>
        <v>Urbán Tibor</v>
      </c>
      <c r="C4144" s="1"/>
      <c r="D4144" s="1" t="str">
        <f ca="1">IFERROR(__xludf.DUMMYFUNCTION("""COMPUTED_VALUE"""),"Férfi")</f>
        <v>Férfi</v>
      </c>
      <c r="E4144" s="1"/>
      <c r="F4144" s="1">
        <f ca="1">IFERROR(__xludf.DUMMYFUNCTION("""COMPUTED_VALUE"""),1966)</f>
        <v>1966</v>
      </c>
      <c r="G4144" s="1">
        <f ca="1">IFERROR(__xludf.DUMMYFUNCTION("""COMPUTED_VALUE"""),1076)</f>
        <v>1076</v>
      </c>
      <c r="H4144" s="1" t="str">
        <f ca="1">IFERROR(__xludf.DUMMYFUNCTION("""COMPUTED_VALUE"""),"MTLSZ001076A02")</f>
        <v>MTLSZ001076A02</v>
      </c>
      <c r="I4144" s="2">
        <f ca="1">IFERROR(__xludf.DUMMYFUNCTION("""COMPUTED_VALUE"""),37622)</f>
        <v>37622</v>
      </c>
      <c r="J4144" s="2">
        <f ca="1">IFERROR(__xludf.DUMMYFUNCTION("""COMPUTED_VALUE"""),37986)</f>
        <v>37986</v>
      </c>
    </row>
    <row r="4145" spans="1:10" x14ac:dyDescent="0.25">
      <c r="A4145" s="1" t="str">
        <f ca="1">IFERROR(__xludf.DUMMYFUNCTION("""COMPUTED_VALUE"""),"#N/A")</f>
        <v>#N/A</v>
      </c>
      <c r="B4145" s="1" t="str">
        <f ca="1">IFERROR(__xludf.DUMMYFUNCTION("""COMPUTED_VALUE"""),"Boglári Gábor")</f>
        <v>Boglári Gábor</v>
      </c>
      <c r="C4145" s="1"/>
      <c r="D4145" s="1" t="str">
        <f ca="1">IFERROR(__xludf.DUMMYFUNCTION("""COMPUTED_VALUE"""),"Férfi")</f>
        <v>Férfi</v>
      </c>
      <c r="E4145" s="1"/>
      <c r="F4145" s="1">
        <f ca="1">IFERROR(__xludf.DUMMYFUNCTION("""COMPUTED_VALUE"""),1966)</f>
        <v>1966</v>
      </c>
      <c r="G4145" s="1">
        <f ca="1">IFERROR(__xludf.DUMMYFUNCTION("""COMPUTED_VALUE"""),95)</f>
        <v>95</v>
      </c>
      <c r="H4145" s="1" t="str">
        <f ca="1">IFERROR(__xludf.DUMMYFUNCTION("""COMPUTED_VALUE"""),"MTLSZ000095A02")</f>
        <v>MTLSZ000095A02</v>
      </c>
      <c r="I4145" s="2">
        <f ca="1">IFERROR(__xludf.DUMMYFUNCTION("""COMPUTED_VALUE"""),37622)</f>
        <v>37622</v>
      </c>
      <c r="J4145" s="2">
        <f ca="1">IFERROR(__xludf.DUMMYFUNCTION("""COMPUTED_VALUE"""),37986)</f>
        <v>37986</v>
      </c>
    </row>
    <row r="4146" spans="1:10" x14ac:dyDescent="0.25">
      <c r="A4146" s="1" t="str">
        <f ca="1">IFERROR(__xludf.DUMMYFUNCTION("""COMPUTED_VALUE"""),"#N/A")</f>
        <v>#N/A</v>
      </c>
      <c r="B4146" s="1" t="str">
        <f ca="1">IFERROR(__xludf.DUMMYFUNCTION("""COMPUTED_VALUE"""),"Könyves Ágnes")</f>
        <v>Könyves Ágnes</v>
      </c>
      <c r="C4146" s="1"/>
      <c r="D4146" s="1" t="str">
        <f ca="1">IFERROR(__xludf.DUMMYFUNCTION("""COMPUTED_VALUE"""),"Nő")</f>
        <v>Nő</v>
      </c>
      <c r="E4146" s="1"/>
      <c r="F4146" s="1">
        <f ca="1">IFERROR(__xludf.DUMMYFUNCTION("""COMPUTED_VALUE"""),1980)</f>
        <v>1980</v>
      </c>
      <c r="G4146" s="1">
        <f ca="1">IFERROR(__xludf.DUMMYFUNCTION("""COMPUTED_VALUE"""),558)</f>
        <v>558</v>
      </c>
      <c r="H4146" s="1" t="str">
        <f ca="1">IFERROR(__xludf.DUMMYFUNCTION("""COMPUTED_VALUE"""),"MTLSZ000558A02")</f>
        <v>MTLSZ000558A02</v>
      </c>
      <c r="I4146" s="2">
        <f ca="1">IFERROR(__xludf.DUMMYFUNCTION("""COMPUTED_VALUE"""),37622)</f>
        <v>37622</v>
      </c>
      <c r="J4146" s="2">
        <f ca="1">IFERROR(__xludf.DUMMYFUNCTION("""COMPUTED_VALUE"""),37986)</f>
        <v>37986</v>
      </c>
    </row>
    <row r="4147" spans="1:10" x14ac:dyDescent="0.25">
      <c r="A4147" s="1" t="str">
        <f ca="1">IFERROR(__xludf.DUMMYFUNCTION("""COMPUTED_VALUE"""),"#N/A")</f>
        <v>#N/A</v>
      </c>
      <c r="B4147" s="1" t="str">
        <f ca="1">IFERROR(__xludf.DUMMYFUNCTION("""COMPUTED_VALUE"""),"Kremsberger Andrea")</f>
        <v>Kremsberger Andrea</v>
      </c>
      <c r="C4147" s="1"/>
      <c r="D4147" s="1" t="str">
        <f ca="1">IFERROR(__xludf.DUMMYFUNCTION("""COMPUTED_VALUE"""),"Nő")</f>
        <v>Nő</v>
      </c>
      <c r="E4147" s="1"/>
      <c r="F4147" s="1">
        <f ca="1">IFERROR(__xludf.DUMMYFUNCTION("""COMPUTED_VALUE"""),1965)</f>
        <v>1965</v>
      </c>
      <c r="G4147" s="1">
        <f ca="1">IFERROR(__xludf.DUMMYFUNCTION("""COMPUTED_VALUE"""),547)</f>
        <v>547</v>
      </c>
      <c r="H4147" s="1" t="str">
        <f ca="1">IFERROR(__xludf.DUMMYFUNCTION("""COMPUTED_VALUE"""),"MTLSZ000547A02")</f>
        <v>MTLSZ000547A02</v>
      </c>
      <c r="I4147" s="2">
        <f ca="1">IFERROR(__xludf.DUMMYFUNCTION("""COMPUTED_VALUE"""),37622)</f>
        <v>37622</v>
      </c>
      <c r="J4147" s="2">
        <f ca="1">IFERROR(__xludf.DUMMYFUNCTION("""COMPUTED_VALUE"""),37986)</f>
        <v>37986</v>
      </c>
    </row>
    <row r="4148" spans="1:10" x14ac:dyDescent="0.25">
      <c r="A4148" s="1" t="str">
        <f ca="1">IFERROR(__xludf.DUMMYFUNCTION("""COMPUTED_VALUE"""),"#N/A")</f>
        <v>#N/A</v>
      </c>
      <c r="B4148" s="1" t="str">
        <f ca="1">IFERROR(__xludf.DUMMYFUNCTION("""COMPUTED_VALUE"""),"Kulcsár János")</f>
        <v>Kulcsár János</v>
      </c>
      <c r="C4148" s="1"/>
      <c r="D4148" s="1" t="str">
        <f ca="1">IFERROR(__xludf.DUMMYFUNCTION("""COMPUTED_VALUE"""),"Férfi")</f>
        <v>Férfi</v>
      </c>
      <c r="E4148" s="1"/>
      <c r="F4148" s="1">
        <f ca="1">IFERROR(__xludf.DUMMYFUNCTION("""COMPUTED_VALUE"""),1971)</f>
        <v>1971</v>
      </c>
      <c r="G4148" s="1">
        <f ca="1">IFERROR(__xludf.DUMMYFUNCTION("""COMPUTED_VALUE"""),551)</f>
        <v>551</v>
      </c>
      <c r="H4148" s="1" t="str">
        <f ca="1">IFERROR(__xludf.DUMMYFUNCTION("""COMPUTED_VALUE"""),"MTLSZ000551A02")</f>
        <v>MTLSZ000551A02</v>
      </c>
      <c r="I4148" s="2">
        <f ca="1">IFERROR(__xludf.DUMMYFUNCTION("""COMPUTED_VALUE"""),37622)</f>
        <v>37622</v>
      </c>
      <c r="J4148" s="2">
        <f ca="1">IFERROR(__xludf.DUMMYFUNCTION("""COMPUTED_VALUE"""),37986)</f>
        <v>37986</v>
      </c>
    </row>
    <row r="4149" spans="1:10" x14ac:dyDescent="0.25">
      <c r="A4149" s="1" t="str">
        <f ca="1">IFERROR(__xludf.DUMMYFUNCTION("""COMPUTED_VALUE"""),"#N/A")</f>
        <v>#N/A</v>
      </c>
      <c r="B4149" s="1" t="str">
        <f ca="1">IFERROR(__xludf.DUMMYFUNCTION("""COMPUTED_VALUE"""),"Mike Zoltán")</f>
        <v>Mike Zoltán</v>
      </c>
      <c r="C4149" s="1"/>
      <c r="D4149" s="1" t="str">
        <f ca="1">IFERROR(__xludf.DUMMYFUNCTION("""COMPUTED_VALUE"""),"Férfi")</f>
        <v>Férfi</v>
      </c>
      <c r="E4149" s="1"/>
      <c r="F4149" s="1">
        <f ca="1">IFERROR(__xludf.DUMMYFUNCTION("""COMPUTED_VALUE"""),1977)</f>
        <v>1977</v>
      </c>
      <c r="G4149" s="1">
        <f ca="1">IFERROR(__xludf.DUMMYFUNCTION("""COMPUTED_VALUE"""),646)</f>
        <v>646</v>
      </c>
      <c r="H4149" s="1" t="str">
        <f ca="1">IFERROR(__xludf.DUMMYFUNCTION("""COMPUTED_VALUE"""),"MTLSZ000646A02")</f>
        <v>MTLSZ000646A02</v>
      </c>
      <c r="I4149" s="2">
        <f ca="1">IFERROR(__xludf.DUMMYFUNCTION("""COMPUTED_VALUE"""),37622)</f>
        <v>37622</v>
      </c>
      <c r="J4149" s="2">
        <f ca="1">IFERROR(__xludf.DUMMYFUNCTION("""COMPUTED_VALUE"""),37986)</f>
        <v>37986</v>
      </c>
    </row>
    <row r="4150" spans="1:10" x14ac:dyDescent="0.25">
      <c r="A4150" s="1" t="str">
        <f ca="1">IFERROR(__xludf.DUMMYFUNCTION("""COMPUTED_VALUE"""),"#N/A")</f>
        <v>#N/A</v>
      </c>
      <c r="B4150" s="1" t="str">
        <f ca="1">IFERROR(__xludf.DUMMYFUNCTION("""COMPUTED_VALUE"""),"Tomozer Anett")</f>
        <v>Tomozer Anett</v>
      </c>
      <c r="C4150" s="1"/>
      <c r="D4150" s="1" t="str">
        <f ca="1">IFERROR(__xludf.DUMMYFUNCTION("""COMPUTED_VALUE"""),"Nő")</f>
        <v>Nő</v>
      </c>
      <c r="E4150" s="1"/>
      <c r="F4150" s="1">
        <f ca="1">IFERROR(__xludf.DUMMYFUNCTION("""COMPUTED_VALUE"""),1972)</f>
        <v>1972</v>
      </c>
      <c r="G4150" s="1">
        <f ca="1">IFERROR(__xludf.DUMMYFUNCTION("""COMPUTED_VALUE"""),1018)</f>
        <v>1018</v>
      </c>
      <c r="H4150" s="1" t="str">
        <f ca="1">IFERROR(__xludf.DUMMYFUNCTION("""COMPUTED_VALUE"""),"MTLSZ001018A02")</f>
        <v>MTLSZ001018A02</v>
      </c>
      <c r="I4150" s="2">
        <f ca="1">IFERROR(__xludf.DUMMYFUNCTION("""COMPUTED_VALUE"""),37622)</f>
        <v>37622</v>
      </c>
      <c r="J4150" s="2">
        <f ca="1">IFERROR(__xludf.DUMMYFUNCTION("""COMPUTED_VALUE"""),37986)</f>
        <v>37986</v>
      </c>
    </row>
    <row r="4151" spans="1:10" x14ac:dyDescent="0.25">
      <c r="A4151" s="1" t="str">
        <f ca="1">IFERROR(__xludf.DUMMYFUNCTION("""COMPUTED_VALUE"""),"Pedagógus Fáklya SE")</f>
        <v>Pedagógus Fáklya SE</v>
      </c>
      <c r="B4151" s="1" t="str">
        <f ca="1">IFERROR(__xludf.DUMMYFUNCTION("""COMPUTED_VALUE"""),"Borbély Gyöngyi")</f>
        <v>Borbély Gyöngyi</v>
      </c>
      <c r="C4151" s="1"/>
      <c r="D4151" s="1" t="str">
        <f ca="1">IFERROR(__xludf.DUMMYFUNCTION("""COMPUTED_VALUE"""),"Nő")</f>
        <v>Nő</v>
      </c>
      <c r="E4151" s="1"/>
      <c r="F4151" s="1">
        <f ca="1">IFERROR(__xludf.DUMMYFUNCTION("""COMPUTED_VALUE"""),2000)</f>
        <v>2000</v>
      </c>
      <c r="G4151" s="1">
        <f ca="1">IFERROR(__xludf.DUMMYFUNCTION("""COMPUTED_VALUE"""),100)</f>
        <v>100</v>
      </c>
      <c r="H4151" s="1" t="str">
        <f ca="1">IFERROR(__xludf.DUMMYFUNCTION("""COMPUTED_VALUE"""),"MTLSZ000100A02")</f>
        <v>MTLSZ000100A02</v>
      </c>
      <c r="I4151" s="2">
        <f ca="1">IFERROR(__xludf.DUMMYFUNCTION("""COMPUTED_VALUE"""),37622)</f>
        <v>37622</v>
      </c>
      <c r="J4151" s="2">
        <f ca="1">IFERROR(__xludf.DUMMYFUNCTION("""COMPUTED_VALUE"""),37986)</f>
        <v>37986</v>
      </c>
    </row>
    <row r="4152" spans="1:10" x14ac:dyDescent="0.25">
      <c r="A4152" s="1" t="str">
        <f ca="1">IFERROR(__xludf.DUMMYFUNCTION("""COMPUTED_VALUE"""),"Pedagógus Fáklya SE")</f>
        <v>Pedagógus Fáklya SE</v>
      </c>
      <c r="B4152" s="1" t="str">
        <f ca="1">IFERROR(__xludf.DUMMYFUNCTION("""COMPUTED_VALUE"""),"Csiszár Krisztián")</f>
        <v>Csiszár Krisztián</v>
      </c>
      <c r="C4152" s="1"/>
      <c r="D4152" s="1" t="str">
        <f ca="1">IFERROR(__xludf.DUMMYFUNCTION("""COMPUTED_VALUE"""),"Férfi")</f>
        <v>Férfi</v>
      </c>
      <c r="E4152" s="1"/>
      <c r="F4152" s="1">
        <f ca="1">IFERROR(__xludf.DUMMYFUNCTION("""COMPUTED_VALUE"""),2000)</f>
        <v>2000</v>
      </c>
      <c r="G4152" s="1">
        <f ca="1">IFERROR(__xludf.DUMMYFUNCTION("""COMPUTED_VALUE"""),148)</f>
        <v>148</v>
      </c>
      <c r="H4152" s="1" t="str">
        <f ca="1">IFERROR(__xludf.DUMMYFUNCTION("""COMPUTED_VALUE"""),"MTLSZ000148A02")</f>
        <v>MTLSZ000148A02</v>
      </c>
      <c r="I4152" s="2">
        <f ca="1">IFERROR(__xludf.DUMMYFUNCTION("""COMPUTED_VALUE"""),37622)</f>
        <v>37622</v>
      </c>
      <c r="J4152" s="2">
        <f ca="1">IFERROR(__xludf.DUMMYFUNCTION("""COMPUTED_VALUE"""),37986)</f>
        <v>37986</v>
      </c>
    </row>
    <row r="4153" spans="1:10" x14ac:dyDescent="0.25">
      <c r="A4153" s="1" t="str">
        <f ca="1">IFERROR(__xludf.DUMMYFUNCTION("""COMPUTED_VALUE"""),"Pedagógus Fáklya SE")</f>
        <v>Pedagógus Fáklya SE</v>
      </c>
      <c r="B4153" s="1" t="str">
        <f ca="1">IFERROR(__xludf.DUMMYFUNCTION("""COMPUTED_VALUE"""),"Gönczi Emese")</f>
        <v>Gönczi Emese</v>
      </c>
      <c r="C4153" s="1"/>
      <c r="D4153" s="1" t="str">
        <f ca="1">IFERROR(__xludf.DUMMYFUNCTION("""COMPUTED_VALUE"""),"Nő")</f>
        <v>Nő</v>
      </c>
      <c r="E4153" s="1"/>
      <c r="F4153" s="1">
        <f ca="1">IFERROR(__xludf.DUMMYFUNCTION("""COMPUTED_VALUE"""),1968)</f>
        <v>1968</v>
      </c>
      <c r="G4153" s="1">
        <f ca="1">IFERROR(__xludf.DUMMYFUNCTION("""COMPUTED_VALUE"""),329)</f>
        <v>329</v>
      </c>
      <c r="H4153" s="1" t="str">
        <f ca="1">IFERROR(__xludf.DUMMYFUNCTION("""COMPUTED_VALUE"""),"MTLSZ000329A02")</f>
        <v>MTLSZ000329A02</v>
      </c>
      <c r="I4153" s="2">
        <f ca="1">IFERROR(__xludf.DUMMYFUNCTION("""COMPUTED_VALUE"""),37622)</f>
        <v>37622</v>
      </c>
      <c r="J4153" s="2">
        <f ca="1">IFERROR(__xludf.DUMMYFUNCTION("""COMPUTED_VALUE"""),37986)</f>
        <v>37986</v>
      </c>
    </row>
    <row r="4154" spans="1:10" x14ac:dyDescent="0.25">
      <c r="A4154" s="1" t="str">
        <f ca="1">IFERROR(__xludf.DUMMYFUNCTION("""COMPUTED_VALUE"""),"Pedagógus Fáklya SE")</f>
        <v>Pedagógus Fáklya SE</v>
      </c>
      <c r="B4154" s="1" t="str">
        <f ca="1">IFERROR(__xludf.DUMMYFUNCTION("""COMPUTED_VALUE"""),"Grigore-Radu Carlan")</f>
        <v>Grigore-Radu Carlan</v>
      </c>
      <c r="C4154" s="1"/>
      <c r="D4154" s="1" t="str">
        <f ca="1">IFERROR(__xludf.DUMMYFUNCTION("""COMPUTED_VALUE"""),"Férfi")</f>
        <v>Férfi</v>
      </c>
      <c r="E4154" s="1"/>
      <c r="F4154" s="1">
        <f ca="1">IFERROR(__xludf.DUMMYFUNCTION("""COMPUTED_VALUE"""),1982)</f>
        <v>1982</v>
      </c>
      <c r="G4154" s="1">
        <f ca="1">IFERROR(__xludf.DUMMYFUNCTION("""COMPUTED_VALUE"""),305)</f>
        <v>305</v>
      </c>
      <c r="H4154" s="1" t="str">
        <f ca="1">IFERROR(__xludf.DUMMYFUNCTION("""COMPUTED_VALUE"""),"MTLSZ000305A02")</f>
        <v>MTLSZ000305A02</v>
      </c>
      <c r="I4154" s="2">
        <f ca="1">IFERROR(__xludf.DUMMYFUNCTION("""COMPUTED_VALUE"""),37622)</f>
        <v>37622</v>
      </c>
      <c r="J4154" s="2">
        <f ca="1">IFERROR(__xludf.DUMMYFUNCTION("""COMPUTED_VALUE"""),37986)</f>
        <v>37986</v>
      </c>
    </row>
    <row r="4155" spans="1:10" x14ac:dyDescent="0.25">
      <c r="A4155" s="1" t="str">
        <f ca="1">IFERROR(__xludf.DUMMYFUNCTION("""COMPUTED_VALUE"""),"Pedagógus Fáklya SE")</f>
        <v>Pedagógus Fáklya SE</v>
      </c>
      <c r="B4155" s="1" t="str">
        <f ca="1">IFERROR(__xludf.DUMMYFUNCTION("""COMPUTED_VALUE"""),"Katona Attila")</f>
        <v>Katona Attila</v>
      </c>
      <c r="C4155" s="1"/>
      <c r="D4155" s="1" t="str">
        <f ca="1">IFERROR(__xludf.DUMMYFUNCTION("""COMPUTED_VALUE"""),"Férfi")</f>
        <v>Férfi</v>
      </c>
      <c r="E4155" s="1"/>
      <c r="F4155" s="1">
        <f ca="1">IFERROR(__xludf.DUMMYFUNCTION("""COMPUTED_VALUE"""),2000)</f>
        <v>2000</v>
      </c>
      <c r="G4155" s="1">
        <f ca="1">IFERROR(__xludf.DUMMYFUNCTION("""COMPUTED_VALUE"""),444)</f>
        <v>444</v>
      </c>
      <c r="H4155" s="1" t="str">
        <f ca="1">IFERROR(__xludf.DUMMYFUNCTION("""COMPUTED_VALUE"""),"MTLSZ000444A02")</f>
        <v>MTLSZ000444A02</v>
      </c>
      <c r="I4155" s="2">
        <f ca="1">IFERROR(__xludf.DUMMYFUNCTION("""COMPUTED_VALUE"""),37622)</f>
        <v>37622</v>
      </c>
      <c r="J4155" s="2">
        <f ca="1">IFERROR(__xludf.DUMMYFUNCTION("""COMPUTED_VALUE"""),37986)</f>
        <v>37986</v>
      </c>
    </row>
    <row r="4156" spans="1:10" x14ac:dyDescent="0.25">
      <c r="A4156" s="1" t="str">
        <f ca="1">IFERROR(__xludf.DUMMYFUNCTION("""COMPUTED_VALUE"""),"Pedagógus Fáklya SE")</f>
        <v>Pedagógus Fáklya SE</v>
      </c>
      <c r="B4156" s="1" t="str">
        <f ca="1">IFERROR(__xludf.DUMMYFUNCTION("""COMPUTED_VALUE"""),"Kovács István")</f>
        <v>Kovács István</v>
      </c>
      <c r="C4156" s="1"/>
      <c r="D4156" s="1" t="str">
        <f ca="1">IFERROR(__xludf.DUMMYFUNCTION("""COMPUTED_VALUE"""),"Férfi")</f>
        <v>Férfi</v>
      </c>
      <c r="E4156" s="1"/>
      <c r="F4156" s="1">
        <f ca="1">IFERROR(__xludf.DUMMYFUNCTION("""COMPUTED_VALUE"""),2000)</f>
        <v>2000</v>
      </c>
      <c r="G4156" s="1">
        <f ca="1">IFERROR(__xludf.DUMMYFUNCTION("""COMPUTED_VALUE"""),1157)</f>
        <v>1157</v>
      </c>
      <c r="H4156" s="1" t="str">
        <f ca="1">IFERROR(__xludf.DUMMYFUNCTION("""COMPUTED_VALUE"""),"MTLSZ001157A02")</f>
        <v>MTLSZ001157A02</v>
      </c>
      <c r="I4156" s="2">
        <f ca="1">IFERROR(__xludf.DUMMYFUNCTION("""COMPUTED_VALUE"""),37622)</f>
        <v>37622</v>
      </c>
      <c r="J4156" s="2">
        <f ca="1">IFERROR(__xludf.DUMMYFUNCTION("""COMPUTED_VALUE"""),37986)</f>
        <v>37986</v>
      </c>
    </row>
    <row r="4157" spans="1:10" x14ac:dyDescent="0.25">
      <c r="A4157" s="1" t="str">
        <f ca="1">IFERROR(__xludf.DUMMYFUNCTION("""COMPUTED_VALUE"""),"Pedagógus Fáklya SE")</f>
        <v>Pedagógus Fáklya SE</v>
      </c>
      <c r="B4157" s="1" t="str">
        <f ca="1">IFERROR(__xludf.DUMMYFUNCTION("""COMPUTED_VALUE"""),"Loós Gyula")</f>
        <v>Loós Gyula</v>
      </c>
      <c r="C4157" s="1"/>
      <c r="D4157" s="1" t="str">
        <f ca="1">IFERROR(__xludf.DUMMYFUNCTION("""COMPUTED_VALUE"""),"Férfi")</f>
        <v>Férfi</v>
      </c>
      <c r="E4157" s="1"/>
      <c r="F4157" s="1">
        <f ca="1">IFERROR(__xludf.DUMMYFUNCTION("""COMPUTED_VALUE"""),2000)</f>
        <v>2000</v>
      </c>
      <c r="G4157" s="1">
        <f ca="1">IFERROR(__xludf.DUMMYFUNCTION("""COMPUTED_VALUE"""),593)</f>
        <v>593</v>
      </c>
      <c r="H4157" s="1" t="str">
        <f ca="1">IFERROR(__xludf.DUMMYFUNCTION("""COMPUTED_VALUE"""),"MTLSZ000593A02")</f>
        <v>MTLSZ000593A02</v>
      </c>
      <c r="I4157" s="2">
        <f ca="1">IFERROR(__xludf.DUMMYFUNCTION("""COMPUTED_VALUE"""),37622)</f>
        <v>37622</v>
      </c>
      <c r="J4157" s="2">
        <f ca="1">IFERROR(__xludf.DUMMYFUNCTION("""COMPUTED_VALUE"""),37986)</f>
        <v>37986</v>
      </c>
    </row>
    <row r="4158" spans="1:10" x14ac:dyDescent="0.25">
      <c r="A4158" s="1" t="str">
        <f ca="1">IFERROR(__xludf.DUMMYFUNCTION("""COMPUTED_VALUE"""),"Pedagógus Fáklya SE")</f>
        <v>Pedagógus Fáklya SE</v>
      </c>
      <c r="B4158" s="1" t="str">
        <f ca="1">IFERROR(__xludf.DUMMYFUNCTION("""COMPUTED_VALUE"""),"Nádassdy Zsolt")</f>
        <v>Nádassdy Zsolt</v>
      </c>
      <c r="C4158" s="1"/>
      <c r="D4158" s="1" t="str">
        <f ca="1">IFERROR(__xludf.DUMMYFUNCTION("""COMPUTED_VALUE"""),"Férfi")</f>
        <v>Férfi</v>
      </c>
      <c r="E4158" s="1"/>
      <c r="F4158" s="1">
        <f ca="1">IFERROR(__xludf.DUMMYFUNCTION("""COMPUTED_VALUE"""),1965)</f>
        <v>1965</v>
      </c>
      <c r="G4158" s="1">
        <f ca="1">IFERROR(__xludf.DUMMYFUNCTION("""COMPUTED_VALUE"""),676)</f>
        <v>676</v>
      </c>
      <c r="H4158" s="1" t="str">
        <f ca="1">IFERROR(__xludf.DUMMYFUNCTION("""COMPUTED_VALUE"""),"MTLSZ000676A02")</f>
        <v>MTLSZ000676A02</v>
      </c>
      <c r="I4158" s="2">
        <f ca="1">IFERROR(__xludf.DUMMYFUNCTION("""COMPUTED_VALUE"""),37622)</f>
        <v>37622</v>
      </c>
      <c r="J4158" s="2">
        <f ca="1">IFERROR(__xludf.DUMMYFUNCTION("""COMPUTED_VALUE"""),37986)</f>
        <v>37986</v>
      </c>
    </row>
    <row r="4159" spans="1:10" x14ac:dyDescent="0.25">
      <c r="A4159" s="1" t="str">
        <f ca="1">IFERROR(__xludf.DUMMYFUNCTION("""COMPUTED_VALUE"""),"Pedagógus Fáklya SE")</f>
        <v>Pedagógus Fáklya SE</v>
      </c>
      <c r="B4159" s="1" t="str">
        <f ca="1">IFERROR(__xludf.DUMMYFUNCTION("""COMPUTED_VALUE"""),"Ökrös Katalin")</f>
        <v>Ökrös Katalin</v>
      </c>
      <c r="C4159" s="1"/>
      <c r="D4159" s="1" t="str">
        <f ca="1">IFERROR(__xludf.DUMMYFUNCTION("""COMPUTED_VALUE"""),"Nő")</f>
        <v>Nő</v>
      </c>
      <c r="E4159" s="1"/>
      <c r="F4159" s="1">
        <f ca="1">IFERROR(__xludf.DUMMYFUNCTION("""COMPUTED_VALUE"""),2000)</f>
        <v>2000</v>
      </c>
      <c r="G4159" s="1">
        <f ca="1">IFERROR(__xludf.DUMMYFUNCTION("""COMPUTED_VALUE"""),1156)</f>
        <v>1156</v>
      </c>
      <c r="H4159" s="1" t="str">
        <f ca="1">IFERROR(__xludf.DUMMYFUNCTION("""COMPUTED_VALUE"""),"MTLSZ001156A02")</f>
        <v>MTLSZ001156A02</v>
      </c>
      <c r="I4159" s="2">
        <f ca="1">IFERROR(__xludf.DUMMYFUNCTION("""COMPUTED_VALUE"""),37622)</f>
        <v>37622</v>
      </c>
      <c r="J4159" s="2">
        <f ca="1">IFERROR(__xludf.DUMMYFUNCTION("""COMPUTED_VALUE"""),37986)</f>
        <v>37986</v>
      </c>
    </row>
    <row r="4160" spans="1:10" x14ac:dyDescent="0.25">
      <c r="A4160" s="1" t="str">
        <f ca="1">IFERROR(__xludf.DUMMYFUNCTION("""COMPUTED_VALUE"""),"Pedagógus Fáklya SE")</f>
        <v>Pedagógus Fáklya SE</v>
      </c>
      <c r="B4160" s="1" t="str">
        <f ca="1">IFERROR(__xludf.DUMMYFUNCTION("""COMPUTED_VALUE"""),"Palczert János")</f>
        <v>Palczert János</v>
      </c>
      <c r="C4160" s="1"/>
      <c r="D4160" s="1" t="str">
        <f ca="1">IFERROR(__xludf.DUMMYFUNCTION("""COMPUTED_VALUE"""),"Férfi")</f>
        <v>Férfi</v>
      </c>
      <c r="E4160" s="1"/>
      <c r="F4160" s="1">
        <f ca="1">IFERROR(__xludf.DUMMYFUNCTION("""COMPUTED_VALUE"""),2000)</f>
        <v>2000</v>
      </c>
      <c r="G4160" s="1">
        <f ca="1">IFERROR(__xludf.DUMMYFUNCTION("""COMPUTED_VALUE"""),734)</f>
        <v>734</v>
      </c>
      <c r="H4160" s="1" t="str">
        <f ca="1">IFERROR(__xludf.DUMMYFUNCTION("""COMPUTED_VALUE"""),"MTLSZ000734A02")</f>
        <v>MTLSZ000734A02</v>
      </c>
      <c r="I4160" s="2">
        <f ca="1">IFERROR(__xludf.DUMMYFUNCTION("""COMPUTED_VALUE"""),37622)</f>
        <v>37622</v>
      </c>
      <c r="J4160" s="2">
        <f ca="1">IFERROR(__xludf.DUMMYFUNCTION("""COMPUTED_VALUE"""),37986)</f>
        <v>37986</v>
      </c>
    </row>
    <row r="4161" spans="1:10" x14ac:dyDescent="0.25">
      <c r="A4161" s="1" t="str">
        <f ca="1">IFERROR(__xludf.DUMMYFUNCTION("""COMPUTED_VALUE"""),"Pedagógus Fáklya SE")</f>
        <v>Pedagógus Fáklya SE</v>
      </c>
      <c r="B4161" s="1" t="str">
        <f ca="1">IFERROR(__xludf.DUMMYFUNCTION("""COMPUTED_VALUE"""),"Szilágyi Attila")</f>
        <v>Szilágyi Attila</v>
      </c>
      <c r="C4161" s="1"/>
      <c r="D4161" s="1" t="str">
        <f ca="1">IFERROR(__xludf.DUMMYFUNCTION("""COMPUTED_VALUE"""),"Férfi")</f>
        <v>Férfi</v>
      </c>
      <c r="E4161" s="1"/>
      <c r="F4161" s="1">
        <f ca="1">IFERROR(__xludf.DUMMYFUNCTION("""COMPUTED_VALUE"""),2000)</f>
        <v>2000</v>
      </c>
      <c r="G4161" s="1">
        <f ca="1">IFERROR(__xludf.DUMMYFUNCTION("""COMPUTED_VALUE"""),953)</f>
        <v>953</v>
      </c>
      <c r="H4161" s="1" t="str">
        <f ca="1">IFERROR(__xludf.DUMMYFUNCTION("""COMPUTED_VALUE"""),"MTLSZ000953A02")</f>
        <v>MTLSZ000953A02</v>
      </c>
      <c r="I4161" s="2">
        <f ca="1">IFERROR(__xludf.DUMMYFUNCTION("""COMPUTED_VALUE"""),37622)</f>
        <v>37622</v>
      </c>
      <c r="J4161" s="2">
        <f ca="1">IFERROR(__xludf.DUMMYFUNCTION("""COMPUTED_VALUE"""),37986)</f>
        <v>37986</v>
      </c>
    </row>
    <row r="4162" spans="1:10" x14ac:dyDescent="0.25">
      <c r="A4162" s="1" t="str">
        <f ca="1">IFERROR(__xludf.DUMMYFUNCTION("""COMPUTED_VALUE"""),"Pedagógus Fáklya SE")</f>
        <v>Pedagógus Fáklya SE</v>
      </c>
      <c r="B4162" s="1" t="str">
        <f ca="1">IFERROR(__xludf.DUMMYFUNCTION("""COMPUTED_VALUE"""),"Szilágyi Győző")</f>
        <v>Szilágyi Győző</v>
      </c>
      <c r="C4162" s="1"/>
      <c r="D4162" s="1" t="str">
        <f ca="1">IFERROR(__xludf.DUMMYFUNCTION("""COMPUTED_VALUE"""),"Férfi")</f>
        <v>Férfi</v>
      </c>
      <c r="E4162" s="1"/>
      <c r="F4162" s="1">
        <f ca="1">IFERROR(__xludf.DUMMYFUNCTION("""COMPUTED_VALUE"""),2000)</f>
        <v>2000</v>
      </c>
      <c r="G4162" s="1">
        <f ca="1">IFERROR(__xludf.DUMMYFUNCTION("""COMPUTED_VALUE"""),955)</f>
        <v>955</v>
      </c>
      <c r="H4162" s="1" t="str">
        <f ca="1">IFERROR(__xludf.DUMMYFUNCTION("""COMPUTED_VALUE"""),"MTLSZ000955A02")</f>
        <v>MTLSZ000955A02</v>
      </c>
      <c r="I4162" s="2">
        <f ca="1">IFERROR(__xludf.DUMMYFUNCTION("""COMPUTED_VALUE"""),37622)</f>
        <v>37622</v>
      </c>
      <c r="J4162" s="2">
        <f ca="1">IFERROR(__xludf.DUMMYFUNCTION("""COMPUTED_VALUE"""),37986)</f>
        <v>37986</v>
      </c>
    </row>
    <row r="4163" spans="1:10" x14ac:dyDescent="0.25">
      <c r="A4163" s="1" t="str">
        <f ca="1">IFERROR(__xludf.DUMMYFUNCTION("""COMPUTED_VALUE"""),"Pedagógus Fáklya SE")</f>
        <v>Pedagógus Fáklya SE</v>
      </c>
      <c r="B4163" s="1" t="str">
        <f ca="1">IFERROR(__xludf.DUMMYFUNCTION("""COMPUTED_VALUE"""),"Szincsák Tímea")</f>
        <v>Szincsák Tímea</v>
      </c>
      <c r="C4163" s="1"/>
      <c r="D4163" s="1" t="str">
        <f ca="1">IFERROR(__xludf.DUMMYFUNCTION("""COMPUTED_VALUE"""),"Nő")</f>
        <v>Nő</v>
      </c>
      <c r="E4163" s="1"/>
      <c r="F4163" s="1">
        <f ca="1">IFERROR(__xludf.DUMMYFUNCTION("""COMPUTED_VALUE"""),1968)</f>
        <v>1968</v>
      </c>
      <c r="G4163" s="1">
        <f ca="1">IFERROR(__xludf.DUMMYFUNCTION("""COMPUTED_VALUE"""),956)</f>
        <v>956</v>
      </c>
      <c r="H4163" s="1" t="str">
        <f ca="1">IFERROR(__xludf.DUMMYFUNCTION("""COMPUTED_VALUE"""),"MTLSZ000956A02")</f>
        <v>MTLSZ000956A02</v>
      </c>
      <c r="I4163" s="2">
        <f ca="1">IFERROR(__xludf.DUMMYFUNCTION("""COMPUTED_VALUE"""),37622)</f>
        <v>37622</v>
      </c>
      <c r="J4163" s="2">
        <f ca="1">IFERROR(__xludf.DUMMYFUNCTION("""COMPUTED_VALUE"""),37986)</f>
        <v>37986</v>
      </c>
    </row>
    <row r="4164" spans="1:10" x14ac:dyDescent="0.25">
      <c r="A4164" s="1" t="str">
        <f ca="1">IFERROR(__xludf.DUMMYFUNCTION("""COMPUTED_VALUE"""),"Pedagógus Fáklya SE")</f>
        <v>Pedagógus Fáklya SE</v>
      </c>
      <c r="B4164" s="1" t="str">
        <f ca="1">IFERROR(__xludf.DUMMYFUNCTION("""COMPUTED_VALUE"""),"Tompos Lóránd")</f>
        <v>Tompos Lóránd</v>
      </c>
      <c r="C4164" s="1"/>
      <c r="D4164" s="1" t="str">
        <f ca="1">IFERROR(__xludf.DUMMYFUNCTION("""COMPUTED_VALUE"""),"Férfi")</f>
        <v>Férfi</v>
      </c>
      <c r="E4164" s="1"/>
      <c r="F4164" s="1">
        <f ca="1">IFERROR(__xludf.DUMMYFUNCTION("""COMPUTED_VALUE"""),1973)</f>
        <v>1973</v>
      </c>
      <c r="G4164" s="1">
        <f ca="1">IFERROR(__xludf.DUMMYFUNCTION("""COMPUTED_VALUE"""),1019)</f>
        <v>1019</v>
      </c>
      <c r="H4164" s="1" t="str">
        <f ca="1">IFERROR(__xludf.DUMMYFUNCTION("""COMPUTED_VALUE"""),"MTLSZ001019A02")</f>
        <v>MTLSZ001019A02</v>
      </c>
      <c r="I4164" s="2">
        <f ca="1">IFERROR(__xludf.DUMMYFUNCTION("""COMPUTED_VALUE"""),37622)</f>
        <v>37622</v>
      </c>
      <c r="J4164" s="2">
        <f ca="1">IFERROR(__xludf.DUMMYFUNCTION("""COMPUTED_VALUE"""),37986)</f>
        <v>37986</v>
      </c>
    </row>
    <row r="4165" spans="1:10" x14ac:dyDescent="0.25">
      <c r="A4165" s="1" t="str">
        <f ca="1">IFERROR(__xludf.DUMMYFUNCTION("""COMPUTED_VALUE"""),"Pedagógus Fáklya SE")</f>
        <v>Pedagógus Fáklya SE</v>
      </c>
      <c r="B4165" s="1" t="str">
        <f ca="1">IFERROR(__xludf.DUMMYFUNCTION("""COMPUTED_VALUE"""),"Tóth Ágnes")</f>
        <v>Tóth Ágnes</v>
      </c>
      <c r="C4165" s="1"/>
      <c r="D4165" s="1" t="str">
        <f ca="1">IFERROR(__xludf.DUMMYFUNCTION("""COMPUTED_VALUE"""),"Nő")</f>
        <v>Nő</v>
      </c>
      <c r="E4165" s="1"/>
      <c r="F4165" s="1">
        <f ca="1">IFERROR(__xludf.DUMMYFUNCTION("""COMPUTED_VALUE"""),1974)</f>
        <v>1974</v>
      </c>
      <c r="G4165" s="1">
        <f ca="1">IFERROR(__xludf.DUMMYFUNCTION("""COMPUTED_VALUE"""),1024)</f>
        <v>1024</v>
      </c>
      <c r="H4165" s="1" t="str">
        <f ca="1">IFERROR(__xludf.DUMMYFUNCTION("""COMPUTED_VALUE"""),"MTLSZ001024A02")</f>
        <v>MTLSZ001024A02</v>
      </c>
      <c r="I4165" s="2">
        <f ca="1">IFERROR(__xludf.DUMMYFUNCTION("""COMPUTED_VALUE"""),37622)</f>
        <v>37622</v>
      </c>
      <c r="J4165" s="2">
        <f ca="1">IFERROR(__xludf.DUMMYFUNCTION("""COMPUTED_VALUE"""),37986)</f>
        <v>37986</v>
      </c>
    </row>
    <row r="4166" spans="1:10" x14ac:dyDescent="0.25">
      <c r="A4166" s="1" t="str">
        <f ca="1">IFERROR(__xludf.DUMMYFUNCTION("""COMPUTED_VALUE"""),"Pedagógus Fáklya SE")</f>
        <v>Pedagógus Fáklya SE</v>
      </c>
      <c r="B4166" s="1" t="str">
        <f ca="1">IFERROR(__xludf.DUMMYFUNCTION("""COMPUTED_VALUE"""),"Vári Tamás")</f>
        <v>Vári Tamás</v>
      </c>
      <c r="C4166" s="1"/>
      <c r="D4166" s="1" t="str">
        <f ca="1">IFERROR(__xludf.DUMMYFUNCTION("""COMPUTED_VALUE"""),"Férfi")</f>
        <v>Férfi</v>
      </c>
      <c r="E4166" s="1"/>
      <c r="F4166" s="1">
        <f ca="1">IFERROR(__xludf.DUMMYFUNCTION("""COMPUTED_VALUE"""),1967)</f>
        <v>1967</v>
      </c>
      <c r="G4166" s="1">
        <f ca="1">IFERROR(__xludf.DUMMYFUNCTION("""COMPUTED_VALUE"""),1102)</f>
        <v>1102</v>
      </c>
      <c r="H4166" s="1" t="str">
        <f ca="1">IFERROR(__xludf.DUMMYFUNCTION("""COMPUTED_VALUE"""),"MTLSZ001102A02")</f>
        <v>MTLSZ001102A02</v>
      </c>
      <c r="I4166" s="2">
        <f ca="1">IFERROR(__xludf.DUMMYFUNCTION("""COMPUTED_VALUE"""),37622)</f>
        <v>37622</v>
      </c>
      <c r="J4166" s="2">
        <f ca="1">IFERROR(__xludf.DUMMYFUNCTION("""COMPUTED_VALUE"""),37986)</f>
        <v>37986</v>
      </c>
    </row>
    <row r="4167" spans="1:10" x14ac:dyDescent="0.25">
      <c r="A4167" s="1" t="str">
        <f ca="1">IFERROR(__xludf.DUMMYFUNCTION("""COMPUTED_VALUE"""),"Pedagógus Fáklya SE")</f>
        <v>Pedagógus Fáklya SE</v>
      </c>
      <c r="B4167" s="1" t="str">
        <f ca="1">IFERROR(__xludf.DUMMYFUNCTION("""COMPUTED_VALUE"""),"Vizer Viola")</f>
        <v>Vizer Viola</v>
      </c>
      <c r="C4167" s="1"/>
      <c r="D4167" s="1" t="str">
        <f ca="1">IFERROR(__xludf.DUMMYFUNCTION("""COMPUTED_VALUE"""),"Nő")</f>
        <v>Nő</v>
      </c>
      <c r="E4167" s="1"/>
      <c r="F4167" s="1">
        <f ca="1">IFERROR(__xludf.DUMMYFUNCTION("""COMPUTED_VALUE"""),1975)</f>
        <v>1975</v>
      </c>
      <c r="G4167" s="1">
        <f ca="1">IFERROR(__xludf.DUMMYFUNCTION("""COMPUTED_VALUE"""),1129)</f>
        <v>1129</v>
      </c>
      <c r="H4167" s="1" t="str">
        <f ca="1">IFERROR(__xludf.DUMMYFUNCTION("""COMPUTED_VALUE"""),"MTLSZ001129A02")</f>
        <v>MTLSZ001129A02</v>
      </c>
      <c r="I4167" s="2">
        <f ca="1">IFERROR(__xludf.DUMMYFUNCTION("""COMPUTED_VALUE"""),37622)</f>
        <v>37622</v>
      </c>
      <c r="J4167" s="2">
        <f ca="1">IFERROR(__xludf.DUMMYFUNCTION("""COMPUTED_VALUE"""),37986)</f>
        <v>37986</v>
      </c>
    </row>
    <row r="4168" spans="1:10" x14ac:dyDescent="0.25">
      <c r="A4168" s="1" t="str">
        <f ca="1">IFERROR(__xludf.DUMMYFUNCTION("""COMPUTED_VALUE"""),"Reac SE")</f>
        <v>Reac SE</v>
      </c>
      <c r="B4168" s="1" t="str">
        <f ca="1">IFERROR(__xludf.DUMMYFUNCTION("""COMPUTED_VALUE"""),"Bakonyi Enikő")</f>
        <v>Bakonyi Enikő</v>
      </c>
      <c r="C4168" s="1"/>
      <c r="D4168" s="1" t="str">
        <f ca="1">IFERROR(__xludf.DUMMYFUNCTION("""COMPUTED_VALUE"""),"Nő")</f>
        <v>Nő</v>
      </c>
      <c r="E4168" s="1"/>
      <c r="F4168" s="1">
        <f ca="1">IFERROR(__xludf.DUMMYFUNCTION("""COMPUTED_VALUE"""),1984)</f>
        <v>1984</v>
      </c>
      <c r="G4168" s="1">
        <f ca="1">IFERROR(__xludf.DUMMYFUNCTION("""COMPUTED_VALUE"""),30)</f>
        <v>30</v>
      </c>
      <c r="H4168" s="1" t="str">
        <f ca="1">IFERROR(__xludf.DUMMYFUNCTION("""COMPUTED_VALUE"""),"MTLSZ000030A02")</f>
        <v>MTLSZ000030A02</v>
      </c>
      <c r="I4168" s="2">
        <f ca="1">IFERROR(__xludf.DUMMYFUNCTION("""COMPUTED_VALUE"""),37622)</f>
        <v>37622</v>
      </c>
      <c r="J4168" s="2">
        <f ca="1">IFERROR(__xludf.DUMMYFUNCTION("""COMPUTED_VALUE"""),37986)</f>
        <v>37986</v>
      </c>
    </row>
    <row r="4169" spans="1:10" x14ac:dyDescent="0.25">
      <c r="A4169" s="1" t="str">
        <f ca="1">IFERROR(__xludf.DUMMYFUNCTION("""COMPUTED_VALUE"""),"Reac SE")</f>
        <v>Reac SE</v>
      </c>
      <c r="B4169" s="1" t="str">
        <f ca="1">IFERROR(__xludf.DUMMYFUNCTION("""COMPUTED_VALUE"""),"Bura Eszter")</f>
        <v>Bura Eszter</v>
      </c>
      <c r="C4169" s="1"/>
      <c r="D4169" s="1" t="str">
        <f ca="1">IFERROR(__xludf.DUMMYFUNCTION("""COMPUTED_VALUE"""),"Nő")</f>
        <v>Nő</v>
      </c>
      <c r="E4169" s="1"/>
      <c r="F4169" s="1">
        <f ca="1">IFERROR(__xludf.DUMMYFUNCTION("""COMPUTED_VALUE"""),1983)</f>
        <v>1983</v>
      </c>
      <c r="G4169" s="1">
        <f ca="1">IFERROR(__xludf.DUMMYFUNCTION("""COMPUTED_VALUE"""),120)</f>
        <v>120</v>
      </c>
      <c r="H4169" s="1" t="str">
        <f ca="1">IFERROR(__xludf.DUMMYFUNCTION("""COMPUTED_VALUE"""),"MTLSZ000120A02")</f>
        <v>MTLSZ000120A02</v>
      </c>
      <c r="I4169" s="2">
        <f ca="1">IFERROR(__xludf.DUMMYFUNCTION("""COMPUTED_VALUE"""),37622)</f>
        <v>37622</v>
      </c>
      <c r="J4169" s="2">
        <f ca="1">IFERROR(__xludf.DUMMYFUNCTION("""COMPUTED_VALUE"""),37986)</f>
        <v>37986</v>
      </c>
    </row>
    <row r="4170" spans="1:10" x14ac:dyDescent="0.25">
      <c r="A4170" s="1" t="str">
        <f ca="1">IFERROR(__xludf.DUMMYFUNCTION("""COMPUTED_VALUE"""),"Reac SE")</f>
        <v>Reac SE</v>
      </c>
      <c r="B4170" s="1" t="str">
        <f ca="1">IFERROR(__xludf.DUMMYFUNCTION("""COMPUTED_VALUE"""),"Csorba Gábor")</f>
        <v>Csorba Gábor</v>
      </c>
      <c r="C4170" s="1"/>
      <c r="D4170" s="1" t="str">
        <f ca="1">IFERROR(__xludf.DUMMYFUNCTION("""COMPUTED_VALUE"""),"Férfi")</f>
        <v>Férfi</v>
      </c>
      <c r="E4170" s="1"/>
      <c r="F4170" s="1">
        <f ca="1">IFERROR(__xludf.DUMMYFUNCTION("""COMPUTED_VALUE"""),1983)</f>
        <v>1983</v>
      </c>
      <c r="G4170" s="1">
        <f ca="1">IFERROR(__xludf.DUMMYFUNCTION("""COMPUTED_VALUE"""),155)</f>
        <v>155</v>
      </c>
      <c r="H4170" s="1" t="str">
        <f ca="1">IFERROR(__xludf.DUMMYFUNCTION("""COMPUTED_VALUE"""),"MTLSZ000155A02")</f>
        <v>MTLSZ000155A02</v>
      </c>
      <c r="I4170" s="2">
        <f ca="1">IFERROR(__xludf.DUMMYFUNCTION("""COMPUTED_VALUE"""),37622)</f>
        <v>37622</v>
      </c>
      <c r="J4170" s="2">
        <f ca="1">IFERROR(__xludf.DUMMYFUNCTION("""COMPUTED_VALUE"""),37986)</f>
        <v>37986</v>
      </c>
    </row>
    <row r="4171" spans="1:10" x14ac:dyDescent="0.25">
      <c r="A4171" s="1" t="str">
        <f ca="1">IFERROR(__xludf.DUMMYFUNCTION("""COMPUTED_VALUE"""),"Reac SE")</f>
        <v>Reac SE</v>
      </c>
      <c r="B4171" s="1" t="str">
        <f ca="1">IFERROR(__xludf.DUMMYFUNCTION("""COMPUTED_VALUE"""),"Farkas Viktor")</f>
        <v>Farkas Viktor</v>
      </c>
      <c r="C4171" s="1"/>
      <c r="D4171" s="1" t="str">
        <f ca="1">IFERROR(__xludf.DUMMYFUNCTION("""COMPUTED_VALUE"""),"Férfi")</f>
        <v>Férfi</v>
      </c>
      <c r="E4171" s="1"/>
      <c r="F4171" s="1">
        <f ca="1">IFERROR(__xludf.DUMMYFUNCTION("""COMPUTED_VALUE"""),1985)</f>
        <v>1985</v>
      </c>
      <c r="G4171" s="1">
        <f ca="1">IFERROR(__xludf.DUMMYFUNCTION("""COMPUTED_VALUE"""),233)</f>
        <v>233</v>
      </c>
      <c r="H4171" s="1" t="str">
        <f ca="1">IFERROR(__xludf.DUMMYFUNCTION("""COMPUTED_VALUE"""),"MTLSZ000233A02")</f>
        <v>MTLSZ000233A02</v>
      </c>
      <c r="I4171" s="2">
        <f ca="1">IFERROR(__xludf.DUMMYFUNCTION("""COMPUTED_VALUE"""),37622)</f>
        <v>37622</v>
      </c>
      <c r="J4171" s="2">
        <f ca="1">IFERROR(__xludf.DUMMYFUNCTION("""COMPUTED_VALUE"""),37986)</f>
        <v>37986</v>
      </c>
    </row>
    <row r="4172" spans="1:10" x14ac:dyDescent="0.25">
      <c r="A4172" s="1" t="str">
        <f ca="1">IFERROR(__xludf.DUMMYFUNCTION("""COMPUTED_VALUE"""),"Reac SE")</f>
        <v>Reac SE</v>
      </c>
      <c r="B4172" s="1" t="str">
        <f ca="1">IFERROR(__xludf.DUMMYFUNCTION("""COMPUTED_VALUE"""),"Humayer Balázs")</f>
        <v>Humayer Balázs</v>
      </c>
      <c r="C4172" s="1"/>
      <c r="D4172" s="1" t="str">
        <f ca="1">IFERROR(__xludf.DUMMYFUNCTION("""COMPUTED_VALUE"""),"Férfi")</f>
        <v>Férfi</v>
      </c>
      <c r="E4172" s="1"/>
      <c r="F4172" s="1">
        <f ca="1">IFERROR(__xludf.DUMMYFUNCTION("""COMPUTED_VALUE"""),1982)</f>
        <v>1982</v>
      </c>
      <c r="G4172" s="1">
        <f ca="1">IFERROR(__xludf.DUMMYFUNCTION("""COMPUTED_VALUE"""),389)</f>
        <v>389</v>
      </c>
      <c r="H4172" s="1" t="str">
        <f ca="1">IFERROR(__xludf.DUMMYFUNCTION("""COMPUTED_VALUE"""),"MTLSZ000389A02")</f>
        <v>MTLSZ000389A02</v>
      </c>
      <c r="I4172" s="2">
        <f ca="1">IFERROR(__xludf.DUMMYFUNCTION("""COMPUTED_VALUE"""),37622)</f>
        <v>37622</v>
      </c>
      <c r="J4172" s="2">
        <f ca="1">IFERROR(__xludf.DUMMYFUNCTION("""COMPUTED_VALUE"""),37986)</f>
        <v>37986</v>
      </c>
    </row>
    <row r="4173" spans="1:10" x14ac:dyDescent="0.25">
      <c r="A4173" s="1" t="str">
        <f ca="1">IFERROR(__xludf.DUMMYFUNCTION("""COMPUTED_VALUE"""),"Reac SE")</f>
        <v>Reac SE</v>
      </c>
      <c r="B4173" s="1" t="str">
        <f ca="1">IFERROR(__xludf.DUMMYFUNCTION("""COMPUTED_VALUE"""),"Janás Gergely")</f>
        <v>Janás Gergely</v>
      </c>
      <c r="C4173" s="1"/>
      <c r="D4173" s="1" t="str">
        <f ca="1">IFERROR(__xludf.DUMMYFUNCTION("""COMPUTED_VALUE"""),"Férfi")</f>
        <v>Férfi</v>
      </c>
      <c r="E4173" s="1"/>
      <c r="F4173" s="1">
        <f ca="1">IFERROR(__xludf.DUMMYFUNCTION("""COMPUTED_VALUE"""),1980)</f>
        <v>1980</v>
      </c>
      <c r="G4173" s="1">
        <f ca="1">IFERROR(__xludf.DUMMYFUNCTION("""COMPUTED_VALUE"""),407)</f>
        <v>407</v>
      </c>
      <c r="H4173" s="1" t="str">
        <f ca="1">IFERROR(__xludf.DUMMYFUNCTION("""COMPUTED_VALUE"""),"MTLSZ000407A02")</f>
        <v>MTLSZ000407A02</v>
      </c>
      <c r="I4173" s="2">
        <f ca="1">IFERROR(__xludf.DUMMYFUNCTION("""COMPUTED_VALUE"""),37622)</f>
        <v>37622</v>
      </c>
      <c r="J4173" s="2">
        <f ca="1">IFERROR(__xludf.DUMMYFUNCTION("""COMPUTED_VALUE"""),37986)</f>
        <v>37986</v>
      </c>
    </row>
    <row r="4174" spans="1:10" x14ac:dyDescent="0.25">
      <c r="A4174" s="1" t="str">
        <f ca="1">IFERROR(__xludf.DUMMYFUNCTION("""COMPUTED_VALUE"""),"Reac SE")</f>
        <v>Reac SE</v>
      </c>
      <c r="B4174" s="1" t="str">
        <f ca="1">IFERROR(__xludf.DUMMYFUNCTION("""COMPUTED_VALUE"""),"Lu Zhou")</f>
        <v>Lu Zhou</v>
      </c>
      <c r="C4174" s="1"/>
      <c r="D4174" s="1" t="str">
        <f ca="1">IFERROR(__xludf.DUMMYFUNCTION("""COMPUTED_VALUE"""),"Nő")</f>
        <v>Nő</v>
      </c>
      <c r="E4174" s="1"/>
      <c r="F4174" s="1">
        <f ca="1">IFERROR(__xludf.DUMMYFUNCTION("""COMPUTED_VALUE"""),1985)</f>
        <v>1985</v>
      </c>
      <c r="G4174" s="1">
        <f ca="1">IFERROR(__xludf.DUMMYFUNCTION("""COMPUTED_VALUE"""),596)</f>
        <v>596</v>
      </c>
      <c r="H4174" s="1" t="str">
        <f ca="1">IFERROR(__xludf.DUMMYFUNCTION("""COMPUTED_VALUE"""),"MTLSZ000596A02")</f>
        <v>MTLSZ000596A02</v>
      </c>
      <c r="I4174" s="2">
        <f ca="1">IFERROR(__xludf.DUMMYFUNCTION("""COMPUTED_VALUE"""),37622)</f>
        <v>37622</v>
      </c>
      <c r="J4174" s="2">
        <f ca="1">IFERROR(__xludf.DUMMYFUNCTION("""COMPUTED_VALUE"""),37986)</f>
        <v>37986</v>
      </c>
    </row>
    <row r="4175" spans="1:10" x14ac:dyDescent="0.25">
      <c r="A4175" s="1" t="str">
        <f ca="1">IFERROR(__xludf.DUMMYFUNCTION("""COMPUTED_VALUE"""),"Reac SE")</f>
        <v>Reac SE</v>
      </c>
      <c r="B4175" s="1" t="str">
        <f ca="1">IFERROR(__xludf.DUMMYFUNCTION("""COMPUTED_VALUE"""),"Mazány Gábor")</f>
        <v>Mazány Gábor</v>
      </c>
      <c r="C4175" s="1"/>
      <c r="D4175" s="1" t="str">
        <f ca="1">IFERROR(__xludf.DUMMYFUNCTION("""COMPUTED_VALUE"""),"Férfi")</f>
        <v>Férfi</v>
      </c>
      <c r="E4175" s="1"/>
      <c r="F4175" s="1">
        <f ca="1">IFERROR(__xludf.DUMMYFUNCTION("""COMPUTED_VALUE"""),1981)</f>
        <v>1981</v>
      </c>
      <c r="G4175" s="1">
        <f ca="1">IFERROR(__xludf.DUMMYFUNCTION("""COMPUTED_VALUE"""),629)</f>
        <v>629</v>
      </c>
      <c r="H4175" s="1" t="str">
        <f ca="1">IFERROR(__xludf.DUMMYFUNCTION("""COMPUTED_VALUE"""),"MTLSZ000629A02")</f>
        <v>MTLSZ000629A02</v>
      </c>
      <c r="I4175" s="2">
        <f ca="1">IFERROR(__xludf.DUMMYFUNCTION("""COMPUTED_VALUE"""),37622)</f>
        <v>37622</v>
      </c>
      <c r="J4175" s="2">
        <f ca="1">IFERROR(__xludf.DUMMYFUNCTION("""COMPUTED_VALUE"""),37986)</f>
        <v>37986</v>
      </c>
    </row>
    <row r="4176" spans="1:10" x14ac:dyDescent="0.25">
      <c r="A4176" s="1" t="str">
        <f ca="1">IFERROR(__xludf.DUMMYFUNCTION("""COMPUTED_VALUE"""),"Reac SE")</f>
        <v>Reac SE</v>
      </c>
      <c r="B4176" s="1" t="str">
        <f ca="1">IFERROR(__xludf.DUMMYFUNCTION("""COMPUTED_VALUE"""),"Papp Attila")</f>
        <v>Papp Attila</v>
      </c>
      <c r="C4176" s="1"/>
      <c r="D4176" s="1" t="str">
        <f ca="1">IFERROR(__xludf.DUMMYFUNCTION("""COMPUTED_VALUE"""),"Férfi")</f>
        <v>Férfi</v>
      </c>
      <c r="E4176" s="1"/>
      <c r="F4176" s="1">
        <f ca="1">IFERROR(__xludf.DUMMYFUNCTION("""COMPUTED_VALUE"""),1989)</f>
        <v>1989</v>
      </c>
      <c r="G4176" s="1">
        <f ca="1">IFERROR(__xludf.DUMMYFUNCTION("""COMPUTED_VALUE"""),747)</f>
        <v>747</v>
      </c>
      <c r="H4176" s="1" t="str">
        <f ca="1">IFERROR(__xludf.DUMMYFUNCTION("""COMPUTED_VALUE"""),"MTLSZ000747A02")</f>
        <v>MTLSZ000747A02</v>
      </c>
      <c r="I4176" s="2">
        <f ca="1">IFERROR(__xludf.DUMMYFUNCTION("""COMPUTED_VALUE"""),37622)</f>
        <v>37622</v>
      </c>
      <c r="J4176" s="2">
        <f ca="1">IFERROR(__xludf.DUMMYFUNCTION("""COMPUTED_VALUE"""),37986)</f>
        <v>37986</v>
      </c>
    </row>
    <row r="4177" spans="1:10" x14ac:dyDescent="0.25">
      <c r="A4177" s="1" t="str">
        <f ca="1">IFERROR(__xludf.DUMMYFUNCTION("""COMPUTED_VALUE"""),"Reac SE")</f>
        <v>Reac SE</v>
      </c>
      <c r="B4177" s="1" t="str">
        <f ca="1">IFERROR(__xludf.DUMMYFUNCTION("""COMPUTED_VALUE"""),"Spankovics Anikó")</f>
        <v>Spankovics Anikó</v>
      </c>
      <c r="C4177" s="1"/>
      <c r="D4177" s="1" t="str">
        <f ca="1">IFERROR(__xludf.DUMMYFUNCTION("""COMPUTED_VALUE"""),"Nő")</f>
        <v>Nő</v>
      </c>
      <c r="E4177" s="1"/>
      <c r="F4177" s="1">
        <f ca="1">IFERROR(__xludf.DUMMYFUNCTION("""COMPUTED_VALUE"""),1985)</f>
        <v>1985</v>
      </c>
      <c r="G4177" s="1">
        <f ca="1">IFERROR(__xludf.DUMMYFUNCTION("""COMPUTED_VALUE"""),868)</f>
        <v>868</v>
      </c>
      <c r="H4177" s="1" t="str">
        <f ca="1">IFERROR(__xludf.DUMMYFUNCTION("""COMPUTED_VALUE"""),"MTLSZ000868A02")</f>
        <v>MTLSZ000868A02</v>
      </c>
      <c r="I4177" s="2">
        <f ca="1">IFERROR(__xludf.DUMMYFUNCTION("""COMPUTED_VALUE"""),37622)</f>
        <v>37622</v>
      </c>
      <c r="J4177" s="2">
        <f ca="1">IFERROR(__xludf.DUMMYFUNCTION("""COMPUTED_VALUE"""),37986)</f>
        <v>37986</v>
      </c>
    </row>
    <row r="4178" spans="1:10" x14ac:dyDescent="0.25">
      <c r="A4178" s="1" t="str">
        <f ca="1">IFERROR(__xludf.DUMMYFUNCTION("""COMPUTED_VALUE"""),"Reac SE")</f>
        <v>Reac SE</v>
      </c>
      <c r="B4178" s="1" t="str">
        <f ca="1">IFERROR(__xludf.DUMMYFUNCTION("""COMPUTED_VALUE"""),"Szánti Pintér Ivett")</f>
        <v>Szánti Pintér Ivett</v>
      </c>
      <c r="C4178" s="1"/>
      <c r="D4178" s="1" t="str">
        <f ca="1">IFERROR(__xludf.DUMMYFUNCTION("""COMPUTED_VALUE"""),"Nő")</f>
        <v>Nő</v>
      </c>
      <c r="E4178" s="1"/>
      <c r="F4178" s="1">
        <f ca="1">IFERROR(__xludf.DUMMYFUNCTION("""COMPUTED_VALUE"""),1985)</f>
        <v>1985</v>
      </c>
      <c r="G4178" s="1">
        <f ca="1">IFERROR(__xludf.DUMMYFUNCTION("""COMPUTED_VALUE"""),913)</f>
        <v>913</v>
      </c>
      <c r="H4178" s="1" t="str">
        <f ca="1">IFERROR(__xludf.DUMMYFUNCTION("""COMPUTED_VALUE"""),"MTLSZ000913A02")</f>
        <v>MTLSZ000913A02</v>
      </c>
      <c r="I4178" s="2">
        <f ca="1">IFERROR(__xludf.DUMMYFUNCTION("""COMPUTED_VALUE"""),37622)</f>
        <v>37622</v>
      </c>
      <c r="J4178" s="2">
        <f ca="1">IFERROR(__xludf.DUMMYFUNCTION("""COMPUTED_VALUE"""),37986)</f>
        <v>37986</v>
      </c>
    </row>
    <row r="4179" spans="1:10" x14ac:dyDescent="0.25">
      <c r="A4179" s="1" t="str">
        <f ca="1">IFERROR(__xludf.DUMMYFUNCTION("""COMPUTED_VALUE"""),"Reac SE")</f>
        <v>Reac SE</v>
      </c>
      <c r="B4179" s="1" t="str">
        <f ca="1">IFERROR(__xludf.DUMMYFUNCTION("""COMPUTED_VALUE"""),"Szigeti Mónika")</f>
        <v>Szigeti Mónika</v>
      </c>
      <c r="C4179" s="1"/>
      <c r="D4179" s="1" t="str">
        <f ca="1">IFERROR(__xludf.DUMMYFUNCTION("""COMPUTED_VALUE"""),"Nő")</f>
        <v>Nő</v>
      </c>
      <c r="E4179" s="1"/>
      <c r="F4179" s="1">
        <f ca="1">IFERROR(__xludf.DUMMYFUNCTION("""COMPUTED_VALUE"""),1985)</f>
        <v>1985</v>
      </c>
      <c r="G4179" s="1">
        <f ca="1">IFERROR(__xludf.DUMMYFUNCTION("""COMPUTED_VALUE"""),948)</f>
        <v>948</v>
      </c>
      <c r="H4179" s="1" t="str">
        <f ca="1">IFERROR(__xludf.DUMMYFUNCTION("""COMPUTED_VALUE"""),"MTLSZ000948A02")</f>
        <v>MTLSZ000948A02</v>
      </c>
      <c r="I4179" s="2">
        <f ca="1">IFERROR(__xludf.DUMMYFUNCTION("""COMPUTED_VALUE"""),37622)</f>
        <v>37622</v>
      </c>
      <c r="J4179" s="2">
        <f ca="1">IFERROR(__xludf.DUMMYFUNCTION("""COMPUTED_VALUE"""),37986)</f>
        <v>37986</v>
      </c>
    </row>
    <row r="4180" spans="1:10" x14ac:dyDescent="0.25">
      <c r="A4180" s="1" t="str">
        <f ca="1">IFERROR(__xludf.DUMMYFUNCTION("""COMPUTED_VALUE"""),"Reac SE")</f>
        <v>Reac SE</v>
      </c>
      <c r="B4180" s="1" t="str">
        <f ca="1">IFERROR(__xludf.DUMMYFUNCTION("""COMPUTED_VALUE"""),"Szovics Nóra")</f>
        <v>Szovics Nóra</v>
      </c>
      <c r="C4180" s="1"/>
      <c r="D4180" s="1" t="str">
        <f ca="1">IFERROR(__xludf.DUMMYFUNCTION("""COMPUTED_VALUE"""),"Nő")</f>
        <v>Nő</v>
      </c>
      <c r="E4180" s="1"/>
      <c r="F4180" s="1">
        <f ca="1">IFERROR(__xludf.DUMMYFUNCTION("""COMPUTED_VALUE"""),1986)</f>
        <v>1986</v>
      </c>
      <c r="G4180" s="1">
        <f ca="1">IFERROR(__xludf.DUMMYFUNCTION("""COMPUTED_VALUE"""),972)</f>
        <v>972</v>
      </c>
      <c r="H4180" s="1" t="str">
        <f ca="1">IFERROR(__xludf.DUMMYFUNCTION("""COMPUTED_VALUE"""),"MTLSZ000972A02")</f>
        <v>MTLSZ000972A02</v>
      </c>
      <c r="I4180" s="2">
        <f ca="1">IFERROR(__xludf.DUMMYFUNCTION("""COMPUTED_VALUE"""),37622)</f>
        <v>37622</v>
      </c>
      <c r="J4180" s="2">
        <f ca="1">IFERROR(__xludf.DUMMYFUNCTION("""COMPUTED_VALUE"""),37986)</f>
        <v>37986</v>
      </c>
    </row>
    <row r="4181" spans="1:10" x14ac:dyDescent="0.25">
      <c r="A4181" s="1" t="str">
        <f ca="1">IFERROR(__xludf.DUMMYFUNCTION("""COMPUTED_VALUE"""),"Reac SE")</f>
        <v>Reac SE</v>
      </c>
      <c r="B4181" s="1" t="str">
        <f ca="1">IFERROR(__xludf.DUMMYFUNCTION("""COMPUTED_VALUE"""),"Szőke Katalin")</f>
        <v>Szőke Katalin</v>
      </c>
      <c r="C4181" s="1"/>
      <c r="D4181" s="1" t="str">
        <f ca="1">IFERROR(__xludf.DUMMYFUNCTION("""COMPUTED_VALUE"""),"Nő")</f>
        <v>Nő</v>
      </c>
      <c r="E4181" s="1"/>
      <c r="F4181" s="1">
        <f ca="1">IFERROR(__xludf.DUMMYFUNCTION("""COMPUTED_VALUE"""),1983)</f>
        <v>1983</v>
      </c>
      <c r="G4181" s="1">
        <f ca="1">IFERROR(__xludf.DUMMYFUNCTION("""COMPUTED_VALUE"""),966)</f>
        <v>966</v>
      </c>
      <c r="H4181" s="1" t="str">
        <f ca="1">IFERROR(__xludf.DUMMYFUNCTION("""COMPUTED_VALUE"""),"MTLSZ000966A02")</f>
        <v>MTLSZ000966A02</v>
      </c>
      <c r="I4181" s="2">
        <f ca="1">IFERROR(__xludf.DUMMYFUNCTION("""COMPUTED_VALUE"""),37622)</f>
        <v>37622</v>
      </c>
      <c r="J4181" s="2">
        <f ca="1">IFERROR(__xludf.DUMMYFUNCTION("""COMPUTED_VALUE"""),37986)</f>
        <v>37986</v>
      </c>
    </row>
    <row r="4182" spans="1:10" x14ac:dyDescent="0.25">
      <c r="A4182" s="1" t="str">
        <f ca="1">IFERROR(__xludf.DUMMYFUNCTION("""COMPUTED_VALUE"""),"Reac SE")</f>
        <v>Reac SE</v>
      </c>
      <c r="B4182" s="1" t="str">
        <f ca="1">IFERROR(__xludf.DUMMYFUNCTION("""COMPUTED_VALUE"""),"Szőnyi Szabolcs")</f>
        <v>Szőnyi Szabolcs</v>
      </c>
      <c r="C4182" s="1"/>
      <c r="D4182" s="1" t="str">
        <f ca="1">IFERROR(__xludf.DUMMYFUNCTION("""COMPUTED_VALUE"""),"Férfi")</f>
        <v>Férfi</v>
      </c>
      <c r="E4182" s="1"/>
      <c r="F4182" s="1">
        <f ca="1">IFERROR(__xludf.DUMMYFUNCTION("""COMPUTED_VALUE"""),2000)</f>
        <v>2000</v>
      </c>
      <c r="G4182" s="1">
        <f ca="1">IFERROR(__xludf.DUMMYFUNCTION("""COMPUTED_VALUE"""),971)</f>
        <v>971</v>
      </c>
      <c r="H4182" s="1" t="str">
        <f ca="1">IFERROR(__xludf.DUMMYFUNCTION("""COMPUTED_VALUE"""),"MTLSZ000971A02")</f>
        <v>MTLSZ000971A02</v>
      </c>
      <c r="I4182" s="2">
        <f ca="1">IFERROR(__xludf.DUMMYFUNCTION("""COMPUTED_VALUE"""),37622)</f>
        <v>37622</v>
      </c>
      <c r="J4182" s="2">
        <f ca="1">IFERROR(__xludf.DUMMYFUNCTION("""COMPUTED_VALUE"""),37986)</f>
        <v>37986</v>
      </c>
    </row>
    <row r="4183" spans="1:10" x14ac:dyDescent="0.25">
      <c r="A4183" s="1" t="str">
        <f ca="1">IFERROR(__xludf.DUMMYFUNCTION("""COMPUTED_VALUE"""),"Reac SE")</f>
        <v>Reac SE</v>
      </c>
      <c r="B4183" s="1" t="str">
        <f ca="1">IFERROR(__xludf.DUMMYFUNCTION("""COMPUTED_VALUE"""),"Szulyovszky Zsolt")</f>
        <v>Szulyovszky Zsolt</v>
      </c>
      <c r="C4183" s="1"/>
      <c r="D4183" s="1" t="str">
        <f ca="1">IFERROR(__xludf.DUMMYFUNCTION("""COMPUTED_VALUE"""),"Férfi")</f>
        <v>Férfi</v>
      </c>
      <c r="E4183" s="1"/>
      <c r="F4183" s="1">
        <f ca="1">IFERROR(__xludf.DUMMYFUNCTION("""COMPUTED_VALUE"""),1955)</f>
        <v>1955</v>
      </c>
      <c r="G4183" s="1">
        <f ca="1">IFERROR(__xludf.DUMMYFUNCTION("""COMPUTED_VALUE"""),979)</f>
        <v>979</v>
      </c>
      <c r="H4183" s="1" t="str">
        <f ca="1">IFERROR(__xludf.DUMMYFUNCTION("""COMPUTED_VALUE"""),"MTLSZ000979A02")</f>
        <v>MTLSZ000979A02</v>
      </c>
      <c r="I4183" s="2">
        <f ca="1">IFERROR(__xludf.DUMMYFUNCTION("""COMPUTED_VALUE"""),37622)</f>
        <v>37622</v>
      </c>
      <c r="J4183" s="2">
        <f ca="1">IFERROR(__xludf.DUMMYFUNCTION("""COMPUTED_VALUE"""),37986)</f>
        <v>37986</v>
      </c>
    </row>
    <row r="4184" spans="1:10" x14ac:dyDescent="0.25">
      <c r="A4184" s="1" t="str">
        <f ca="1">IFERROR(__xludf.DUMMYFUNCTION("""COMPUTED_VALUE"""),"Reac SE")</f>
        <v>Reac SE</v>
      </c>
      <c r="B4184" s="1" t="str">
        <f ca="1">IFERROR(__xludf.DUMMYFUNCTION("""COMPUTED_VALUE"""),"Tóth Zoltán")</f>
        <v>Tóth Zoltán</v>
      </c>
      <c r="C4184" s="1"/>
      <c r="D4184" s="1" t="str">
        <f ca="1">IFERROR(__xludf.DUMMYFUNCTION("""COMPUTED_VALUE"""),"Férfi")</f>
        <v>Férfi</v>
      </c>
      <c r="E4184" s="1"/>
      <c r="F4184" s="1">
        <f ca="1">IFERROR(__xludf.DUMMYFUNCTION("""COMPUTED_VALUE"""),1982)</f>
        <v>1982</v>
      </c>
      <c r="G4184" s="1">
        <f ca="1">IFERROR(__xludf.DUMMYFUNCTION("""COMPUTED_VALUE"""),1052)</f>
        <v>1052</v>
      </c>
      <c r="H4184" s="1" t="str">
        <f ca="1">IFERROR(__xludf.DUMMYFUNCTION("""COMPUTED_VALUE"""),"MTLSZ001052A02")</f>
        <v>MTLSZ001052A02</v>
      </c>
      <c r="I4184" s="2">
        <f ca="1">IFERROR(__xludf.DUMMYFUNCTION("""COMPUTED_VALUE"""),37622)</f>
        <v>37622</v>
      </c>
      <c r="J4184" s="2">
        <f ca="1">IFERROR(__xludf.DUMMYFUNCTION("""COMPUTED_VALUE"""),37986)</f>
        <v>37986</v>
      </c>
    </row>
    <row r="4185" spans="1:10" x14ac:dyDescent="0.25">
      <c r="A4185" s="1" t="str">
        <f ca="1">IFERROR(__xludf.DUMMYFUNCTION("""COMPUTED_VALUE"""),"Reac SE")</f>
        <v>Reac SE</v>
      </c>
      <c r="B4185" s="1" t="str">
        <f ca="1">IFERROR(__xludf.DUMMYFUNCTION("""COMPUTED_VALUE"""),"Varga Teodóra")</f>
        <v>Varga Teodóra</v>
      </c>
      <c r="C4185" s="1"/>
      <c r="D4185" s="1" t="str">
        <f ca="1">IFERROR(__xludf.DUMMYFUNCTION("""COMPUTED_VALUE"""),"Nő")</f>
        <v>Nő</v>
      </c>
      <c r="E4185" s="1"/>
      <c r="F4185" s="1">
        <f ca="1">IFERROR(__xludf.DUMMYFUNCTION("""COMPUTED_VALUE"""),1983)</f>
        <v>1983</v>
      </c>
      <c r="G4185" s="1">
        <f ca="1">IFERROR(__xludf.DUMMYFUNCTION("""COMPUTED_VALUE"""),1098)</f>
        <v>1098</v>
      </c>
      <c r="H4185" s="1" t="str">
        <f ca="1">IFERROR(__xludf.DUMMYFUNCTION("""COMPUTED_VALUE"""),"MTLSZ001098A02")</f>
        <v>MTLSZ001098A02</v>
      </c>
      <c r="I4185" s="2">
        <f ca="1">IFERROR(__xludf.DUMMYFUNCTION("""COMPUTED_VALUE"""),37622)</f>
        <v>37622</v>
      </c>
      <c r="J4185" s="2">
        <f ca="1">IFERROR(__xludf.DUMMYFUNCTION("""COMPUTED_VALUE"""),37986)</f>
        <v>37986</v>
      </c>
    </row>
    <row r="4186" spans="1:10" x14ac:dyDescent="0.25">
      <c r="A4186" s="1" t="str">
        <f ca="1">IFERROR(__xludf.DUMMYFUNCTION("""COMPUTED_VALUE"""),"Reac SE")</f>
        <v>Reac SE</v>
      </c>
      <c r="B4186" s="1" t="str">
        <f ca="1">IFERROR(__xludf.DUMMYFUNCTION("""COMPUTED_VALUE"""),"Zele Csaba")</f>
        <v>Zele Csaba</v>
      </c>
      <c r="C4186" s="1"/>
      <c r="D4186" s="1" t="str">
        <f ca="1">IFERROR(__xludf.DUMMYFUNCTION("""COMPUTED_VALUE"""),"Férfi")</f>
        <v>Férfi</v>
      </c>
      <c r="E4186" s="1"/>
      <c r="F4186" s="1">
        <f ca="1">IFERROR(__xludf.DUMMYFUNCTION("""COMPUTED_VALUE"""),1982)</f>
        <v>1982</v>
      </c>
      <c r="G4186" s="1">
        <f ca="1">IFERROR(__xludf.DUMMYFUNCTION("""COMPUTED_VALUE"""),1138)</f>
        <v>1138</v>
      </c>
      <c r="H4186" s="1" t="str">
        <f ca="1">IFERROR(__xludf.DUMMYFUNCTION("""COMPUTED_VALUE"""),"MTLSZ001138A02")</f>
        <v>MTLSZ001138A02</v>
      </c>
      <c r="I4186" s="2">
        <f ca="1">IFERROR(__xludf.DUMMYFUNCTION("""COMPUTED_VALUE"""),37622)</f>
        <v>37622</v>
      </c>
      <c r="J4186" s="2">
        <f ca="1">IFERROR(__xludf.DUMMYFUNCTION("""COMPUTED_VALUE"""),37986)</f>
        <v>37986</v>
      </c>
    </row>
    <row r="4187" spans="1:10" x14ac:dyDescent="0.25">
      <c r="A4187" s="1" t="str">
        <f ca="1">IFERROR(__xludf.DUMMYFUNCTION("""COMPUTED_VALUE"""),"Rosco SE")</f>
        <v>Rosco SE</v>
      </c>
      <c r="B4187" s="1" t="str">
        <f ca="1">IFERROR(__xludf.DUMMYFUNCTION("""COMPUTED_VALUE"""),"Bánhidi Szabolcs")</f>
        <v>Bánhidi Szabolcs</v>
      </c>
      <c r="C4187" s="1"/>
      <c r="D4187" s="1" t="str">
        <f ca="1">IFERROR(__xludf.DUMMYFUNCTION("""COMPUTED_VALUE"""),"Férfi")</f>
        <v>Férfi</v>
      </c>
      <c r="E4187" s="1"/>
      <c r="F4187" s="1">
        <f ca="1">IFERROR(__xludf.DUMMYFUNCTION("""COMPUTED_VALUE"""),1980)</f>
        <v>1980</v>
      </c>
      <c r="G4187" s="1">
        <f ca="1">IFERROR(__xludf.DUMMYFUNCTION("""COMPUTED_VALUE"""),54)</f>
        <v>54</v>
      </c>
      <c r="H4187" s="1" t="str">
        <f ca="1">IFERROR(__xludf.DUMMYFUNCTION("""COMPUTED_VALUE"""),"MTLSZ000054A02")</f>
        <v>MTLSZ000054A02</v>
      </c>
      <c r="I4187" s="2">
        <f ca="1">IFERROR(__xludf.DUMMYFUNCTION("""COMPUTED_VALUE"""),37622)</f>
        <v>37622</v>
      </c>
      <c r="J4187" s="2">
        <f ca="1">IFERROR(__xludf.DUMMYFUNCTION("""COMPUTED_VALUE"""),37986)</f>
        <v>37986</v>
      </c>
    </row>
    <row r="4188" spans="1:10" x14ac:dyDescent="0.25">
      <c r="A4188" s="1" t="str">
        <f ca="1">IFERROR(__xludf.DUMMYFUNCTION("""COMPUTED_VALUE"""),"Rosco SE")</f>
        <v>Rosco SE</v>
      </c>
      <c r="B4188" s="1" t="str">
        <f ca="1">IFERROR(__xludf.DUMMYFUNCTION("""COMPUTED_VALUE"""),"Esbech Jan")</f>
        <v>Esbech Jan</v>
      </c>
      <c r="C4188" s="1"/>
      <c r="D4188" s="1" t="str">
        <f ca="1">IFERROR(__xludf.DUMMYFUNCTION("""COMPUTED_VALUE"""),"Férfi")</f>
        <v>Férfi</v>
      </c>
      <c r="E4188" s="1"/>
      <c r="F4188" s="1">
        <f ca="1">IFERROR(__xludf.DUMMYFUNCTION("""COMPUTED_VALUE"""),1973)</f>
        <v>1973</v>
      </c>
      <c r="G4188" s="1">
        <f ca="1">IFERROR(__xludf.DUMMYFUNCTION("""COMPUTED_VALUE"""),221)</f>
        <v>221</v>
      </c>
      <c r="H4188" s="1" t="str">
        <f ca="1">IFERROR(__xludf.DUMMYFUNCTION("""COMPUTED_VALUE"""),"MTLSZ000221A02")</f>
        <v>MTLSZ000221A02</v>
      </c>
      <c r="I4188" s="2">
        <f ca="1">IFERROR(__xludf.DUMMYFUNCTION("""COMPUTED_VALUE"""),37622)</f>
        <v>37622</v>
      </c>
      <c r="J4188" s="2">
        <f ca="1">IFERROR(__xludf.DUMMYFUNCTION("""COMPUTED_VALUE"""),37986)</f>
        <v>37986</v>
      </c>
    </row>
    <row r="4189" spans="1:10" x14ac:dyDescent="0.25">
      <c r="A4189" s="1" t="str">
        <f ca="1">IFERROR(__xludf.DUMMYFUNCTION("""COMPUTED_VALUE"""),"Rosco SE")</f>
        <v>Rosco SE</v>
      </c>
      <c r="B4189" s="1" t="str">
        <f ca="1">IFERROR(__xludf.DUMMYFUNCTION("""COMPUTED_VALUE"""),"Mikolcsó László")</f>
        <v>Mikolcsó László</v>
      </c>
      <c r="C4189" s="1"/>
      <c r="D4189" s="1" t="str">
        <f ca="1">IFERROR(__xludf.DUMMYFUNCTION("""COMPUTED_VALUE"""),"Férfi")</f>
        <v>Férfi</v>
      </c>
      <c r="E4189" s="1"/>
      <c r="F4189" s="1">
        <f ca="1">IFERROR(__xludf.DUMMYFUNCTION("""COMPUTED_VALUE"""),1981)</f>
        <v>1981</v>
      </c>
      <c r="G4189" s="1">
        <f ca="1">IFERROR(__xludf.DUMMYFUNCTION("""COMPUTED_VALUE"""),649)</f>
        <v>649</v>
      </c>
      <c r="H4189" s="1" t="str">
        <f ca="1">IFERROR(__xludf.DUMMYFUNCTION("""COMPUTED_VALUE"""),"MTLSZ000649A02")</f>
        <v>MTLSZ000649A02</v>
      </c>
      <c r="I4189" s="2">
        <f ca="1">IFERROR(__xludf.DUMMYFUNCTION("""COMPUTED_VALUE"""),37622)</f>
        <v>37622</v>
      </c>
      <c r="J4189" s="2">
        <f ca="1">IFERROR(__xludf.DUMMYFUNCTION("""COMPUTED_VALUE"""),37986)</f>
        <v>37986</v>
      </c>
    </row>
    <row r="4190" spans="1:10" x14ac:dyDescent="0.25">
      <c r="A4190" s="1" t="str">
        <f ca="1">IFERROR(__xludf.DUMMYFUNCTION("""COMPUTED_VALUE"""),"Rosco SE")</f>
        <v>Rosco SE</v>
      </c>
      <c r="B4190" s="1" t="str">
        <f ca="1">IFERROR(__xludf.DUMMYFUNCTION("""COMPUTED_VALUE"""),"Pádár Zoltán")</f>
        <v>Pádár Zoltán</v>
      </c>
      <c r="C4190" s="1"/>
      <c r="D4190" s="1" t="str">
        <f ca="1">IFERROR(__xludf.DUMMYFUNCTION("""COMPUTED_VALUE"""),"Férfi")</f>
        <v>Férfi</v>
      </c>
      <c r="E4190" s="1"/>
      <c r="F4190" s="1">
        <f ca="1">IFERROR(__xludf.DUMMYFUNCTION("""COMPUTED_VALUE"""),1981)</f>
        <v>1981</v>
      </c>
      <c r="G4190" s="1">
        <f ca="1">IFERROR(__xludf.DUMMYFUNCTION("""COMPUTED_VALUE"""),732)</f>
        <v>732</v>
      </c>
      <c r="H4190" s="1" t="str">
        <f ca="1">IFERROR(__xludf.DUMMYFUNCTION("""COMPUTED_VALUE"""),"MTLSZ000732A02")</f>
        <v>MTLSZ000732A02</v>
      </c>
      <c r="I4190" s="2">
        <f ca="1">IFERROR(__xludf.DUMMYFUNCTION("""COMPUTED_VALUE"""),37622)</f>
        <v>37622</v>
      </c>
      <c r="J4190" s="2">
        <f ca="1">IFERROR(__xludf.DUMMYFUNCTION("""COMPUTED_VALUE"""),37986)</f>
        <v>37986</v>
      </c>
    </row>
    <row r="4191" spans="1:10" x14ac:dyDescent="0.25">
      <c r="A4191" s="1" t="str">
        <f ca="1">IFERROR(__xludf.DUMMYFUNCTION("""COMPUTED_VALUE"""),"Rosco SE")</f>
        <v>Rosco SE</v>
      </c>
      <c r="B4191" s="1" t="str">
        <f ca="1">IFERROR(__xludf.DUMMYFUNCTION("""COMPUTED_VALUE"""),"Panov Luben")</f>
        <v>Panov Luben</v>
      </c>
      <c r="C4191" s="1"/>
      <c r="D4191" s="1" t="str">
        <f ca="1">IFERROR(__xludf.DUMMYFUNCTION("""COMPUTED_VALUE"""),"Férfi")</f>
        <v>Férfi</v>
      </c>
      <c r="E4191" s="1"/>
      <c r="F4191" s="1">
        <f ca="1">IFERROR(__xludf.DUMMYFUNCTION("""COMPUTED_VALUE"""),1974)</f>
        <v>1974</v>
      </c>
      <c r="G4191" s="1">
        <f ca="1">IFERROR(__xludf.DUMMYFUNCTION("""COMPUTED_VALUE"""),742)</f>
        <v>742</v>
      </c>
      <c r="H4191" s="1" t="str">
        <f ca="1">IFERROR(__xludf.DUMMYFUNCTION("""COMPUTED_VALUE"""),"MTLSZ000742A02")</f>
        <v>MTLSZ000742A02</v>
      </c>
      <c r="I4191" s="2">
        <f ca="1">IFERROR(__xludf.DUMMYFUNCTION("""COMPUTED_VALUE"""),37622)</f>
        <v>37622</v>
      </c>
      <c r="J4191" s="2">
        <f ca="1">IFERROR(__xludf.DUMMYFUNCTION("""COMPUTED_VALUE"""),37986)</f>
        <v>37986</v>
      </c>
    </row>
    <row r="4192" spans="1:10" x14ac:dyDescent="0.25">
      <c r="A4192" s="1" t="str">
        <f ca="1">IFERROR(__xludf.DUMMYFUNCTION("""COMPUTED_VALUE"""),"Ságvári DSE")</f>
        <v>Ságvári DSE</v>
      </c>
      <c r="B4192" s="1" t="str">
        <f ca="1">IFERROR(__xludf.DUMMYFUNCTION("""COMPUTED_VALUE"""),"Bálint Melinda")</f>
        <v>Bálint Melinda</v>
      </c>
      <c r="C4192" s="1"/>
      <c r="D4192" s="1" t="str">
        <f ca="1">IFERROR(__xludf.DUMMYFUNCTION("""COMPUTED_VALUE"""),"Nő")</f>
        <v>Nő</v>
      </c>
      <c r="E4192" s="1"/>
      <c r="F4192" s="1">
        <f ca="1">IFERROR(__xludf.DUMMYFUNCTION("""COMPUTED_VALUE"""),1983)</f>
        <v>1983</v>
      </c>
      <c r="G4192" s="1">
        <f ca="1">IFERROR(__xludf.DUMMYFUNCTION("""COMPUTED_VALUE"""),31)</f>
        <v>31</v>
      </c>
      <c r="H4192" s="1" t="str">
        <f ca="1">IFERROR(__xludf.DUMMYFUNCTION("""COMPUTED_VALUE"""),"MTLSZ000031A02")</f>
        <v>MTLSZ000031A02</v>
      </c>
      <c r="I4192" s="2">
        <f ca="1">IFERROR(__xludf.DUMMYFUNCTION("""COMPUTED_VALUE"""),37622)</f>
        <v>37622</v>
      </c>
      <c r="J4192" s="2">
        <f ca="1">IFERROR(__xludf.DUMMYFUNCTION("""COMPUTED_VALUE"""),37986)</f>
        <v>37986</v>
      </c>
    </row>
    <row r="4193" spans="1:10" x14ac:dyDescent="0.25">
      <c r="A4193" s="1" t="str">
        <f ca="1">IFERROR(__xludf.DUMMYFUNCTION("""COMPUTED_VALUE"""),"Ságvári DSE")</f>
        <v>Ságvári DSE</v>
      </c>
      <c r="B4193" s="1" t="str">
        <f ca="1">IFERROR(__xludf.DUMMYFUNCTION("""COMPUTED_VALUE"""),"Bálint Orsolya")</f>
        <v>Bálint Orsolya</v>
      </c>
      <c r="C4193" s="1"/>
      <c r="D4193" s="1" t="str">
        <f ca="1">IFERROR(__xludf.DUMMYFUNCTION("""COMPUTED_VALUE"""),"Nő")</f>
        <v>Nő</v>
      </c>
      <c r="E4193" s="1"/>
      <c r="F4193" s="1">
        <f ca="1">IFERROR(__xludf.DUMMYFUNCTION("""COMPUTED_VALUE"""),1986)</f>
        <v>1986</v>
      </c>
      <c r="G4193" s="1">
        <f ca="1">IFERROR(__xludf.DUMMYFUNCTION("""COMPUTED_VALUE"""),33)</f>
        <v>33</v>
      </c>
      <c r="H4193" s="1" t="str">
        <f ca="1">IFERROR(__xludf.DUMMYFUNCTION("""COMPUTED_VALUE"""),"MTLSZ000033A02")</f>
        <v>MTLSZ000033A02</v>
      </c>
      <c r="I4193" s="2">
        <f ca="1">IFERROR(__xludf.DUMMYFUNCTION("""COMPUTED_VALUE"""),37622)</f>
        <v>37622</v>
      </c>
      <c r="J4193" s="2">
        <f ca="1">IFERROR(__xludf.DUMMYFUNCTION("""COMPUTED_VALUE"""),37986)</f>
        <v>37986</v>
      </c>
    </row>
    <row r="4194" spans="1:10" x14ac:dyDescent="0.25">
      <c r="A4194" s="1" t="str">
        <f ca="1">IFERROR(__xludf.DUMMYFUNCTION("""COMPUTED_VALUE"""),"Ságvári DSE")</f>
        <v>Ságvári DSE</v>
      </c>
      <c r="B4194" s="1" t="str">
        <f ca="1">IFERROR(__xludf.DUMMYFUNCTION("""COMPUTED_VALUE"""),"Balog Péter")</f>
        <v>Balog Péter</v>
      </c>
      <c r="C4194" s="1"/>
      <c r="D4194" s="1" t="str">
        <f ca="1">IFERROR(__xludf.DUMMYFUNCTION("""COMPUTED_VALUE"""),"Férfi")</f>
        <v>Férfi</v>
      </c>
      <c r="E4194" s="1"/>
      <c r="F4194" s="1">
        <f ca="1">IFERROR(__xludf.DUMMYFUNCTION("""COMPUTED_VALUE"""),1986)</f>
        <v>1986</v>
      </c>
      <c r="G4194" s="1">
        <f ca="1">IFERROR(__xludf.DUMMYFUNCTION("""COMPUTED_VALUE"""),39)</f>
        <v>39</v>
      </c>
      <c r="H4194" s="1" t="str">
        <f ca="1">IFERROR(__xludf.DUMMYFUNCTION("""COMPUTED_VALUE"""),"MTLSZ000039A02")</f>
        <v>MTLSZ000039A02</v>
      </c>
      <c r="I4194" s="2">
        <f ca="1">IFERROR(__xludf.DUMMYFUNCTION("""COMPUTED_VALUE"""),37622)</f>
        <v>37622</v>
      </c>
      <c r="J4194" s="2">
        <f ca="1">IFERROR(__xludf.DUMMYFUNCTION("""COMPUTED_VALUE"""),37986)</f>
        <v>37986</v>
      </c>
    </row>
    <row r="4195" spans="1:10" x14ac:dyDescent="0.25">
      <c r="A4195" s="1" t="str">
        <f ca="1">IFERROR(__xludf.DUMMYFUNCTION("""COMPUTED_VALUE"""),"Ságvári DSE")</f>
        <v>Ságvári DSE</v>
      </c>
      <c r="B4195" s="1" t="str">
        <f ca="1">IFERROR(__xludf.DUMMYFUNCTION("""COMPUTED_VALUE"""),"Bánáthy János")</f>
        <v>Bánáthy János</v>
      </c>
      <c r="C4195" s="1"/>
      <c r="D4195" s="1" t="str">
        <f ca="1">IFERROR(__xludf.DUMMYFUNCTION("""COMPUTED_VALUE"""),"Férfi")</f>
        <v>Férfi</v>
      </c>
      <c r="E4195" s="1"/>
      <c r="F4195" s="1">
        <f ca="1">IFERROR(__xludf.DUMMYFUNCTION("""COMPUTED_VALUE"""),1988)</f>
        <v>1988</v>
      </c>
      <c r="G4195" s="1">
        <f ca="1">IFERROR(__xludf.DUMMYFUNCTION("""COMPUTED_VALUE"""),44)</f>
        <v>44</v>
      </c>
      <c r="H4195" s="1" t="str">
        <f ca="1">IFERROR(__xludf.DUMMYFUNCTION("""COMPUTED_VALUE"""),"MTLSZ000044A02")</f>
        <v>MTLSZ000044A02</v>
      </c>
      <c r="I4195" s="2">
        <f ca="1">IFERROR(__xludf.DUMMYFUNCTION("""COMPUTED_VALUE"""),37622)</f>
        <v>37622</v>
      </c>
      <c r="J4195" s="2">
        <f ca="1">IFERROR(__xludf.DUMMYFUNCTION("""COMPUTED_VALUE"""),37986)</f>
        <v>37986</v>
      </c>
    </row>
    <row r="4196" spans="1:10" x14ac:dyDescent="0.25">
      <c r="A4196" s="1" t="str">
        <f ca="1">IFERROR(__xludf.DUMMYFUNCTION("""COMPUTED_VALUE"""),"Ságvári DSE")</f>
        <v>Ságvári DSE</v>
      </c>
      <c r="B4196" s="1" t="str">
        <f ca="1">IFERROR(__xludf.DUMMYFUNCTION("""COMPUTED_VALUE"""),"Bársony Tamás")</f>
        <v>Bársony Tamás</v>
      </c>
      <c r="C4196" s="1"/>
      <c r="D4196" s="1" t="str">
        <f ca="1">IFERROR(__xludf.DUMMYFUNCTION("""COMPUTED_VALUE"""),"Férfi")</f>
        <v>Férfi</v>
      </c>
      <c r="E4196" s="1"/>
      <c r="F4196" s="1">
        <f ca="1">IFERROR(__xludf.DUMMYFUNCTION("""COMPUTED_VALUE"""),1987)</f>
        <v>1987</v>
      </c>
      <c r="G4196" s="1">
        <f ca="1">IFERROR(__xludf.DUMMYFUNCTION("""COMPUTED_VALUE"""),61)</f>
        <v>61</v>
      </c>
      <c r="H4196" s="1" t="str">
        <f ca="1">IFERROR(__xludf.DUMMYFUNCTION("""COMPUTED_VALUE"""),"MTLSZ000061A02")</f>
        <v>MTLSZ000061A02</v>
      </c>
      <c r="I4196" s="2">
        <f ca="1">IFERROR(__xludf.DUMMYFUNCTION("""COMPUTED_VALUE"""),37622)</f>
        <v>37622</v>
      </c>
      <c r="J4196" s="2">
        <f ca="1">IFERROR(__xludf.DUMMYFUNCTION("""COMPUTED_VALUE"""),37986)</f>
        <v>37986</v>
      </c>
    </row>
    <row r="4197" spans="1:10" x14ac:dyDescent="0.25">
      <c r="A4197" s="1" t="str">
        <f ca="1">IFERROR(__xludf.DUMMYFUNCTION("""COMPUTED_VALUE"""),"Ságvári DSE")</f>
        <v>Ságvári DSE</v>
      </c>
      <c r="B4197" s="1" t="str">
        <f ca="1">IFERROR(__xludf.DUMMYFUNCTION("""COMPUTED_VALUE"""),"Boruzs Gábor")</f>
        <v>Boruzs Gábor</v>
      </c>
      <c r="C4197" s="1"/>
      <c r="D4197" s="1" t="str">
        <f ca="1">IFERROR(__xludf.DUMMYFUNCTION("""COMPUTED_VALUE"""),"Férfi")</f>
        <v>Férfi</v>
      </c>
      <c r="E4197" s="1"/>
      <c r="F4197" s="1">
        <f ca="1">IFERROR(__xludf.DUMMYFUNCTION("""COMPUTED_VALUE"""),1989)</f>
        <v>1989</v>
      </c>
      <c r="G4197" s="1">
        <f ca="1">IFERROR(__xludf.DUMMYFUNCTION("""COMPUTED_VALUE"""),110)</f>
        <v>110</v>
      </c>
      <c r="H4197" s="1" t="str">
        <f ca="1">IFERROR(__xludf.DUMMYFUNCTION("""COMPUTED_VALUE"""),"MTLSZ000110A02")</f>
        <v>MTLSZ000110A02</v>
      </c>
      <c r="I4197" s="2">
        <f ca="1">IFERROR(__xludf.DUMMYFUNCTION("""COMPUTED_VALUE"""),37622)</f>
        <v>37622</v>
      </c>
      <c r="J4197" s="2">
        <f ca="1">IFERROR(__xludf.DUMMYFUNCTION("""COMPUTED_VALUE"""),37986)</f>
        <v>37986</v>
      </c>
    </row>
    <row r="4198" spans="1:10" x14ac:dyDescent="0.25">
      <c r="A4198" s="1" t="str">
        <f ca="1">IFERROR(__xludf.DUMMYFUNCTION("""COMPUTED_VALUE"""),"Ságvári DSE")</f>
        <v>Ságvári DSE</v>
      </c>
      <c r="B4198" s="1" t="str">
        <f ca="1">IFERROR(__xludf.DUMMYFUNCTION("""COMPUTED_VALUE"""),"Főldeáki Dóra")</f>
        <v>Főldeáki Dóra</v>
      </c>
      <c r="C4198" s="1"/>
      <c r="D4198" s="1" t="str">
        <f ca="1">IFERROR(__xludf.DUMMYFUNCTION("""COMPUTED_VALUE"""),"Nő")</f>
        <v>Nő</v>
      </c>
      <c r="E4198" s="1"/>
      <c r="F4198" s="1">
        <f ca="1">IFERROR(__xludf.DUMMYFUNCTION("""COMPUTED_VALUE"""),1984)</f>
        <v>1984</v>
      </c>
      <c r="G4198" s="1">
        <f ca="1">IFERROR(__xludf.DUMMYFUNCTION("""COMPUTED_VALUE"""),253)</f>
        <v>253</v>
      </c>
      <c r="H4198" s="1" t="str">
        <f ca="1">IFERROR(__xludf.DUMMYFUNCTION("""COMPUTED_VALUE"""),"MTLSZ000253A02")</f>
        <v>MTLSZ000253A02</v>
      </c>
      <c r="I4198" s="2">
        <f ca="1">IFERROR(__xludf.DUMMYFUNCTION("""COMPUTED_VALUE"""),37622)</f>
        <v>37622</v>
      </c>
      <c r="J4198" s="2">
        <f ca="1">IFERROR(__xludf.DUMMYFUNCTION("""COMPUTED_VALUE"""),37986)</f>
        <v>37986</v>
      </c>
    </row>
    <row r="4199" spans="1:10" x14ac:dyDescent="0.25">
      <c r="A4199" s="1" t="str">
        <f ca="1">IFERROR(__xludf.DUMMYFUNCTION("""COMPUTED_VALUE"""),"Ságvári DSE")</f>
        <v>Ságvári DSE</v>
      </c>
      <c r="B4199" s="1" t="str">
        <f ca="1">IFERROR(__xludf.DUMMYFUNCTION("""COMPUTED_VALUE"""),"Gudlin Györgyi")</f>
        <v>Gudlin Györgyi</v>
      </c>
      <c r="C4199" s="1"/>
      <c r="D4199" s="1" t="str">
        <f ca="1">IFERROR(__xludf.DUMMYFUNCTION("""COMPUTED_VALUE"""),"Nő")</f>
        <v>Nő</v>
      </c>
      <c r="E4199" s="1"/>
      <c r="F4199" s="1">
        <f ca="1">IFERROR(__xludf.DUMMYFUNCTION("""COMPUTED_VALUE"""),1987)</f>
        <v>1987</v>
      </c>
      <c r="G4199" s="1">
        <f ca="1">IFERROR(__xludf.DUMMYFUNCTION("""COMPUTED_VALUE"""),308)</f>
        <v>308</v>
      </c>
      <c r="H4199" s="1" t="str">
        <f ca="1">IFERROR(__xludf.DUMMYFUNCTION("""COMPUTED_VALUE"""),"MTLSZ000308A02")</f>
        <v>MTLSZ000308A02</v>
      </c>
      <c r="I4199" s="2">
        <f ca="1">IFERROR(__xludf.DUMMYFUNCTION("""COMPUTED_VALUE"""),37622)</f>
        <v>37622</v>
      </c>
      <c r="J4199" s="2">
        <f ca="1">IFERROR(__xludf.DUMMYFUNCTION("""COMPUTED_VALUE"""),37986)</f>
        <v>37986</v>
      </c>
    </row>
    <row r="4200" spans="1:10" x14ac:dyDescent="0.25">
      <c r="A4200" s="1" t="str">
        <f ca="1">IFERROR(__xludf.DUMMYFUNCTION("""COMPUTED_VALUE"""),"Ságvári DSE")</f>
        <v>Ságvári DSE</v>
      </c>
      <c r="B4200" s="1" t="str">
        <f ca="1">IFERROR(__xludf.DUMMYFUNCTION("""COMPUTED_VALUE"""),"Kalmár Lenke")</f>
        <v>Kalmár Lenke</v>
      </c>
      <c r="C4200" s="1"/>
      <c r="D4200" s="1" t="str">
        <f ca="1">IFERROR(__xludf.DUMMYFUNCTION("""COMPUTED_VALUE"""),"Nő")</f>
        <v>Nő</v>
      </c>
      <c r="E4200" s="1"/>
      <c r="F4200" s="1">
        <f ca="1">IFERROR(__xludf.DUMMYFUNCTION("""COMPUTED_VALUE"""),1984)</f>
        <v>1984</v>
      </c>
      <c r="G4200" s="1">
        <f ca="1">IFERROR(__xludf.DUMMYFUNCTION("""COMPUTED_VALUE"""),424)</f>
        <v>424</v>
      </c>
      <c r="H4200" s="1" t="str">
        <f ca="1">IFERROR(__xludf.DUMMYFUNCTION("""COMPUTED_VALUE"""),"MTLSZ000424A02")</f>
        <v>MTLSZ000424A02</v>
      </c>
      <c r="I4200" s="2">
        <f ca="1">IFERROR(__xludf.DUMMYFUNCTION("""COMPUTED_VALUE"""),37622)</f>
        <v>37622</v>
      </c>
      <c r="J4200" s="2">
        <f ca="1">IFERROR(__xludf.DUMMYFUNCTION("""COMPUTED_VALUE"""),37986)</f>
        <v>37986</v>
      </c>
    </row>
    <row r="4201" spans="1:10" x14ac:dyDescent="0.25">
      <c r="A4201" s="1" t="str">
        <f ca="1">IFERROR(__xludf.DUMMYFUNCTION("""COMPUTED_VALUE"""),"Ságvári DSE")</f>
        <v>Ságvári DSE</v>
      </c>
      <c r="B4201" s="1" t="str">
        <f ca="1">IFERROR(__xludf.DUMMYFUNCTION("""COMPUTED_VALUE"""),"Kenéz László")</f>
        <v>Kenéz László</v>
      </c>
      <c r="C4201" s="1"/>
      <c r="D4201" s="1" t="str">
        <f ca="1">IFERROR(__xludf.DUMMYFUNCTION("""COMPUTED_VALUE"""),"Férfi")</f>
        <v>Férfi</v>
      </c>
      <c r="E4201" s="1"/>
      <c r="F4201" s="1">
        <f ca="1">IFERROR(__xludf.DUMMYFUNCTION("""COMPUTED_VALUE"""),1982)</f>
        <v>1982</v>
      </c>
      <c r="G4201" s="1">
        <f ca="1">IFERROR(__xludf.DUMMYFUNCTION("""COMPUTED_VALUE"""),453)</f>
        <v>453</v>
      </c>
      <c r="H4201" s="1" t="str">
        <f ca="1">IFERROR(__xludf.DUMMYFUNCTION("""COMPUTED_VALUE"""),"MTLSZ000453A02")</f>
        <v>MTLSZ000453A02</v>
      </c>
      <c r="I4201" s="2">
        <f ca="1">IFERROR(__xludf.DUMMYFUNCTION("""COMPUTED_VALUE"""),37622)</f>
        <v>37622</v>
      </c>
      <c r="J4201" s="2">
        <f ca="1">IFERROR(__xludf.DUMMYFUNCTION("""COMPUTED_VALUE"""),37986)</f>
        <v>37986</v>
      </c>
    </row>
    <row r="4202" spans="1:10" x14ac:dyDescent="0.25">
      <c r="A4202" s="1" t="str">
        <f ca="1">IFERROR(__xludf.DUMMYFUNCTION("""COMPUTED_VALUE"""),"Ságvári DSE")</f>
        <v>Ságvári DSE</v>
      </c>
      <c r="B4202" s="1" t="str">
        <f ca="1">IFERROR(__xludf.DUMMYFUNCTION("""COMPUTED_VALUE"""),"Kerényi Ádám")</f>
        <v>Kerényi Ádám</v>
      </c>
      <c r="C4202" s="1"/>
      <c r="D4202" s="1" t="str">
        <f ca="1">IFERROR(__xludf.DUMMYFUNCTION("""COMPUTED_VALUE"""),"Férfi")</f>
        <v>Férfi</v>
      </c>
      <c r="E4202" s="1"/>
      <c r="F4202" s="1">
        <f ca="1">IFERROR(__xludf.DUMMYFUNCTION("""COMPUTED_VALUE"""),1982)</f>
        <v>1982</v>
      </c>
      <c r="G4202" s="1">
        <f ca="1">IFERROR(__xludf.DUMMYFUNCTION("""COMPUTED_VALUE"""),455)</f>
        <v>455</v>
      </c>
      <c r="H4202" s="1" t="str">
        <f ca="1">IFERROR(__xludf.DUMMYFUNCTION("""COMPUTED_VALUE"""),"MTLSZ000455A02")</f>
        <v>MTLSZ000455A02</v>
      </c>
      <c r="I4202" s="2">
        <f ca="1">IFERROR(__xludf.DUMMYFUNCTION("""COMPUTED_VALUE"""),37622)</f>
        <v>37622</v>
      </c>
      <c r="J4202" s="2">
        <f ca="1">IFERROR(__xludf.DUMMYFUNCTION("""COMPUTED_VALUE"""),37986)</f>
        <v>37986</v>
      </c>
    </row>
    <row r="4203" spans="1:10" x14ac:dyDescent="0.25">
      <c r="A4203" s="1" t="str">
        <f ca="1">IFERROR(__xludf.DUMMYFUNCTION("""COMPUTED_VALUE"""),"Ságvári DSE")</f>
        <v>Ságvári DSE</v>
      </c>
      <c r="B4203" s="1" t="str">
        <f ca="1">IFERROR(__xludf.DUMMYFUNCTION("""COMPUTED_VALUE"""),"Keresztúri Zoltán")</f>
        <v>Keresztúri Zoltán</v>
      </c>
      <c r="C4203" s="1"/>
      <c r="D4203" s="1" t="str">
        <f ca="1">IFERROR(__xludf.DUMMYFUNCTION("""COMPUTED_VALUE"""),"Férfi")</f>
        <v>Férfi</v>
      </c>
      <c r="E4203" s="1"/>
      <c r="F4203" s="1">
        <f ca="1">IFERROR(__xludf.DUMMYFUNCTION("""COMPUTED_VALUE"""),2000)</f>
        <v>2000</v>
      </c>
      <c r="G4203" s="1">
        <f ca="1">IFERROR(__xludf.DUMMYFUNCTION("""COMPUTED_VALUE"""),457)</f>
        <v>457</v>
      </c>
      <c r="H4203" s="1" t="str">
        <f ca="1">IFERROR(__xludf.DUMMYFUNCTION("""COMPUTED_VALUE"""),"MTLSZ000457A02")</f>
        <v>MTLSZ000457A02</v>
      </c>
      <c r="I4203" s="2">
        <f ca="1">IFERROR(__xludf.DUMMYFUNCTION("""COMPUTED_VALUE"""),37622)</f>
        <v>37622</v>
      </c>
      <c r="J4203" s="2">
        <f ca="1">IFERROR(__xludf.DUMMYFUNCTION("""COMPUTED_VALUE"""),37986)</f>
        <v>37986</v>
      </c>
    </row>
    <row r="4204" spans="1:10" x14ac:dyDescent="0.25">
      <c r="A4204" s="1" t="str">
        <f ca="1">IFERROR(__xludf.DUMMYFUNCTION("""COMPUTED_VALUE"""),"Ságvári DSE")</f>
        <v>Ságvári DSE</v>
      </c>
      <c r="B4204" s="1" t="str">
        <f ca="1">IFERROR(__xludf.DUMMYFUNCTION("""COMPUTED_VALUE"""),"Major István")</f>
        <v>Major István</v>
      </c>
      <c r="C4204" s="1"/>
      <c r="D4204" s="1" t="str">
        <f ca="1">IFERROR(__xludf.DUMMYFUNCTION("""COMPUTED_VALUE"""),"Férfi")</f>
        <v>Férfi</v>
      </c>
      <c r="E4204" s="1"/>
      <c r="F4204" s="1">
        <f ca="1">IFERROR(__xludf.DUMMYFUNCTION("""COMPUTED_VALUE"""),1983)</f>
        <v>1983</v>
      </c>
      <c r="G4204" s="1">
        <f ca="1">IFERROR(__xludf.DUMMYFUNCTION("""COMPUTED_VALUE"""),609)</f>
        <v>609</v>
      </c>
      <c r="H4204" s="1" t="str">
        <f ca="1">IFERROR(__xludf.DUMMYFUNCTION("""COMPUTED_VALUE"""),"MTLSZ000609A02")</f>
        <v>MTLSZ000609A02</v>
      </c>
      <c r="I4204" s="2">
        <f ca="1">IFERROR(__xludf.DUMMYFUNCTION("""COMPUTED_VALUE"""),37622)</f>
        <v>37622</v>
      </c>
      <c r="J4204" s="2">
        <f ca="1">IFERROR(__xludf.DUMMYFUNCTION("""COMPUTED_VALUE"""),37986)</f>
        <v>37986</v>
      </c>
    </row>
    <row r="4205" spans="1:10" x14ac:dyDescent="0.25">
      <c r="A4205" s="1" t="str">
        <f ca="1">IFERROR(__xludf.DUMMYFUNCTION("""COMPUTED_VALUE"""),"Ságvári DSE")</f>
        <v>Ságvári DSE</v>
      </c>
      <c r="B4205" s="1" t="str">
        <f ca="1">IFERROR(__xludf.DUMMYFUNCTION("""COMPUTED_VALUE"""),"Maróti Dániel")</f>
        <v>Maróti Dániel</v>
      </c>
      <c r="C4205" s="1"/>
      <c r="D4205" s="1" t="str">
        <f ca="1">IFERROR(__xludf.DUMMYFUNCTION("""COMPUTED_VALUE"""),"Férfi")</f>
        <v>Férfi</v>
      </c>
      <c r="E4205" s="1"/>
      <c r="F4205" s="1">
        <f ca="1">IFERROR(__xludf.DUMMYFUNCTION("""COMPUTED_VALUE"""),1983)</f>
        <v>1983</v>
      </c>
      <c r="G4205" s="1">
        <f ca="1">IFERROR(__xludf.DUMMYFUNCTION("""COMPUTED_VALUE"""),620)</f>
        <v>620</v>
      </c>
      <c r="H4205" s="1" t="str">
        <f ca="1">IFERROR(__xludf.DUMMYFUNCTION("""COMPUTED_VALUE"""),"MTLSZ000620A02")</f>
        <v>MTLSZ000620A02</v>
      </c>
      <c r="I4205" s="2">
        <f ca="1">IFERROR(__xludf.DUMMYFUNCTION("""COMPUTED_VALUE"""),37622)</f>
        <v>37622</v>
      </c>
      <c r="J4205" s="2">
        <f ca="1">IFERROR(__xludf.DUMMYFUNCTION("""COMPUTED_VALUE"""),37986)</f>
        <v>37986</v>
      </c>
    </row>
    <row r="4206" spans="1:10" x14ac:dyDescent="0.25">
      <c r="A4206" s="1" t="str">
        <f ca="1">IFERROR(__xludf.DUMMYFUNCTION("""COMPUTED_VALUE"""),"Ságvári DSE")</f>
        <v>Ságvári DSE</v>
      </c>
      <c r="B4206" s="1" t="str">
        <f ca="1">IFERROR(__xludf.DUMMYFUNCTION("""COMPUTED_VALUE"""),"Németh Péter")</f>
        <v>Németh Péter</v>
      </c>
      <c r="C4206" s="1"/>
      <c r="D4206" s="1" t="str">
        <f ca="1">IFERROR(__xludf.DUMMYFUNCTION("""COMPUTED_VALUE"""),"Férfi")</f>
        <v>Férfi</v>
      </c>
      <c r="E4206" s="1"/>
      <c r="F4206" s="1">
        <f ca="1">IFERROR(__xludf.DUMMYFUNCTION("""COMPUTED_VALUE"""),1983)</f>
        <v>1983</v>
      </c>
      <c r="G4206" s="1">
        <f ca="1">IFERROR(__xludf.DUMMYFUNCTION("""COMPUTED_VALUE"""),709)</f>
        <v>709</v>
      </c>
      <c r="H4206" s="1" t="str">
        <f ca="1">IFERROR(__xludf.DUMMYFUNCTION("""COMPUTED_VALUE"""),"MTLSZ000709A02")</f>
        <v>MTLSZ000709A02</v>
      </c>
      <c r="I4206" s="2">
        <f ca="1">IFERROR(__xludf.DUMMYFUNCTION("""COMPUTED_VALUE"""),37622)</f>
        <v>37622</v>
      </c>
      <c r="J4206" s="2">
        <f ca="1">IFERROR(__xludf.DUMMYFUNCTION("""COMPUTED_VALUE"""),37986)</f>
        <v>37986</v>
      </c>
    </row>
    <row r="4207" spans="1:10" x14ac:dyDescent="0.25">
      <c r="A4207" s="1" t="str">
        <f ca="1">IFERROR(__xludf.DUMMYFUNCTION("""COMPUTED_VALUE"""),"Ságvári DSE")</f>
        <v>Ságvári DSE</v>
      </c>
      <c r="B4207" s="1" t="str">
        <f ca="1">IFERROR(__xludf.DUMMYFUNCTION("""COMPUTED_VALUE"""),"Papp Andrea")</f>
        <v>Papp Andrea</v>
      </c>
      <c r="C4207" s="1"/>
      <c r="D4207" s="1" t="str">
        <f ca="1">IFERROR(__xludf.DUMMYFUNCTION("""COMPUTED_VALUE"""),"Nő")</f>
        <v>Nő</v>
      </c>
      <c r="E4207" s="1"/>
      <c r="F4207" s="1">
        <f ca="1">IFERROR(__xludf.DUMMYFUNCTION("""COMPUTED_VALUE"""),1967)</f>
        <v>1967</v>
      </c>
      <c r="G4207" s="1">
        <f ca="1">IFERROR(__xludf.DUMMYFUNCTION("""COMPUTED_VALUE"""),746)</f>
        <v>746</v>
      </c>
      <c r="H4207" s="1" t="str">
        <f ca="1">IFERROR(__xludf.DUMMYFUNCTION("""COMPUTED_VALUE"""),"MTLSZ000746A02")</f>
        <v>MTLSZ000746A02</v>
      </c>
      <c r="I4207" s="2">
        <f ca="1">IFERROR(__xludf.DUMMYFUNCTION("""COMPUTED_VALUE"""),37622)</f>
        <v>37622</v>
      </c>
      <c r="J4207" s="2">
        <f ca="1">IFERROR(__xludf.DUMMYFUNCTION("""COMPUTED_VALUE"""),37986)</f>
        <v>37986</v>
      </c>
    </row>
    <row r="4208" spans="1:10" x14ac:dyDescent="0.25">
      <c r="A4208" s="1" t="str">
        <f ca="1">IFERROR(__xludf.DUMMYFUNCTION("""COMPUTED_VALUE"""),"Ságvári DSE")</f>
        <v>Ságvári DSE</v>
      </c>
      <c r="B4208" s="1" t="str">
        <f ca="1">IFERROR(__xludf.DUMMYFUNCTION("""COMPUTED_VALUE"""),"Papp Kinga")</f>
        <v>Papp Kinga</v>
      </c>
      <c r="C4208" s="1"/>
      <c r="D4208" s="1" t="str">
        <f ca="1">IFERROR(__xludf.DUMMYFUNCTION("""COMPUTED_VALUE"""),"Nő")</f>
        <v>Nő</v>
      </c>
      <c r="E4208" s="1"/>
      <c r="F4208" s="1">
        <f ca="1">IFERROR(__xludf.DUMMYFUNCTION("""COMPUTED_VALUE"""),1986)</f>
        <v>1986</v>
      </c>
      <c r="G4208" s="1">
        <f ca="1">IFERROR(__xludf.DUMMYFUNCTION("""COMPUTED_VALUE"""),752)</f>
        <v>752</v>
      </c>
      <c r="H4208" s="1" t="str">
        <f ca="1">IFERROR(__xludf.DUMMYFUNCTION("""COMPUTED_VALUE"""),"MTLSZ000752A02")</f>
        <v>MTLSZ000752A02</v>
      </c>
      <c r="I4208" s="2">
        <f ca="1">IFERROR(__xludf.DUMMYFUNCTION("""COMPUTED_VALUE"""),37622)</f>
        <v>37622</v>
      </c>
      <c r="J4208" s="2">
        <f ca="1">IFERROR(__xludf.DUMMYFUNCTION("""COMPUTED_VALUE"""),37986)</f>
        <v>37986</v>
      </c>
    </row>
    <row r="4209" spans="1:10" x14ac:dyDescent="0.25">
      <c r="A4209" s="1" t="str">
        <f ca="1">IFERROR(__xludf.DUMMYFUNCTION("""COMPUTED_VALUE"""),"Ságvári DSE")</f>
        <v>Ságvári DSE</v>
      </c>
      <c r="B4209" s="1" t="str">
        <f ca="1">IFERROR(__xludf.DUMMYFUNCTION("""COMPUTED_VALUE"""),"Patik Angéla")</f>
        <v>Patik Angéla</v>
      </c>
      <c r="C4209" s="1"/>
      <c r="D4209" s="1" t="str">
        <f ca="1">IFERROR(__xludf.DUMMYFUNCTION("""COMPUTED_VALUE"""),"Nő")</f>
        <v>Nő</v>
      </c>
      <c r="E4209" s="1"/>
      <c r="F4209" s="1">
        <f ca="1">IFERROR(__xludf.DUMMYFUNCTION("""COMPUTED_VALUE"""),1970)</f>
        <v>1970</v>
      </c>
      <c r="G4209" s="1">
        <f ca="1">IFERROR(__xludf.DUMMYFUNCTION("""COMPUTED_VALUE"""),760)</f>
        <v>760</v>
      </c>
      <c r="H4209" s="1" t="str">
        <f ca="1">IFERROR(__xludf.DUMMYFUNCTION("""COMPUTED_VALUE"""),"MTLSZ000760A02")</f>
        <v>MTLSZ000760A02</v>
      </c>
      <c r="I4209" s="2">
        <f ca="1">IFERROR(__xludf.DUMMYFUNCTION("""COMPUTED_VALUE"""),37622)</f>
        <v>37622</v>
      </c>
      <c r="J4209" s="2">
        <f ca="1">IFERROR(__xludf.DUMMYFUNCTION("""COMPUTED_VALUE"""),37986)</f>
        <v>37986</v>
      </c>
    </row>
    <row r="4210" spans="1:10" x14ac:dyDescent="0.25">
      <c r="A4210" s="1" t="str">
        <f ca="1">IFERROR(__xludf.DUMMYFUNCTION("""COMPUTED_VALUE"""),"Ságvári DSE")</f>
        <v>Ságvári DSE</v>
      </c>
      <c r="B4210" s="1" t="str">
        <f ca="1">IFERROR(__xludf.DUMMYFUNCTION("""COMPUTED_VALUE"""),"Silay Tünde")</f>
        <v>Silay Tünde</v>
      </c>
      <c r="C4210" s="1"/>
      <c r="D4210" s="1" t="str">
        <f ca="1">IFERROR(__xludf.DUMMYFUNCTION("""COMPUTED_VALUE"""),"Nő")</f>
        <v>Nő</v>
      </c>
      <c r="E4210" s="1"/>
      <c r="F4210" s="1">
        <f ca="1">IFERROR(__xludf.DUMMYFUNCTION("""COMPUTED_VALUE"""),1979)</f>
        <v>1979</v>
      </c>
      <c r="G4210" s="1">
        <f ca="1">IFERROR(__xludf.DUMMYFUNCTION("""COMPUTED_VALUE"""),853)</f>
        <v>853</v>
      </c>
      <c r="H4210" s="1" t="str">
        <f ca="1">IFERROR(__xludf.DUMMYFUNCTION("""COMPUTED_VALUE"""),"MTLSZ000853A02")</f>
        <v>MTLSZ000853A02</v>
      </c>
      <c r="I4210" s="2">
        <f ca="1">IFERROR(__xludf.DUMMYFUNCTION("""COMPUTED_VALUE"""),37622)</f>
        <v>37622</v>
      </c>
      <c r="J4210" s="2">
        <f ca="1">IFERROR(__xludf.DUMMYFUNCTION("""COMPUTED_VALUE"""),37986)</f>
        <v>37986</v>
      </c>
    </row>
    <row r="4211" spans="1:10" x14ac:dyDescent="0.25">
      <c r="A4211" s="1" t="str">
        <f ca="1">IFERROR(__xludf.DUMMYFUNCTION("""COMPUTED_VALUE"""),"Ságvári DSE")</f>
        <v>Ságvári DSE</v>
      </c>
      <c r="B4211" s="1" t="str">
        <f ca="1">IFERROR(__xludf.DUMMYFUNCTION("""COMPUTED_VALUE"""),"Tary Péter")</f>
        <v>Tary Péter</v>
      </c>
      <c r="C4211" s="1"/>
      <c r="D4211" s="1" t="str">
        <f ca="1">IFERROR(__xludf.DUMMYFUNCTION("""COMPUTED_VALUE"""),"Férfi")</f>
        <v>Férfi</v>
      </c>
      <c r="E4211" s="1"/>
      <c r="F4211" s="1">
        <f ca="1">IFERROR(__xludf.DUMMYFUNCTION("""COMPUTED_VALUE"""),1984)</f>
        <v>1984</v>
      </c>
      <c r="G4211" s="1">
        <f ca="1">IFERROR(__xludf.DUMMYFUNCTION("""COMPUTED_VALUE"""),1004)</f>
        <v>1004</v>
      </c>
      <c r="H4211" s="1" t="str">
        <f ca="1">IFERROR(__xludf.DUMMYFUNCTION("""COMPUTED_VALUE"""),"MTLSZ001004A02")</f>
        <v>MTLSZ001004A02</v>
      </c>
      <c r="I4211" s="2">
        <f ca="1">IFERROR(__xludf.DUMMYFUNCTION("""COMPUTED_VALUE"""),37622)</f>
        <v>37622</v>
      </c>
      <c r="J4211" s="2">
        <f ca="1">IFERROR(__xludf.DUMMYFUNCTION("""COMPUTED_VALUE"""),37986)</f>
        <v>37986</v>
      </c>
    </row>
    <row r="4212" spans="1:10" x14ac:dyDescent="0.25">
      <c r="A4212" s="1" t="str">
        <f ca="1">IFERROR(__xludf.DUMMYFUNCTION("""COMPUTED_VALUE"""),"Ságvári DSE")</f>
        <v>Ságvári DSE</v>
      </c>
      <c r="B4212" s="1" t="str">
        <f ca="1">IFERROR(__xludf.DUMMYFUNCTION("""COMPUTED_VALUE"""),"Tasnádi Gábor")</f>
        <v>Tasnádi Gábor</v>
      </c>
      <c r="C4212" s="1"/>
      <c r="D4212" s="1" t="str">
        <f ca="1">IFERROR(__xludf.DUMMYFUNCTION("""COMPUTED_VALUE"""),"Férfi")</f>
        <v>Férfi</v>
      </c>
      <c r="E4212" s="1"/>
      <c r="F4212" s="1">
        <f ca="1">IFERROR(__xludf.DUMMYFUNCTION("""COMPUTED_VALUE"""),1982)</f>
        <v>1982</v>
      </c>
      <c r="G4212" s="1">
        <f ca="1">IFERROR(__xludf.DUMMYFUNCTION("""COMPUTED_VALUE"""),1005)</f>
        <v>1005</v>
      </c>
      <c r="H4212" s="1" t="str">
        <f ca="1">IFERROR(__xludf.DUMMYFUNCTION("""COMPUTED_VALUE"""),"MTLSZ001005A02")</f>
        <v>MTLSZ001005A02</v>
      </c>
      <c r="I4212" s="2">
        <f ca="1">IFERROR(__xludf.DUMMYFUNCTION("""COMPUTED_VALUE"""),37622)</f>
        <v>37622</v>
      </c>
      <c r="J4212" s="2">
        <f ca="1">IFERROR(__xludf.DUMMYFUNCTION("""COMPUTED_VALUE"""),37986)</f>
        <v>37986</v>
      </c>
    </row>
    <row r="4213" spans="1:10" x14ac:dyDescent="0.25">
      <c r="A4213" s="1" t="str">
        <f ca="1">IFERROR(__xludf.DUMMYFUNCTION("""COMPUTED_VALUE"""),"Ságvári DSE")</f>
        <v>Ságvári DSE</v>
      </c>
      <c r="B4213" s="1" t="str">
        <f ca="1">IFERROR(__xludf.DUMMYFUNCTION("""COMPUTED_VALUE"""),"Törő Andrea")</f>
        <v>Törő Andrea</v>
      </c>
      <c r="C4213" s="1"/>
      <c r="D4213" s="1" t="str">
        <f ca="1">IFERROR(__xludf.DUMMYFUNCTION("""COMPUTED_VALUE"""),"Nő")</f>
        <v>Nő</v>
      </c>
      <c r="E4213" s="1"/>
      <c r="F4213" s="1">
        <f ca="1">IFERROR(__xludf.DUMMYFUNCTION("""COMPUTED_VALUE"""),1985)</f>
        <v>1985</v>
      </c>
      <c r="G4213" s="1">
        <f ca="1">IFERROR(__xludf.DUMMYFUNCTION("""COMPUTED_VALUE"""),1067)</f>
        <v>1067</v>
      </c>
      <c r="H4213" s="1" t="str">
        <f ca="1">IFERROR(__xludf.DUMMYFUNCTION("""COMPUTED_VALUE"""),"MTLSZ001067A02")</f>
        <v>MTLSZ001067A02</v>
      </c>
      <c r="I4213" s="2">
        <f ca="1">IFERROR(__xludf.DUMMYFUNCTION("""COMPUTED_VALUE"""),37622)</f>
        <v>37622</v>
      </c>
      <c r="J4213" s="2">
        <f ca="1">IFERROR(__xludf.DUMMYFUNCTION("""COMPUTED_VALUE"""),37986)</f>
        <v>37986</v>
      </c>
    </row>
    <row r="4214" spans="1:10" x14ac:dyDescent="0.25">
      <c r="A4214" s="1" t="str">
        <f ca="1">IFERROR(__xludf.DUMMYFUNCTION("""COMPUTED_VALUE"""),"Ságvári DSE")</f>
        <v>Ságvári DSE</v>
      </c>
      <c r="B4214" s="1" t="str">
        <f ca="1">IFERROR(__xludf.DUMMYFUNCTION("""COMPUTED_VALUE"""),"Vass Dániel")</f>
        <v>Vass Dániel</v>
      </c>
      <c r="C4214" s="1"/>
      <c r="D4214" s="1" t="str">
        <f ca="1">IFERROR(__xludf.DUMMYFUNCTION("""COMPUTED_VALUE"""),"Férfi")</f>
        <v>Férfi</v>
      </c>
      <c r="E4214" s="1"/>
      <c r="F4214" s="1">
        <f ca="1">IFERROR(__xludf.DUMMYFUNCTION("""COMPUTED_VALUE"""),1989)</f>
        <v>1989</v>
      </c>
      <c r="G4214" s="1">
        <f ca="1">IFERROR(__xludf.DUMMYFUNCTION("""COMPUTED_VALUE"""),1105)</f>
        <v>1105</v>
      </c>
      <c r="H4214" s="1" t="str">
        <f ca="1">IFERROR(__xludf.DUMMYFUNCTION("""COMPUTED_VALUE"""),"MTLSZ001105A02")</f>
        <v>MTLSZ001105A02</v>
      </c>
      <c r="I4214" s="2">
        <f ca="1">IFERROR(__xludf.DUMMYFUNCTION("""COMPUTED_VALUE"""),37622)</f>
        <v>37622</v>
      </c>
      <c r="J4214" s="2">
        <f ca="1">IFERROR(__xludf.DUMMYFUNCTION("""COMPUTED_VALUE"""),37986)</f>
        <v>37986</v>
      </c>
    </row>
    <row r="4215" spans="1:10" x14ac:dyDescent="0.25">
      <c r="A4215" s="1" t="str">
        <f ca="1">IFERROR(__xludf.DUMMYFUNCTION("""COMPUTED_VALUE"""),"Ságvári DSE")</f>
        <v>Ságvári DSE</v>
      </c>
      <c r="B4215" s="1" t="str">
        <f ca="1">IFERROR(__xludf.DUMMYFUNCTION("""COMPUTED_VALUE"""),"Vetró Éva")</f>
        <v>Vetró Éva</v>
      </c>
      <c r="C4215" s="1"/>
      <c r="D4215" s="1" t="str">
        <f ca="1">IFERROR(__xludf.DUMMYFUNCTION("""COMPUTED_VALUE"""),"Nő")</f>
        <v>Nő</v>
      </c>
      <c r="E4215" s="1"/>
      <c r="F4215" s="1">
        <f ca="1">IFERROR(__xludf.DUMMYFUNCTION("""COMPUTED_VALUE"""),1985)</f>
        <v>1985</v>
      </c>
      <c r="G4215" s="1">
        <f ca="1">IFERROR(__xludf.DUMMYFUNCTION("""COMPUTED_VALUE"""),1118)</f>
        <v>1118</v>
      </c>
      <c r="H4215" s="1" t="str">
        <f ca="1">IFERROR(__xludf.DUMMYFUNCTION("""COMPUTED_VALUE"""),"MTLSZ001118A02")</f>
        <v>MTLSZ001118A02</v>
      </c>
      <c r="I4215" s="2">
        <f ca="1">IFERROR(__xludf.DUMMYFUNCTION("""COMPUTED_VALUE"""),37622)</f>
        <v>37622</v>
      </c>
      <c r="J4215" s="2">
        <f ca="1">IFERROR(__xludf.DUMMYFUNCTION("""COMPUTED_VALUE"""),37986)</f>
        <v>37986</v>
      </c>
    </row>
    <row r="4216" spans="1:10" x14ac:dyDescent="0.25">
      <c r="A4216" s="1" t="str">
        <f ca="1">IFERROR(__xludf.DUMMYFUNCTION("""COMPUTED_VALUE"""),"Ságvári DSE")</f>
        <v>Ságvári DSE</v>
      </c>
      <c r="B4216" s="1" t="str">
        <f ca="1">IFERROR(__xludf.DUMMYFUNCTION("""COMPUTED_VALUE"""),"Vetró Katalin")</f>
        <v>Vetró Katalin</v>
      </c>
      <c r="C4216" s="1"/>
      <c r="D4216" s="1" t="str">
        <f ca="1">IFERROR(__xludf.DUMMYFUNCTION("""COMPUTED_VALUE"""),"Nő")</f>
        <v>Nő</v>
      </c>
      <c r="E4216" s="1"/>
      <c r="F4216" s="1">
        <f ca="1">IFERROR(__xludf.DUMMYFUNCTION("""COMPUTED_VALUE"""),1986)</f>
        <v>1986</v>
      </c>
      <c r="G4216" s="1">
        <f ca="1">IFERROR(__xludf.DUMMYFUNCTION("""COMPUTED_VALUE"""),1119)</f>
        <v>1119</v>
      </c>
      <c r="H4216" s="1" t="str">
        <f ca="1">IFERROR(__xludf.DUMMYFUNCTION("""COMPUTED_VALUE"""),"MTLSZ001119A02")</f>
        <v>MTLSZ001119A02</v>
      </c>
      <c r="I4216" s="2">
        <f ca="1">IFERROR(__xludf.DUMMYFUNCTION("""COMPUTED_VALUE"""),37622)</f>
        <v>37622</v>
      </c>
      <c r="J4216" s="2">
        <f ca="1">IFERROR(__xludf.DUMMYFUNCTION("""COMPUTED_VALUE"""),37986)</f>
        <v>37986</v>
      </c>
    </row>
    <row r="4217" spans="1:10" x14ac:dyDescent="0.25">
      <c r="A4217" s="1" t="str">
        <f ca="1">IFERROR(__xludf.DUMMYFUNCTION("""COMPUTED_VALUE"""),"Segesi DE")</f>
        <v>Segesi DE</v>
      </c>
      <c r="B4217" s="1" t="str">
        <f ca="1">IFERROR(__xludf.DUMMYFUNCTION("""COMPUTED_VALUE"""),"Barta Tibor")</f>
        <v>Barta Tibor</v>
      </c>
      <c r="C4217" s="1"/>
      <c r="D4217" s="1" t="str">
        <f ca="1">IFERROR(__xludf.DUMMYFUNCTION("""COMPUTED_VALUE"""),"Férfi")</f>
        <v>Férfi</v>
      </c>
      <c r="E4217" s="1"/>
      <c r="F4217" s="1">
        <f ca="1">IFERROR(__xludf.DUMMYFUNCTION("""COMPUTED_VALUE"""),1990)</f>
        <v>1990</v>
      </c>
      <c r="G4217" s="1">
        <f ca="1">IFERROR(__xludf.DUMMYFUNCTION("""COMPUTED_VALUE"""),62)</f>
        <v>62</v>
      </c>
      <c r="H4217" s="1" t="str">
        <f ca="1">IFERROR(__xludf.DUMMYFUNCTION("""COMPUTED_VALUE"""),"MTLSZ000062A02")</f>
        <v>MTLSZ000062A02</v>
      </c>
      <c r="I4217" s="2">
        <f ca="1">IFERROR(__xludf.DUMMYFUNCTION("""COMPUTED_VALUE"""),37622)</f>
        <v>37622</v>
      </c>
      <c r="J4217" s="2">
        <f ca="1">IFERROR(__xludf.DUMMYFUNCTION("""COMPUTED_VALUE"""),37986)</f>
        <v>37986</v>
      </c>
    </row>
    <row r="4218" spans="1:10" x14ac:dyDescent="0.25">
      <c r="A4218" s="1" t="str">
        <f ca="1">IFERROR(__xludf.DUMMYFUNCTION("""COMPUTED_VALUE"""),"Segesi DE")</f>
        <v>Segesi DE</v>
      </c>
      <c r="B4218" s="1" t="str">
        <f ca="1">IFERROR(__xludf.DUMMYFUNCTION("""COMPUTED_VALUE"""),"Bazsika Gábor")</f>
        <v>Bazsika Gábor</v>
      </c>
      <c r="C4218" s="1"/>
      <c r="D4218" s="1" t="str">
        <f ca="1">IFERROR(__xludf.DUMMYFUNCTION("""COMPUTED_VALUE"""),"Férfi")</f>
        <v>Férfi</v>
      </c>
      <c r="E4218" s="1"/>
      <c r="F4218" s="1">
        <f ca="1">IFERROR(__xludf.DUMMYFUNCTION("""COMPUTED_VALUE"""),1975)</f>
        <v>1975</v>
      </c>
      <c r="G4218" s="1">
        <f ca="1">IFERROR(__xludf.DUMMYFUNCTION("""COMPUTED_VALUE"""),68)</f>
        <v>68</v>
      </c>
      <c r="H4218" s="1" t="str">
        <f ca="1">IFERROR(__xludf.DUMMYFUNCTION("""COMPUTED_VALUE"""),"MTLSZ000068A02")</f>
        <v>MTLSZ000068A02</v>
      </c>
      <c r="I4218" s="2">
        <f ca="1">IFERROR(__xludf.DUMMYFUNCTION("""COMPUTED_VALUE"""),37622)</f>
        <v>37622</v>
      </c>
      <c r="J4218" s="2">
        <f ca="1">IFERROR(__xludf.DUMMYFUNCTION("""COMPUTED_VALUE"""),37986)</f>
        <v>37986</v>
      </c>
    </row>
    <row r="4219" spans="1:10" x14ac:dyDescent="0.25">
      <c r="A4219" s="1" t="str">
        <f ca="1">IFERROR(__xludf.DUMMYFUNCTION("""COMPUTED_VALUE"""),"Segesi DE")</f>
        <v>Segesi DE</v>
      </c>
      <c r="B4219" s="1" t="str">
        <f ca="1">IFERROR(__xludf.DUMMYFUNCTION("""COMPUTED_VALUE"""),"Bencze Andrea")</f>
        <v>Bencze Andrea</v>
      </c>
      <c r="C4219" s="1"/>
      <c r="D4219" s="1" t="str">
        <f ca="1">IFERROR(__xludf.DUMMYFUNCTION("""COMPUTED_VALUE"""),"Nő")</f>
        <v>Nő</v>
      </c>
      <c r="E4219" s="1"/>
      <c r="F4219" s="1">
        <f ca="1">IFERROR(__xludf.DUMMYFUNCTION("""COMPUTED_VALUE"""),1989)</f>
        <v>1989</v>
      </c>
      <c r="G4219" s="1">
        <f ca="1">IFERROR(__xludf.DUMMYFUNCTION("""COMPUTED_VALUE"""),71)</f>
        <v>71</v>
      </c>
      <c r="H4219" s="1" t="str">
        <f ca="1">IFERROR(__xludf.DUMMYFUNCTION("""COMPUTED_VALUE"""),"MTLSZ000071A02")</f>
        <v>MTLSZ000071A02</v>
      </c>
      <c r="I4219" s="2">
        <f ca="1">IFERROR(__xludf.DUMMYFUNCTION("""COMPUTED_VALUE"""),37622)</f>
        <v>37622</v>
      </c>
      <c r="J4219" s="2">
        <f ca="1">IFERROR(__xludf.DUMMYFUNCTION("""COMPUTED_VALUE"""),37986)</f>
        <v>37986</v>
      </c>
    </row>
    <row r="4220" spans="1:10" x14ac:dyDescent="0.25">
      <c r="A4220" s="1" t="str">
        <f ca="1">IFERROR(__xludf.DUMMYFUNCTION("""COMPUTED_VALUE"""),"Segesi DE")</f>
        <v>Segesi DE</v>
      </c>
      <c r="B4220" s="1" t="str">
        <f ca="1">IFERROR(__xludf.DUMMYFUNCTION("""COMPUTED_VALUE"""),"Böröcz Balázs")</f>
        <v>Böröcz Balázs</v>
      </c>
      <c r="C4220" s="1"/>
      <c r="D4220" s="1" t="str">
        <f ca="1">IFERROR(__xludf.DUMMYFUNCTION("""COMPUTED_VALUE"""),"Férfi")</f>
        <v>Férfi</v>
      </c>
      <c r="E4220" s="1"/>
      <c r="F4220" s="1">
        <f ca="1">IFERROR(__xludf.DUMMYFUNCTION("""COMPUTED_VALUE"""),1987)</f>
        <v>1987</v>
      </c>
      <c r="G4220" s="1">
        <f ca="1">IFERROR(__xludf.DUMMYFUNCTION("""COMPUTED_VALUE"""),123)</f>
        <v>123</v>
      </c>
      <c r="H4220" s="1" t="str">
        <f ca="1">IFERROR(__xludf.DUMMYFUNCTION("""COMPUTED_VALUE"""),"MTLSZ000123A02")</f>
        <v>MTLSZ000123A02</v>
      </c>
      <c r="I4220" s="2">
        <f ca="1">IFERROR(__xludf.DUMMYFUNCTION("""COMPUTED_VALUE"""),37622)</f>
        <v>37622</v>
      </c>
      <c r="J4220" s="2">
        <f ca="1">IFERROR(__xludf.DUMMYFUNCTION("""COMPUTED_VALUE"""),37986)</f>
        <v>37986</v>
      </c>
    </row>
    <row r="4221" spans="1:10" x14ac:dyDescent="0.25">
      <c r="A4221" s="1" t="str">
        <f ca="1">IFERROR(__xludf.DUMMYFUNCTION("""COMPUTED_VALUE"""),"Segesi DE")</f>
        <v>Segesi DE</v>
      </c>
      <c r="B4221" s="1" t="str">
        <f ca="1">IFERROR(__xludf.DUMMYFUNCTION("""COMPUTED_VALUE"""),"Csicskó Tímea")</f>
        <v>Csicskó Tímea</v>
      </c>
      <c r="C4221" s="1"/>
      <c r="D4221" s="1" t="str">
        <f ca="1">IFERROR(__xludf.DUMMYFUNCTION("""COMPUTED_VALUE"""),"Nő")</f>
        <v>Nő</v>
      </c>
      <c r="E4221" s="1"/>
      <c r="F4221" s="1">
        <f ca="1">IFERROR(__xludf.DUMMYFUNCTION("""COMPUTED_VALUE"""),1984)</f>
        <v>1984</v>
      </c>
      <c r="G4221" s="1">
        <f ca="1">IFERROR(__xludf.DUMMYFUNCTION("""COMPUTED_VALUE"""),143)</f>
        <v>143</v>
      </c>
      <c r="H4221" s="1" t="str">
        <f ca="1">IFERROR(__xludf.DUMMYFUNCTION("""COMPUTED_VALUE"""),"MTLSZ000143A02")</f>
        <v>MTLSZ000143A02</v>
      </c>
      <c r="I4221" s="2">
        <f ca="1">IFERROR(__xludf.DUMMYFUNCTION("""COMPUTED_VALUE"""),37622)</f>
        <v>37622</v>
      </c>
      <c r="J4221" s="2">
        <f ca="1">IFERROR(__xludf.DUMMYFUNCTION("""COMPUTED_VALUE"""),37986)</f>
        <v>37986</v>
      </c>
    </row>
    <row r="4222" spans="1:10" x14ac:dyDescent="0.25">
      <c r="A4222" s="1" t="str">
        <f ca="1">IFERROR(__xludf.DUMMYFUNCTION("""COMPUTED_VALUE"""),"Segesi DE")</f>
        <v>Segesi DE</v>
      </c>
      <c r="B4222" s="1" t="str">
        <f ca="1">IFERROR(__xludf.DUMMYFUNCTION("""COMPUTED_VALUE"""),"Egyed Lenke")</f>
        <v>Egyed Lenke</v>
      </c>
      <c r="C4222" s="1"/>
      <c r="D4222" s="1" t="str">
        <f ca="1">IFERROR(__xludf.DUMMYFUNCTION("""COMPUTED_VALUE"""),"Nő")</f>
        <v>Nő</v>
      </c>
      <c r="E4222" s="1"/>
      <c r="F4222" s="1">
        <f ca="1">IFERROR(__xludf.DUMMYFUNCTION("""COMPUTED_VALUE"""),1988)</f>
        <v>1988</v>
      </c>
      <c r="G4222" s="1">
        <f ca="1">IFERROR(__xludf.DUMMYFUNCTION("""COMPUTED_VALUE"""),211)</f>
        <v>211</v>
      </c>
      <c r="H4222" s="1" t="str">
        <f ca="1">IFERROR(__xludf.DUMMYFUNCTION("""COMPUTED_VALUE"""),"MTLSZ000211A02")</f>
        <v>MTLSZ000211A02</v>
      </c>
      <c r="I4222" s="2">
        <f ca="1">IFERROR(__xludf.DUMMYFUNCTION("""COMPUTED_VALUE"""),37622)</f>
        <v>37622</v>
      </c>
      <c r="J4222" s="2">
        <f ca="1">IFERROR(__xludf.DUMMYFUNCTION("""COMPUTED_VALUE"""),37986)</f>
        <v>37986</v>
      </c>
    </row>
    <row r="4223" spans="1:10" x14ac:dyDescent="0.25">
      <c r="A4223" s="1" t="str">
        <f ca="1">IFERROR(__xludf.DUMMYFUNCTION("""COMPUTED_VALUE"""),"Segesi DE")</f>
        <v>Segesi DE</v>
      </c>
      <c r="B4223" s="1" t="str">
        <f ca="1">IFERROR(__xludf.DUMMYFUNCTION("""COMPUTED_VALUE"""),"Farkas Zsolt")</f>
        <v>Farkas Zsolt</v>
      </c>
      <c r="C4223" s="1"/>
      <c r="D4223" s="1" t="str">
        <f ca="1">IFERROR(__xludf.DUMMYFUNCTION("""COMPUTED_VALUE"""),"Férfi")</f>
        <v>Férfi</v>
      </c>
      <c r="E4223" s="1"/>
      <c r="F4223" s="1">
        <f ca="1">IFERROR(__xludf.DUMMYFUNCTION("""COMPUTED_VALUE"""),1982)</f>
        <v>1982</v>
      </c>
      <c r="G4223" s="1">
        <f ca="1">IFERROR(__xludf.DUMMYFUNCTION("""COMPUTED_VALUE"""),235)</f>
        <v>235</v>
      </c>
      <c r="H4223" s="1" t="str">
        <f ca="1">IFERROR(__xludf.DUMMYFUNCTION("""COMPUTED_VALUE"""),"MTLSZ000235A02")</f>
        <v>MTLSZ000235A02</v>
      </c>
      <c r="I4223" s="2">
        <f ca="1">IFERROR(__xludf.DUMMYFUNCTION("""COMPUTED_VALUE"""),37622)</f>
        <v>37622</v>
      </c>
      <c r="J4223" s="2">
        <f ca="1">IFERROR(__xludf.DUMMYFUNCTION("""COMPUTED_VALUE"""),37986)</f>
        <v>37986</v>
      </c>
    </row>
    <row r="4224" spans="1:10" x14ac:dyDescent="0.25">
      <c r="A4224" s="1" t="str">
        <f ca="1">IFERROR(__xludf.DUMMYFUNCTION("""COMPUTED_VALUE"""),"Segesi DE")</f>
        <v>Segesi DE</v>
      </c>
      <c r="B4224" s="1" t="str">
        <f ca="1">IFERROR(__xludf.DUMMYFUNCTION("""COMPUTED_VALUE"""),"Gyöngyösi Gergely")</f>
        <v>Gyöngyösi Gergely</v>
      </c>
      <c r="C4224" s="1"/>
      <c r="D4224" s="1" t="str">
        <f ca="1">IFERROR(__xludf.DUMMYFUNCTION("""COMPUTED_VALUE"""),"Férfi")</f>
        <v>Férfi</v>
      </c>
      <c r="E4224" s="1"/>
      <c r="F4224" s="1">
        <f ca="1">IFERROR(__xludf.DUMMYFUNCTION("""COMPUTED_VALUE"""),1986)</f>
        <v>1986</v>
      </c>
      <c r="G4224" s="1">
        <f ca="1">IFERROR(__xludf.DUMMYFUNCTION("""COMPUTED_VALUE"""),323)</f>
        <v>323</v>
      </c>
      <c r="H4224" s="1" t="str">
        <f ca="1">IFERROR(__xludf.DUMMYFUNCTION("""COMPUTED_VALUE"""),"MTLSZ000323A02")</f>
        <v>MTLSZ000323A02</v>
      </c>
      <c r="I4224" s="2">
        <f ca="1">IFERROR(__xludf.DUMMYFUNCTION("""COMPUTED_VALUE"""),37622)</f>
        <v>37622</v>
      </c>
      <c r="J4224" s="2">
        <f ca="1">IFERROR(__xludf.DUMMYFUNCTION("""COMPUTED_VALUE"""),37986)</f>
        <v>37986</v>
      </c>
    </row>
    <row r="4225" spans="1:10" x14ac:dyDescent="0.25">
      <c r="A4225" s="1" t="str">
        <f ca="1">IFERROR(__xludf.DUMMYFUNCTION("""COMPUTED_VALUE"""),"Segesi DE")</f>
        <v>Segesi DE</v>
      </c>
      <c r="B4225" s="1" t="str">
        <f ca="1">IFERROR(__xludf.DUMMYFUNCTION("""COMPUTED_VALUE"""),"Horváth Attila")</f>
        <v>Horváth Attila</v>
      </c>
      <c r="C4225" s="1"/>
      <c r="D4225" s="1" t="str">
        <f ca="1">IFERROR(__xludf.DUMMYFUNCTION("""COMPUTED_VALUE"""),"Férfi")</f>
        <v>Férfi</v>
      </c>
      <c r="E4225" s="1"/>
      <c r="F4225" s="1">
        <f ca="1">IFERROR(__xludf.DUMMYFUNCTION("""COMPUTED_VALUE"""),1985)</f>
        <v>1985</v>
      </c>
      <c r="G4225" s="1">
        <f ca="1">IFERROR(__xludf.DUMMYFUNCTION("""COMPUTED_VALUE"""),366)</f>
        <v>366</v>
      </c>
      <c r="H4225" s="1" t="str">
        <f ca="1">IFERROR(__xludf.DUMMYFUNCTION("""COMPUTED_VALUE"""),"MTLSZ000366A02")</f>
        <v>MTLSZ000366A02</v>
      </c>
      <c r="I4225" s="2">
        <f ca="1">IFERROR(__xludf.DUMMYFUNCTION("""COMPUTED_VALUE"""),37622)</f>
        <v>37622</v>
      </c>
      <c r="J4225" s="2">
        <f ca="1">IFERROR(__xludf.DUMMYFUNCTION("""COMPUTED_VALUE"""),37986)</f>
        <v>37986</v>
      </c>
    </row>
    <row r="4226" spans="1:10" x14ac:dyDescent="0.25">
      <c r="A4226" s="1" t="str">
        <f ca="1">IFERROR(__xludf.DUMMYFUNCTION("""COMPUTED_VALUE"""),"Segesi DE")</f>
        <v>Segesi DE</v>
      </c>
      <c r="B4226" s="1" t="str">
        <f ca="1">IFERROR(__xludf.DUMMYFUNCTION("""COMPUTED_VALUE"""),"Horváth Csilla")</f>
        <v>Horváth Csilla</v>
      </c>
      <c r="C4226" s="1"/>
      <c r="D4226" s="1" t="str">
        <f ca="1">IFERROR(__xludf.DUMMYFUNCTION("""COMPUTED_VALUE"""),"Nő")</f>
        <v>Nő</v>
      </c>
      <c r="E4226" s="1"/>
      <c r="F4226" s="1">
        <f ca="1">IFERROR(__xludf.DUMMYFUNCTION("""COMPUTED_VALUE"""),1984)</f>
        <v>1984</v>
      </c>
      <c r="G4226" s="1">
        <f ca="1">IFERROR(__xludf.DUMMYFUNCTION("""COMPUTED_VALUE"""),370)</f>
        <v>370</v>
      </c>
      <c r="H4226" s="1" t="str">
        <f ca="1">IFERROR(__xludf.DUMMYFUNCTION("""COMPUTED_VALUE"""),"MTLSZ000370A02")</f>
        <v>MTLSZ000370A02</v>
      </c>
      <c r="I4226" s="2">
        <f ca="1">IFERROR(__xludf.DUMMYFUNCTION("""COMPUTED_VALUE"""),37622)</f>
        <v>37622</v>
      </c>
      <c r="J4226" s="2">
        <f ca="1">IFERROR(__xludf.DUMMYFUNCTION("""COMPUTED_VALUE"""),37986)</f>
        <v>37986</v>
      </c>
    </row>
    <row r="4227" spans="1:10" x14ac:dyDescent="0.25">
      <c r="A4227" s="1" t="str">
        <f ca="1">IFERROR(__xludf.DUMMYFUNCTION("""COMPUTED_VALUE"""),"Segesi DE")</f>
        <v>Segesi DE</v>
      </c>
      <c r="B4227" s="1" t="str">
        <f ca="1">IFERROR(__xludf.DUMMYFUNCTION("""COMPUTED_VALUE"""),"Horváth Tamás")</f>
        <v>Horváth Tamás</v>
      </c>
      <c r="C4227" s="1"/>
      <c r="D4227" s="1" t="str">
        <f ca="1">IFERROR(__xludf.DUMMYFUNCTION("""COMPUTED_VALUE"""),"Férfi")</f>
        <v>Férfi</v>
      </c>
      <c r="E4227" s="1"/>
      <c r="F4227" s="1">
        <f ca="1">IFERROR(__xludf.DUMMYFUNCTION("""COMPUTED_VALUE"""),1986)</f>
        <v>1986</v>
      </c>
      <c r="G4227" s="1">
        <f ca="1">IFERROR(__xludf.DUMMYFUNCTION("""COMPUTED_VALUE"""),382)</f>
        <v>382</v>
      </c>
      <c r="H4227" s="1" t="str">
        <f ca="1">IFERROR(__xludf.DUMMYFUNCTION("""COMPUTED_VALUE"""),"MTLSZ000382A02")</f>
        <v>MTLSZ000382A02</v>
      </c>
      <c r="I4227" s="2">
        <f ca="1">IFERROR(__xludf.DUMMYFUNCTION("""COMPUTED_VALUE"""),37622)</f>
        <v>37622</v>
      </c>
      <c r="J4227" s="2">
        <f ca="1">IFERROR(__xludf.DUMMYFUNCTION("""COMPUTED_VALUE"""),37986)</f>
        <v>37986</v>
      </c>
    </row>
    <row r="4228" spans="1:10" x14ac:dyDescent="0.25">
      <c r="A4228" s="1" t="str">
        <f ca="1">IFERROR(__xludf.DUMMYFUNCTION("""COMPUTED_VALUE"""),"Segesi DE")</f>
        <v>Segesi DE</v>
      </c>
      <c r="B4228" s="1" t="str">
        <f ca="1">IFERROR(__xludf.DUMMYFUNCTION("""COMPUTED_VALUE"""),"Karácsony László")</f>
        <v>Karácsony László</v>
      </c>
      <c r="C4228" s="1"/>
      <c r="D4228" s="1" t="str">
        <f ca="1">IFERROR(__xludf.DUMMYFUNCTION("""COMPUTED_VALUE"""),"Férfi")</f>
        <v>Férfi</v>
      </c>
      <c r="E4228" s="1"/>
      <c r="F4228" s="1">
        <f ca="1">IFERROR(__xludf.DUMMYFUNCTION("""COMPUTED_VALUE"""),1990)</f>
        <v>1990</v>
      </c>
      <c r="G4228" s="1">
        <f ca="1">IFERROR(__xludf.DUMMYFUNCTION("""COMPUTED_VALUE"""),436)</f>
        <v>436</v>
      </c>
      <c r="H4228" s="1" t="str">
        <f ca="1">IFERROR(__xludf.DUMMYFUNCTION("""COMPUTED_VALUE"""),"MTLSZ000436A02")</f>
        <v>MTLSZ000436A02</v>
      </c>
      <c r="I4228" s="2">
        <f ca="1">IFERROR(__xludf.DUMMYFUNCTION("""COMPUTED_VALUE"""),37622)</f>
        <v>37622</v>
      </c>
      <c r="J4228" s="2">
        <f ca="1">IFERROR(__xludf.DUMMYFUNCTION("""COMPUTED_VALUE"""),37986)</f>
        <v>37986</v>
      </c>
    </row>
    <row r="4229" spans="1:10" x14ac:dyDescent="0.25">
      <c r="A4229" s="1" t="str">
        <f ca="1">IFERROR(__xludf.DUMMYFUNCTION("""COMPUTED_VALUE"""),"Segesi DE")</f>
        <v>Segesi DE</v>
      </c>
      <c r="B4229" s="1" t="str">
        <f ca="1">IFERROR(__xludf.DUMMYFUNCTION("""COMPUTED_VALUE"""),"Komáromi Erik")</f>
        <v>Komáromi Erik</v>
      </c>
      <c r="C4229" s="1"/>
      <c r="D4229" s="1" t="str">
        <f ca="1">IFERROR(__xludf.DUMMYFUNCTION("""COMPUTED_VALUE"""),"Férfi")</f>
        <v>Férfi</v>
      </c>
      <c r="E4229" s="1"/>
      <c r="F4229" s="1">
        <f ca="1">IFERROR(__xludf.DUMMYFUNCTION("""COMPUTED_VALUE"""),1989)</f>
        <v>1989</v>
      </c>
      <c r="G4229" s="1">
        <f ca="1">IFERROR(__xludf.DUMMYFUNCTION("""COMPUTED_VALUE"""),511)</f>
        <v>511</v>
      </c>
      <c r="H4229" s="1" t="str">
        <f ca="1">IFERROR(__xludf.DUMMYFUNCTION("""COMPUTED_VALUE"""),"MTLSZ000511A02")</f>
        <v>MTLSZ000511A02</v>
      </c>
      <c r="I4229" s="2">
        <f ca="1">IFERROR(__xludf.DUMMYFUNCTION("""COMPUTED_VALUE"""),37622)</f>
        <v>37622</v>
      </c>
      <c r="J4229" s="2">
        <f ca="1">IFERROR(__xludf.DUMMYFUNCTION("""COMPUTED_VALUE"""),37986)</f>
        <v>37986</v>
      </c>
    </row>
    <row r="4230" spans="1:10" x14ac:dyDescent="0.25">
      <c r="A4230" s="1" t="str">
        <f ca="1">IFERROR(__xludf.DUMMYFUNCTION("""COMPUTED_VALUE"""),"Segesi DE")</f>
        <v>Segesi DE</v>
      </c>
      <c r="B4230" s="1" t="str">
        <f ca="1">IFERROR(__xludf.DUMMYFUNCTION("""COMPUTED_VALUE"""),"Kósi Kira")</f>
        <v>Kósi Kira</v>
      </c>
      <c r="C4230" s="1"/>
      <c r="D4230" s="1" t="str">
        <f ca="1">IFERROR(__xludf.DUMMYFUNCTION("""COMPUTED_VALUE"""),"Nő")</f>
        <v>Nő</v>
      </c>
      <c r="E4230" s="1"/>
      <c r="F4230" s="1">
        <f ca="1">IFERROR(__xludf.DUMMYFUNCTION("""COMPUTED_VALUE"""),1989)</f>
        <v>1989</v>
      </c>
      <c r="G4230" s="1">
        <f ca="1">IFERROR(__xludf.DUMMYFUNCTION("""COMPUTED_VALUE"""),524)</f>
        <v>524</v>
      </c>
      <c r="H4230" s="1" t="str">
        <f ca="1">IFERROR(__xludf.DUMMYFUNCTION("""COMPUTED_VALUE"""),"MTLSZ000524A02")</f>
        <v>MTLSZ000524A02</v>
      </c>
      <c r="I4230" s="2">
        <f ca="1">IFERROR(__xludf.DUMMYFUNCTION("""COMPUTED_VALUE"""),37622)</f>
        <v>37622</v>
      </c>
      <c r="J4230" s="2">
        <f ca="1">IFERROR(__xludf.DUMMYFUNCTION("""COMPUTED_VALUE"""),37986)</f>
        <v>37986</v>
      </c>
    </row>
    <row r="4231" spans="1:10" x14ac:dyDescent="0.25">
      <c r="A4231" s="1" t="str">
        <f ca="1">IFERROR(__xludf.DUMMYFUNCTION("""COMPUTED_VALUE"""),"Segesi DE")</f>
        <v>Segesi DE</v>
      </c>
      <c r="B4231" s="1" t="str">
        <f ca="1">IFERROR(__xludf.DUMMYFUNCTION("""COMPUTED_VALUE"""),"Kreiner Rajmund")</f>
        <v>Kreiner Rajmund</v>
      </c>
      <c r="C4231" s="1"/>
      <c r="D4231" s="1" t="str">
        <f ca="1">IFERROR(__xludf.DUMMYFUNCTION("""COMPUTED_VALUE"""),"Férfi")</f>
        <v>Férfi</v>
      </c>
      <c r="E4231" s="1"/>
      <c r="F4231" s="1">
        <f ca="1">IFERROR(__xludf.DUMMYFUNCTION("""COMPUTED_VALUE"""),1991)</f>
        <v>1991</v>
      </c>
      <c r="G4231" s="1">
        <f ca="1">IFERROR(__xludf.DUMMYFUNCTION("""COMPUTED_VALUE"""),546)</f>
        <v>546</v>
      </c>
      <c r="H4231" s="1" t="str">
        <f ca="1">IFERROR(__xludf.DUMMYFUNCTION("""COMPUTED_VALUE"""),"MTLSZ000546A02")</f>
        <v>MTLSZ000546A02</v>
      </c>
      <c r="I4231" s="2">
        <f ca="1">IFERROR(__xludf.DUMMYFUNCTION("""COMPUTED_VALUE"""),37622)</f>
        <v>37622</v>
      </c>
      <c r="J4231" s="2">
        <f ca="1">IFERROR(__xludf.DUMMYFUNCTION("""COMPUTED_VALUE"""),37986)</f>
        <v>37986</v>
      </c>
    </row>
    <row r="4232" spans="1:10" x14ac:dyDescent="0.25">
      <c r="A4232" s="1" t="str">
        <f ca="1">IFERROR(__xludf.DUMMYFUNCTION("""COMPUTED_VALUE"""),"Segesi DE")</f>
        <v>Segesi DE</v>
      </c>
      <c r="B4232" s="1" t="str">
        <f ca="1">IFERROR(__xludf.DUMMYFUNCTION("""COMPUTED_VALUE"""),"László Bertalan")</f>
        <v>László Bertalan</v>
      </c>
      <c r="C4232" s="1"/>
      <c r="D4232" s="1" t="str">
        <f ca="1">IFERROR(__xludf.DUMMYFUNCTION("""COMPUTED_VALUE"""),"Férfi")</f>
        <v>Férfi</v>
      </c>
      <c r="E4232" s="1"/>
      <c r="F4232" s="1">
        <f ca="1">IFERROR(__xludf.DUMMYFUNCTION("""COMPUTED_VALUE"""),1991)</f>
        <v>1991</v>
      </c>
      <c r="G4232" s="1">
        <f ca="1">IFERROR(__xludf.DUMMYFUNCTION("""COMPUTED_VALUE"""),577)</f>
        <v>577</v>
      </c>
      <c r="H4232" s="1" t="str">
        <f ca="1">IFERROR(__xludf.DUMMYFUNCTION("""COMPUTED_VALUE"""),"MTLSZ000577A02")</f>
        <v>MTLSZ000577A02</v>
      </c>
      <c r="I4232" s="2">
        <f ca="1">IFERROR(__xludf.DUMMYFUNCTION("""COMPUTED_VALUE"""),37622)</f>
        <v>37622</v>
      </c>
      <c r="J4232" s="2">
        <f ca="1">IFERROR(__xludf.DUMMYFUNCTION("""COMPUTED_VALUE"""),37986)</f>
        <v>37986</v>
      </c>
    </row>
    <row r="4233" spans="1:10" x14ac:dyDescent="0.25">
      <c r="A4233" s="1" t="str">
        <f ca="1">IFERROR(__xludf.DUMMYFUNCTION("""COMPUTED_VALUE"""),"Segesi DE")</f>
        <v>Segesi DE</v>
      </c>
      <c r="B4233" s="1" t="str">
        <f ca="1">IFERROR(__xludf.DUMMYFUNCTION("""COMPUTED_VALUE"""),"Lehoczky Miklós")</f>
        <v>Lehoczky Miklós</v>
      </c>
      <c r="C4233" s="1"/>
      <c r="D4233" s="1" t="str">
        <f ca="1">IFERROR(__xludf.DUMMYFUNCTION("""COMPUTED_VALUE"""),"Férfi")</f>
        <v>Férfi</v>
      </c>
      <c r="E4233" s="1"/>
      <c r="F4233" s="1">
        <f ca="1">IFERROR(__xludf.DUMMYFUNCTION("""COMPUTED_VALUE"""),1987)</f>
        <v>1987</v>
      </c>
      <c r="G4233" s="1">
        <f ca="1">IFERROR(__xludf.DUMMYFUNCTION("""COMPUTED_VALUE"""),582)</f>
        <v>582</v>
      </c>
      <c r="H4233" s="1" t="str">
        <f ca="1">IFERROR(__xludf.DUMMYFUNCTION("""COMPUTED_VALUE"""),"MTLSZ000582A02")</f>
        <v>MTLSZ000582A02</v>
      </c>
      <c r="I4233" s="2">
        <f ca="1">IFERROR(__xludf.DUMMYFUNCTION("""COMPUTED_VALUE"""),37622)</f>
        <v>37622</v>
      </c>
      <c r="J4233" s="2">
        <f ca="1">IFERROR(__xludf.DUMMYFUNCTION("""COMPUTED_VALUE"""),37986)</f>
        <v>37986</v>
      </c>
    </row>
    <row r="4234" spans="1:10" x14ac:dyDescent="0.25">
      <c r="A4234" s="1" t="str">
        <f ca="1">IFERROR(__xludf.DUMMYFUNCTION("""COMPUTED_VALUE"""),"Segesi DE")</f>
        <v>Segesi DE</v>
      </c>
      <c r="B4234" s="1" t="str">
        <f ca="1">IFERROR(__xludf.DUMMYFUNCTION("""COMPUTED_VALUE"""),"Nagy Ildikó")</f>
        <v>Nagy Ildikó</v>
      </c>
      <c r="C4234" s="1"/>
      <c r="D4234" s="1" t="str">
        <f ca="1">IFERROR(__xludf.DUMMYFUNCTION("""COMPUTED_VALUE"""),"Nő")</f>
        <v>Nő</v>
      </c>
      <c r="E4234" s="1"/>
      <c r="F4234" s="1">
        <f ca="1">IFERROR(__xludf.DUMMYFUNCTION("""COMPUTED_VALUE"""),1989)</f>
        <v>1989</v>
      </c>
      <c r="G4234" s="1">
        <f ca="1">IFERROR(__xludf.DUMMYFUNCTION("""COMPUTED_VALUE"""),684)</f>
        <v>684</v>
      </c>
      <c r="H4234" s="1" t="str">
        <f ca="1">IFERROR(__xludf.DUMMYFUNCTION("""COMPUTED_VALUE"""),"MTLSZ000684A02")</f>
        <v>MTLSZ000684A02</v>
      </c>
      <c r="I4234" s="2">
        <f ca="1">IFERROR(__xludf.DUMMYFUNCTION("""COMPUTED_VALUE"""),37622)</f>
        <v>37622</v>
      </c>
      <c r="J4234" s="2">
        <f ca="1">IFERROR(__xludf.DUMMYFUNCTION("""COMPUTED_VALUE"""),37986)</f>
        <v>37986</v>
      </c>
    </row>
    <row r="4235" spans="1:10" x14ac:dyDescent="0.25">
      <c r="A4235" s="1" t="str">
        <f ca="1">IFERROR(__xludf.DUMMYFUNCTION("""COMPUTED_VALUE"""),"Segesi DE")</f>
        <v>Segesi DE</v>
      </c>
      <c r="B4235" s="1" t="str">
        <f ca="1">IFERROR(__xludf.DUMMYFUNCTION("""COMPUTED_VALUE"""),"Nagy Katalin")</f>
        <v>Nagy Katalin</v>
      </c>
      <c r="C4235" s="1"/>
      <c r="D4235" s="1" t="str">
        <f ca="1">IFERROR(__xludf.DUMMYFUNCTION("""COMPUTED_VALUE"""),"Nő")</f>
        <v>Nő</v>
      </c>
      <c r="E4235" s="1"/>
      <c r="F4235" s="1">
        <f ca="1">IFERROR(__xludf.DUMMYFUNCTION("""COMPUTED_VALUE"""),1988)</f>
        <v>1988</v>
      </c>
      <c r="G4235" s="1">
        <f ca="1">IFERROR(__xludf.DUMMYFUNCTION("""COMPUTED_VALUE"""),685)</f>
        <v>685</v>
      </c>
      <c r="H4235" s="1" t="str">
        <f ca="1">IFERROR(__xludf.DUMMYFUNCTION("""COMPUTED_VALUE"""),"MTLSZ000685A02")</f>
        <v>MTLSZ000685A02</v>
      </c>
      <c r="I4235" s="2">
        <f ca="1">IFERROR(__xludf.DUMMYFUNCTION("""COMPUTED_VALUE"""),37622)</f>
        <v>37622</v>
      </c>
      <c r="J4235" s="2">
        <f ca="1">IFERROR(__xludf.DUMMYFUNCTION("""COMPUTED_VALUE"""),37986)</f>
        <v>37986</v>
      </c>
    </row>
    <row r="4236" spans="1:10" x14ac:dyDescent="0.25">
      <c r="A4236" s="1" t="str">
        <f ca="1">IFERROR(__xludf.DUMMYFUNCTION("""COMPUTED_VALUE"""),"Segesi DE")</f>
        <v>Segesi DE</v>
      </c>
      <c r="B4236" s="1" t="str">
        <f ca="1">IFERROR(__xludf.DUMMYFUNCTION("""COMPUTED_VALUE"""),"Pádár Péter")</f>
        <v>Pádár Péter</v>
      </c>
      <c r="C4236" s="1"/>
      <c r="D4236" s="1" t="str">
        <f ca="1">IFERROR(__xludf.DUMMYFUNCTION("""COMPUTED_VALUE"""),"Férfi")</f>
        <v>Férfi</v>
      </c>
      <c r="E4236" s="1"/>
      <c r="F4236" s="1">
        <f ca="1">IFERROR(__xludf.DUMMYFUNCTION("""COMPUTED_VALUE"""),1987)</f>
        <v>1987</v>
      </c>
      <c r="G4236" s="1">
        <f ca="1">IFERROR(__xludf.DUMMYFUNCTION("""COMPUTED_VALUE"""),731)</f>
        <v>731</v>
      </c>
      <c r="H4236" s="1" t="str">
        <f ca="1">IFERROR(__xludf.DUMMYFUNCTION("""COMPUTED_VALUE"""),"MTLSZ000731A02")</f>
        <v>MTLSZ000731A02</v>
      </c>
      <c r="I4236" s="2">
        <f ca="1">IFERROR(__xludf.DUMMYFUNCTION("""COMPUTED_VALUE"""),37622)</f>
        <v>37622</v>
      </c>
      <c r="J4236" s="2">
        <f ca="1">IFERROR(__xludf.DUMMYFUNCTION("""COMPUTED_VALUE"""),37986)</f>
        <v>37986</v>
      </c>
    </row>
    <row r="4237" spans="1:10" x14ac:dyDescent="0.25">
      <c r="A4237" s="1" t="str">
        <f ca="1">IFERROR(__xludf.DUMMYFUNCTION("""COMPUTED_VALUE"""),"Segesi DE")</f>
        <v>Segesi DE</v>
      </c>
      <c r="B4237" s="1" t="str">
        <f ca="1">IFERROR(__xludf.DUMMYFUNCTION("""COMPUTED_VALUE"""),"Pám Brigitta")</f>
        <v>Pám Brigitta</v>
      </c>
      <c r="C4237" s="1"/>
      <c r="D4237" s="1" t="str">
        <f ca="1">IFERROR(__xludf.DUMMYFUNCTION("""COMPUTED_VALUE"""),"Nő")</f>
        <v>Nő</v>
      </c>
      <c r="E4237" s="1"/>
      <c r="F4237" s="1">
        <f ca="1">IFERROR(__xludf.DUMMYFUNCTION("""COMPUTED_VALUE"""),1992)</f>
        <v>1992</v>
      </c>
      <c r="G4237" s="1">
        <f ca="1">IFERROR(__xludf.DUMMYFUNCTION("""COMPUTED_VALUE"""),741)</f>
        <v>741</v>
      </c>
      <c r="H4237" s="1" t="str">
        <f ca="1">IFERROR(__xludf.DUMMYFUNCTION("""COMPUTED_VALUE"""),"MTLSZ000741A02")</f>
        <v>MTLSZ000741A02</v>
      </c>
      <c r="I4237" s="2">
        <f ca="1">IFERROR(__xludf.DUMMYFUNCTION("""COMPUTED_VALUE"""),37622)</f>
        <v>37622</v>
      </c>
      <c r="J4237" s="2">
        <f ca="1">IFERROR(__xludf.DUMMYFUNCTION("""COMPUTED_VALUE"""),37986)</f>
        <v>37986</v>
      </c>
    </row>
    <row r="4238" spans="1:10" x14ac:dyDescent="0.25">
      <c r="A4238" s="1" t="str">
        <f ca="1">IFERROR(__xludf.DUMMYFUNCTION("""COMPUTED_VALUE"""),"Segesi DE")</f>
        <v>Segesi DE</v>
      </c>
      <c r="B4238" s="1" t="str">
        <f ca="1">IFERROR(__xludf.DUMMYFUNCTION("""COMPUTED_VALUE"""),"Pánovics Lilla")</f>
        <v>Pánovics Lilla</v>
      </c>
      <c r="C4238" s="1"/>
      <c r="D4238" s="1" t="str">
        <f ca="1">IFERROR(__xludf.DUMMYFUNCTION("""COMPUTED_VALUE"""),"Nő")</f>
        <v>Nő</v>
      </c>
      <c r="E4238" s="1"/>
      <c r="F4238" s="1">
        <f ca="1">IFERROR(__xludf.DUMMYFUNCTION("""COMPUTED_VALUE"""),1986)</f>
        <v>1986</v>
      </c>
      <c r="G4238" s="1">
        <f ca="1">IFERROR(__xludf.DUMMYFUNCTION("""COMPUTED_VALUE"""),743)</f>
        <v>743</v>
      </c>
      <c r="H4238" s="1" t="str">
        <f ca="1">IFERROR(__xludf.DUMMYFUNCTION("""COMPUTED_VALUE"""),"MTLSZ000743A02")</f>
        <v>MTLSZ000743A02</v>
      </c>
      <c r="I4238" s="2">
        <f ca="1">IFERROR(__xludf.DUMMYFUNCTION("""COMPUTED_VALUE"""),37622)</f>
        <v>37622</v>
      </c>
      <c r="J4238" s="2">
        <f ca="1">IFERROR(__xludf.DUMMYFUNCTION("""COMPUTED_VALUE"""),37986)</f>
        <v>37986</v>
      </c>
    </row>
    <row r="4239" spans="1:10" x14ac:dyDescent="0.25">
      <c r="A4239" s="1" t="str">
        <f ca="1">IFERROR(__xludf.DUMMYFUNCTION("""COMPUTED_VALUE"""),"Segesi DE")</f>
        <v>Segesi DE</v>
      </c>
      <c r="B4239" s="1" t="str">
        <f ca="1">IFERROR(__xludf.DUMMYFUNCTION("""COMPUTED_VALUE"""),"Pékó Renáta")</f>
        <v>Pékó Renáta</v>
      </c>
      <c r="C4239" s="1"/>
      <c r="D4239" s="1" t="str">
        <f ca="1">IFERROR(__xludf.DUMMYFUNCTION("""COMPUTED_VALUE"""),"Nő")</f>
        <v>Nő</v>
      </c>
      <c r="E4239" s="1"/>
      <c r="F4239" s="1">
        <f ca="1">IFERROR(__xludf.DUMMYFUNCTION("""COMPUTED_VALUE"""),1988)</f>
        <v>1988</v>
      </c>
      <c r="G4239" s="1">
        <f ca="1">IFERROR(__xludf.DUMMYFUNCTION("""COMPUTED_VALUE"""),766)</f>
        <v>766</v>
      </c>
      <c r="H4239" s="1" t="str">
        <f ca="1">IFERROR(__xludf.DUMMYFUNCTION("""COMPUTED_VALUE"""),"MTLSZ000766A02")</f>
        <v>MTLSZ000766A02</v>
      </c>
      <c r="I4239" s="2">
        <f ca="1">IFERROR(__xludf.DUMMYFUNCTION("""COMPUTED_VALUE"""),37622)</f>
        <v>37622</v>
      </c>
      <c r="J4239" s="2">
        <f ca="1">IFERROR(__xludf.DUMMYFUNCTION("""COMPUTED_VALUE"""),37986)</f>
        <v>37986</v>
      </c>
    </row>
    <row r="4240" spans="1:10" x14ac:dyDescent="0.25">
      <c r="A4240" s="1" t="str">
        <f ca="1">IFERROR(__xludf.DUMMYFUNCTION("""COMPUTED_VALUE"""),"Segesi DE")</f>
        <v>Segesi DE</v>
      </c>
      <c r="B4240" s="1" t="str">
        <f ca="1">IFERROR(__xludf.DUMMYFUNCTION("""COMPUTED_VALUE"""),"Pintér Csilla")</f>
        <v>Pintér Csilla</v>
      </c>
      <c r="C4240" s="1"/>
      <c r="D4240" s="1" t="str">
        <f ca="1">IFERROR(__xludf.DUMMYFUNCTION("""COMPUTED_VALUE"""),"Nő")</f>
        <v>Nő</v>
      </c>
      <c r="E4240" s="1"/>
      <c r="F4240" s="1">
        <f ca="1">IFERROR(__xludf.DUMMYFUNCTION("""COMPUTED_VALUE"""),1988)</f>
        <v>1988</v>
      </c>
      <c r="G4240" s="1">
        <f ca="1">IFERROR(__xludf.DUMMYFUNCTION("""COMPUTED_VALUE"""),777)</f>
        <v>777</v>
      </c>
      <c r="H4240" s="1" t="str">
        <f ca="1">IFERROR(__xludf.DUMMYFUNCTION("""COMPUTED_VALUE"""),"MTLSZ000777A02")</f>
        <v>MTLSZ000777A02</v>
      </c>
      <c r="I4240" s="2">
        <f ca="1">IFERROR(__xludf.DUMMYFUNCTION("""COMPUTED_VALUE"""),37622)</f>
        <v>37622</v>
      </c>
      <c r="J4240" s="2">
        <f ca="1">IFERROR(__xludf.DUMMYFUNCTION("""COMPUTED_VALUE"""),37986)</f>
        <v>37986</v>
      </c>
    </row>
    <row r="4241" spans="1:10" x14ac:dyDescent="0.25">
      <c r="A4241" s="1" t="str">
        <f ca="1">IFERROR(__xludf.DUMMYFUNCTION("""COMPUTED_VALUE"""),"Segesi DE")</f>
        <v>Segesi DE</v>
      </c>
      <c r="B4241" s="1" t="str">
        <f ca="1">IFERROR(__xludf.DUMMYFUNCTION("""COMPUTED_VALUE"""),"Sára Gábor")</f>
        <v>Sára Gábor</v>
      </c>
      <c r="C4241" s="1"/>
      <c r="D4241" s="1" t="str">
        <f ca="1">IFERROR(__xludf.DUMMYFUNCTION("""COMPUTED_VALUE"""),"Férfi")</f>
        <v>Férfi</v>
      </c>
      <c r="E4241" s="1"/>
      <c r="F4241" s="1">
        <f ca="1">IFERROR(__xludf.DUMMYFUNCTION("""COMPUTED_VALUE"""),1987)</f>
        <v>1987</v>
      </c>
      <c r="G4241" s="1">
        <f ca="1">IFERROR(__xludf.DUMMYFUNCTION("""COMPUTED_VALUE"""),830)</f>
        <v>830</v>
      </c>
      <c r="H4241" s="1" t="str">
        <f ca="1">IFERROR(__xludf.DUMMYFUNCTION("""COMPUTED_VALUE"""),"MTLSZ000830A02")</f>
        <v>MTLSZ000830A02</v>
      </c>
      <c r="I4241" s="2">
        <f ca="1">IFERROR(__xludf.DUMMYFUNCTION("""COMPUTED_VALUE"""),37622)</f>
        <v>37622</v>
      </c>
      <c r="J4241" s="2">
        <f ca="1">IFERROR(__xludf.DUMMYFUNCTION("""COMPUTED_VALUE"""),37986)</f>
        <v>37986</v>
      </c>
    </row>
    <row r="4242" spans="1:10" x14ac:dyDescent="0.25">
      <c r="A4242" s="1" t="str">
        <f ca="1">IFERROR(__xludf.DUMMYFUNCTION("""COMPUTED_VALUE"""),"Segesi DE")</f>
        <v>Segesi DE</v>
      </c>
      <c r="B4242" s="1" t="str">
        <f ca="1">IFERROR(__xludf.DUMMYFUNCTION("""COMPUTED_VALUE"""),"Sára Vivien")</f>
        <v>Sára Vivien</v>
      </c>
      <c r="C4242" s="1"/>
      <c r="D4242" s="1" t="str">
        <f ca="1">IFERROR(__xludf.DUMMYFUNCTION("""COMPUTED_VALUE"""),"Nő")</f>
        <v>Nő</v>
      </c>
      <c r="E4242" s="1"/>
      <c r="F4242" s="1">
        <f ca="1">IFERROR(__xludf.DUMMYFUNCTION("""COMPUTED_VALUE"""),1989)</f>
        <v>1989</v>
      </c>
      <c r="G4242" s="1">
        <f ca="1">IFERROR(__xludf.DUMMYFUNCTION("""COMPUTED_VALUE"""),832)</f>
        <v>832</v>
      </c>
      <c r="H4242" s="1" t="str">
        <f ca="1">IFERROR(__xludf.DUMMYFUNCTION("""COMPUTED_VALUE"""),"MTLSZ000832A02")</f>
        <v>MTLSZ000832A02</v>
      </c>
      <c r="I4242" s="2">
        <f ca="1">IFERROR(__xludf.DUMMYFUNCTION("""COMPUTED_VALUE"""),37622)</f>
        <v>37622</v>
      </c>
      <c r="J4242" s="2">
        <f ca="1">IFERROR(__xludf.DUMMYFUNCTION("""COMPUTED_VALUE"""),37986)</f>
        <v>37986</v>
      </c>
    </row>
    <row r="4243" spans="1:10" x14ac:dyDescent="0.25">
      <c r="A4243" s="1" t="str">
        <f ca="1">IFERROR(__xludf.DUMMYFUNCTION("""COMPUTED_VALUE"""),"Segesi DE")</f>
        <v>Segesi DE</v>
      </c>
      <c r="B4243" s="1" t="str">
        <f ca="1">IFERROR(__xludf.DUMMYFUNCTION("""COMPUTED_VALUE"""),"Szűcs Károly")</f>
        <v>Szűcs Károly</v>
      </c>
      <c r="C4243" s="1"/>
      <c r="D4243" s="1" t="str">
        <f ca="1">IFERROR(__xludf.DUMMYFUNCTION("""COMPUTED_VALUE"""),"Férfi")</f>
        <v>Férfi</v>
      </c>
      <c r="E4243" s="1"/>
      <c r="F4243" s="1">
        <f ca="1">IFERROR(__xludf.DUMMYFUNCTION("""COMPUTED_VALUE"""),1986)</f>
        <v>1986</v>
      </c>
      <c r="G4243" s="1">
        <f ca="1">IFERROR(__xludf.DUMMYFUNCTION("""COMPUTED_VALUE"""),977)</f>
        <v>977</v>
      </c>
      <c r="H4243" s="1" t="str">
        <f ca="1">IFERROR(__xludf.DUMMYFUNCTION("""COMPUTED_VALUE"""),"MTLSZ000977A02")</f>
        <v>MTLSZ000977A02</v>
      </c>
      <c r="I4243" s="2">
        <f ca="1">IFERROR(__xludf.DUMMYFUNCTION("""COMPUTED_VALUE"""),37622)</f>
        <v>37622</v>
      </c>
      <c r="J4243" s="2">
        <f ca="1">IFERROR(__xludf.DUMMYFUNCTION("""COMPUTED_VALUE"""),37986)</f>
        <v>37986</v>
      </c>
    </row>
    <row r="4244" spans="1:10" x14ac:dyDescent="0.25">
      <c r="A4244" s="1" t="str">
        <f ca="1">IFERROR(__xludf.DUMMYFUNCTION("""COMPUTED_VALUE"""),"Segesi DE")</f>
        <v>Segesi DE</v>
      </c>
      <c r="B4244" s="1" t="str">
        <f ca="1">IFERROR(__xludf.DUMMYFUNCTION("""COMPUTED_VALUE"""),"Takács Arabella")</f>
        <v>Takács Arabella</v>
      </c>
      <c r="C4244" s="1"/>
      <c r="D4244" s="1" t="str">
        <f ca="1">IFERROR(__xludf.DUMMYFUNCTION("""COMPUTED_VALUE"""),"Nő")</f>
        <v>Nő</v>
      </c>
      <c r="E4244" s="1"/>
      <c r="F4244" s="1">
        <f ca="1">IFERROR(__xludf.DUMMYFUNCTION("""COMPUTED_VALUE"""),1986)</f>
        <v>1986</v>
      </c>
      <c r="G4244" s="1">
        <f ca="1">IFERROR(__xludf.DUMMYFUNCTION("""COMPUTED_VALUE"""),985)</f>
        <v>985</v>
      </c>
      <c r="H4244" s="1" t="str">
        <f ca="1">IFERROR(__xludf.DUMMYFUNCTION("""COMPUTED_VALUE"""),"MTLSZ000985A02")</f>
        <v>MTLSZ000985A02</v>
      </c>
      <c r="I4244" s="2">
        <f ca="1">IFERROR(__xludf.DUMMYFUNCTION("""COMPUTED_VALUE"""),37622)</f>
        <v>37622</v>
      </c>
      <c r="J4244" s="2">
        <f ca="1">IFERROR(__xludf.DUMMYFUNCTION("""COMPUTED_VALUE"""),37986)</f>
        <v>37986</v>
      </c>
    </row>
    <row r="4245" spans="1:10" x14ac:dyDescent="0.25">
      <c r="A4245" s="1" t="str">
        <f ca="1">IFERROR(__xludf.DUMMYFUNCTION("""COMPUTED_VALUE"""),"Segesi DE")</f>
        <v>Segesi DE</v>
      </c>
      <c r="B4245" s="1" t="str">
        <f ca="1">IFERROR(__xludf.DUMMYFUNCTION("""COMPUTED_VALUE"""),"Tóth János")</f>
        <v>Tóth János</v>
      </c>
      <c r="C4245" s="1"/>
      <c r="D4245" s="1" t="str">
        <f ca="1">IFERROR(__xludf.DUMMYFUNCTION("""COMPUTED_VALUE"""),"Férfi")</f>
        <v>Férfi</v>
      </c>
      <c r="E4245" s="1"/>
      <c r="F4245" s="1">
        <f ca="1">IFERROR(__xludf.DUMMYFUNCTION("""COMPUTED_VALUE"""),1990)</f>
        <v>1990</v>
      </c>
      <c r="G4245" s="1">
        <f ca="1">IFERROR(__xludf.DUMMYFUNCTION("""COMPUTED_VALUE"""),1034)</f>
        <v>1034</v>
      </c>
      <c r="H4245" s="1" t="str">
        <f ca="1">IFERROR(__xludf.DUMMYFUNCTION("""COMPUTED_VALUE"""),"MTLSZ001034A02")</f>
        <v>MTLSZ001034A02</v>
      </c>
      <c r="I4245" s="2">
        <f ca="1">IFERROR(__xludf.DUMMYFUNCTION("""COMPUTED_VALUE"""),37622)</f>
        <v>37622</v>
      </c>
      <c r="J4245" s="2">
        <f ca="1">IFERROR(__xludf.DUMMYFUNCTION("""COMPUTED_VALUE"""),37986)</f>
        <v>37986</v>
      </c>
    </row>
    <row r="4246" spans="1:10" x14ac:dyDescent="0.25">
      <c r="A4246" s="1" t="str">
        <f ca="1">IFERROR(__xludf.DUMMYFUNCTION("""COMPUTED_VALUE"""),"Segesi DE")</f>
        <v>Segesi DE</v>
      </c>
      <c r="B4246" s="1" t="str">
        <f ca="1">IFERROR(__xludf.DUMMYFUNCTION("""COMPUTED_VALUE"""),"Tóth Katalin")</f>
        <v>Tóth Katalin</v>
      </c>
      <c r="C4246" s="1"/>
      <c r="D4246" s="1" t="str">
        <f ca="1">IFERROR(__xludf.DUMMYFUNCTION("""COMPUTED_VALUE"""),"Nő")</f>
        <v>Nő</v>
      </c>
      <c r="E4246" s="1"/>
      <c r="F4246" s="1">
        <f ca="1">IFERROR(__xludf.DUMMYFUNCTION("""COMPUTED_VALUE"""),1988)</f>
        <v>1988</v>
      </c>
      <c r="G4246" s="1">
        <f ca="1">IFERROR(__xludf.DUMMYFUNCTION("""COMPUTED_VALUE"""),1037)</f>
        <v>1037</v>
      </c>
      <c r="H4246" s="1" t="str">
        <f ca="1">IFERROR(__xludf.DUMMYFUNCTION("""COMPUTED_VALUE"""),"MTLSZ001037A02")</f>
        <v>MTLSZ001037A02</v>
      </c>
      <c r="I4246" s="2">
        <f ca="1">IFERROR(__xludf.DUMMYFUNCTION("""COMPUTED_VALUE"""),37622)</f>
        <v>37622</v>
      </c>
      <c r="J4246" s="2">
        <f ca="1">IFERROR(__xludf.DUMMYFUNCTION("""COMPUTED_VALUE"""),37986)</f>
        <v>37986</v>
      </c>
    </row>
    <row r="4247" spans="1:10" x14ac:dyDescent="0.25">
      <c r="A4247" s="1" t="str">
        <f ca="1">IFERROR(__xludf.DUMMYFUNCTION("""COMPUTED_VALUE"""),"Segesi DE")</f>
        <v>Segesi DE</v>
      </c>
      <c r="B4247" s="1" t="str">
        <f ca="1">IFERROR(__xludf.DUMMYFUNCTION("""COMPUTED_VALUE"""),"Tóth Magdolna")</f>
        <v>Tóth Magdolna</v>
      </c>
      <c r="C4247" s="1"/>
      <c r="D4247" s="1" t="str">
        <f ca="1">IFERROR(__xludf.DUMMYFUNCTION("""COMPUTED_VALUE"""),"Nő")</f>
        <v>Nő</v>
      </c>
      <c r="E4247" s="1"/>
      <c r="F4247" s="1">
        <f ca="1">IFERROR(__xludf.DUMMYFUNCTION("""COMPUTED_VALUE"""),1987)</f>
        <v>1987</v>
      </c>
      <c r="G4247" s="1">
        <f ca="1">IFERROR(__xludf.DUMMYFUNCTION("""COMPUTED_VALUE"""),1040)</f>
        <v>1040</v>
      </c>
      <c r="H4247" s="1" t="str">
        <f ca="1">IFERROR(__xludf.DUMMYFUNCTION("""COMPUTED_VALUE"""),"MTLSZ001040A02")</f>
        <v>MTLSZ001040A02</v>
      </c>
      <c r="I4247" s="2">
        <f ca="1">IFERROR(__xludf.DUMMYFUNCTION("""COMPUTED_VALUE"""),37622)</f>
        <v>37622</v>
      </c>
      <c r="J4247" s="2">
        <f ca="1">IFERROR(__xludf.DUMMYFUNCTION("""COMPUTED_VALUE"""),37986)</f>
        <v>37986</v>
      </c>
    </row>
    <row r="4248" spans="1:10" x14ac:dyDescent="0.25">
      <c r="A4248" s="1" t="str">
        <f ca="1">IFERROR(__xludf.DUMMYFUNCTION("""COMPUTED_VALUE"""),"Segesi DE")</f>
        <v>Segesi DE</v>
      </c>
      <c r="B4248" s="1" t="str">
        <f ca="1">IFERROR(__xludf.DUMMYFUNCTION("""COMPUTED_VALUE"""),"Tüttő Béla")</f>
        <v>Tüttő Béla</v>
      </c>
      <c r="C4248" s="1"/>
      <c r="D4248" s="1" t="str">
        <f ca="1">IFERROR(__xludf.DUMMYFUNCTION("""COMPUTED_VALUE"""),"Férfi")</f>
        <v>Férfi</v>
      </c>
      <c r="E4248" s="1"/>
      <c r="F4248" s="1">
        <f ca="1">IFERROR(__xludf.DUMMYFUNCTION("""COMPUTED_VALUE"""),1986)</f>
        <v>1986</v>
      </c>
      <c r="G4248" s="1">
        <f ca="1">IFERROR(__xludf.DUMMYFUNCTION("""COMPUTED_VALUE"""),1065)</f>
        <v>1065</v>
      </c>
      <c r="H4248" s="1" t="str">
        <f ca="1">IFERROR(__xludf.DUMMYFUNCTION("""COMPUTED_VALUE"""),"MTLSZ001065A02")</f>
        <v>MTLSZ001065A02</v>
      </c>
      <c r="I4248" s="2">
        <f ca="1">IFERROR(__xludf.DUMMYFUNCTION("""COMPUTED_VALUE"""),37622)</f>
        <v>37622</v>
      </c>
      <c r="J4248" s="2">
        <f ca="1">IFERROR(__xludf.DUMMYFUNCTION("""COMPUTED_VALUE"""),37986)</f>
        <v>37986</v>
      </c>
    </row>
    <row r="4249" spans="1:10" x14ac:dyDescent="0.25">
      <c r="A4249" s="1" t="str">
        <f ca="1">IFERROR(__xludf.DUMMYFUNCTION("""COMPUTED_VALUE"""),"Segesi DE")</f>
        <v>Segesi DE</v>
      </c>
      <c r="B4249" s="1" t="str">
        <f ca="1">IFERROR(__xludf.DUMMYFUNCTION("""COMPUTED_VALUE"""),"Varga Gábor")</f>
        <v>Varga Gábor</v>
      </c>
      <c r="C4249" s="1"/>
      <c r="D4249" s="1" t="str">
        <f ca="1">IFERROR(__xludf.DUMMYFUNCTION("""COMPUTED_VALUE"""),"Férfi")</f>
        <v>Férfi</v>
      </c>
      <c r="E4249" s="1"/>
      <c r="F4249" s="1">
        <f ca="1">IFERROR(__xludf.DUMMYFUNCTION("""COMPUTED_VALUE"""),1987)</f>
        <v>1987</v>
      </c>
      <c r="G4249" s="1">
        <f ca="1">IFERROR(__xludf.DUMMYFUNCTION("""COMPUTED_VALUE"""),1088)</f>
        <v>1088</v>
      </c>
      <c r="H4249" s="1" t="str">
        <f ca="1">IFERROR(__xludf.DUMMYFUNCTION("""COMPUTED_VALUE"""),"MTLSZ001088A02")</f>
        <v>MTLSZ001088A02</v>
      </c>
      <c r="I4249" s="2">
        <f ca="1">IFERROR(__xludf.DUMMYFUNCTION("""COMPUTED_VALUE"""),37622)</f>
        <v>37622</v>
      </c>
      <c r="J4249" s="2">
        <f ca="1">IFERROR(__xludf.DUMMYFUNCTION("""COMPUTED_VALUE"""),37986)</f>
        <v>37986</v>
      </c>
    </row>
    <row r="4250" spans="1:10" x14ac:dyDescent="0.25">
      <c r="A4250" s="1" t="str">
        <f ca="1">IFERROR(__xludf.DUMMYFUNCTION("""COMPUTED_VALUE"""),"Segesi DE")</f>
        <v>Segesi DE</v>
      </c>
      <c r="B4250" s="1" t="str">
        <f ca="1">IFERROR(__xludf.DUMMYFUNCTION("""COMPUTED_VALUE"""),"Végh Katalin")</f>
        <v>Végh Katalin</v>
      </c>
      <c r="C4250" s="1"/>
      <c r="D4250" s="1" t="str">
        <f ca="1">IFERROR(__xludf.DUMMYFUNCTION("""COMPUTED_VALUE"""),"Nő")</f>
        <v>Nő</v>
      </c>
      <c r="E4250" s="1"/>
      <c r="F4250" s="1">
        <f ca="1">IFERROR(__xludf.DUMMYFUNCTION("""COMPUTED_VALUE"""),1986)</f>
        <v>1986</v>
      </c>
      <c r="G4250" s="1">
        <f ca="1">IFERROR(__xludf.DUMMYFUNCTION("""COMPUTED_VALUE"""),1110)</f>
        <v>1110</v>
      </c>
      <c r="H4250" s="1" t="str">
        <f ca="1">IFERROR(__xludf.DUMMYFUNCTION("""COMPUTED_VALUE"""),"MTLSZ001110A02")</f>
        <v>MTLSZ001110A02</v>
      </c>
      <c r="I4250" s="2">
        <f ca="1">IFERROR(__xludf.DUMMYFUNCTION("""COMPUTED_VALUE"""),37622)</f>
        <v>37622</v>
      </c>
      <c r="J4250" s="2">
        <f ca="1">IFERROR(__xludf.DUMMYFUNCTION("""COMPUTED_VALUE"""),37986)</f>
        <v>37986</v>
      </c>
    </row>
    <row r="4251" spans="1:10" x14ac:dyDescent="0.25">
      <c r="A4251" s="1" t="str">
        <f ca="1">IFERROR(__xludf.DUMMYFUNCTION("""COMPUTED_VALUE"""),"Segesi DE")</f>
        <v>Segesi DE</v>
      </c>
      <c r="B4251" s="1" t="str">
        <f ca="1">IFERROR(__xludf.DUMMYFUNCTION("""COMPUTED_VALUE"""),"Vörös Barbara")</f>
        <v>Vörös Barbara</v>
      </c>
      <c r="C4251" s="1"/>
      <c r="D4251" s="1" t="str">
        <f ca="1">IFERROR(__xludf.DUMMYFUNCTION("""COMPUTED_VALUE"""),"Nő")</f>
        <v>Nő</v>
      </c>
      <c r="E4251" s="1"/>
      <c r="F4251" s="1">
        <f ca="1">IFERROR(__xludf.DUMMYFUNCTION("""COMPUTED_VALUE"""),1990)</f>
        <v>1990</v>
      </c>
      <c r="G4251" s="1">
        <f ca="1">IFERROR(__xludf.DUMMYFUNCTION("""COMPUTED_VALUE"""),1131)</f>
        <v>1131</v>
      </c>
      <c r="H4251" s="1" t="str">
        <f ca="1">IFERROR(__xludf.DUMMYFUNCTION("""COMPUTED_VALUE"""),"MTLSZ001131A02")</f>
        <v>MTLSZ001131A02</v>
      </c>
      <c r="I4251" s="2">
        <f ca="1">IFERROR(__xludf.DUMMYFUNCTION("""COMPUTED_VALUE"""),37622)</f>
        <v>37622</v>
      </c>
      <c r="J4251" s="2">
        <f ca="1">IFERROR(__xludf.DUMMYFUNCTION("""COMPUTED_VALUE"""),37986)</f>
        <v>37986</v>
      </c>
    </row>
    <row r="4252" spans="1:10" x14ac:dyDescent="0.25">
      <c r="A4252" s="1" t="str">
        <f ca="1">IFERROR(__xludf.DUMMYFUNCTION("""COMPUTED_VALUE"""),"Segesi DE")</f>
        <v>Segesi DE</v>
      </c>
      <c r="B4252" s="1" t="str">
        <f ca="1">IFERROR(__xludf.DUMMYFUNCTION("""COMPUTED_VALUE"""),"Vörös Péter")</f>
        <v>Vörös Péter</v>
      </c>
      <c r="C4252" s="1"/>
      <c r="D4252" s="1" t="str">
        <f ca="1">IFERROR(__xludf.DUMMYFUNCTION("""COMPUTED_VALUE"""),"Férfi")</f>
        <v>Férfi</v>
      </c>
      <c r="E4252" s="1"/>
      <c r="F4252" s="1">
        <f ca="1">IFERROR(__xludf.DUMMYFUNCTION("""COMPUTED_VALUE"""),1992)</f>
        <v>1992</v>
      </c>
      <c r="G4252" s="1">
        <f ca="1">IFERROR(__xludf.DUMMYFUNCTION("""COMPUTED_VALUE"""),1134)</f>
        <v>1134</v>
      </c>
      <c r="H4252" s="1" t="str">
        <f ca="1">IFERROR(__xludf.DUMMYFUNCTION("""COMPUTED_VALUE"""),"MTLSZ001134A02")</f>
        <v>MTLSZ001134A02</v>
      </c>
      <c r="I4252" s="2">
        <f ca="1">IFERROR(__xludf.DUMMYFUNCTION("""COMPUTED_VALUE"""),37622)</f>
        <v>37622</v>
      </c>
      <c r="J4252" s="2">
        <f ca="1">IFERROR(__xludf.DUMMYFUNCTION("""COMPUTED_VALUE"""),37986)</f>
        <v>37986</v>
      </c>
    </row>
    <row r="4253" spans="1:10" x14ac:dyDescent="0.25">
      <c r="A4253" s="1" t="str">
        <f ca="1">IFERROR(__xludf.DUMMYFUNCTION("""COMPUTED_VALUE"""),"Tóparti Gimnázium Székesfehérvár")</f>
        <v>Tóparti Gimnázium Székesfehérvár</v>
      </c>
      <c r="B4253" s="1" t="str">
        <f ca="1">IFERROR(__xludf.DUMMYFUNCTION("""COMPUTED_VALUE"""),"Bártfai Zsuzsa")</f>
        <v>Bártfai Zsuzsa</v>
      </c>
      <c r="C4253" s="1"/>
      <c r="D4253" s="1" t="str">
        <f ca="1">IFERROR(__xludf.DUMMYFUNCTION("""COMPUTED_VALUE"""),"Nő")</f>
        <v>Nő</v>
      </c>
      <c r="E4253" s="1"/>
      <c r="F4253" s="1">
        <f ca="1">IFERROR(__xludf.DUMMYFUNCTION("""COMPUTED_VALUE"""),1984)</f>
        <v>1984</v>
      </c>
      <c r="G4253" s="1">
        <f ca="1">IFERROR(__xludf.DUMMYFUNCTION("""COMPUTED_VALUE"""),63)</f>
        <v>63</v>
      </c>
      <c r="H4253" s="1" t="str">
        <f ca="1">IFERROR(__xludf.DUMMYFUNCTION("""COMPUTED_VALUE"""),"MTLSZ000063A02")</f>
        <v>MTLSZ000063A02</v>
      </c>
      <c r="I4253" s="2">
        <f ca="1">IFERROR(__xludf.DUMMYFUNCTION("""COMPUTED_VALUE"""),37622)</f>
        <v>37622</v>
      </c>
      <c r="J4253" s="2">
        <f ca="1">IFERROR(__xludf.DUMMYFUNCTION("""COMPUTED_VALUE"""),37986)</f>
        <v>37986</v>
      </c>
    </row>
    <row r="4254" spans="1:10" x14ac:dyDescent="0.25">
      <c r="A4254" s="1" t="str">
        <f ca="1">IFERROR(__xludf.DUMMYFUNCTION("""COMPUTED_VALUE"""),"Tóparti Gimnázium Székesfehérvár")</f>
        <v>Tóparti Gimnázium Székesfehérvár</v>
      </c>
      <c r="B4254" s="1" t="str">
        <f ca="1">IFERROR(__xludf.DUMMYFUNCTION("""COMPUTED_VALUE"""),"Borsó Gábor")</f>
        <v>Borsó Gábor</v>
      </c>
      <c r="C4254" s="1"/>
      <c r="D4254" s="1" t="str">
        <f ca="1">IFERROR(__xludf.DUMMYFUNCTION("""COMPUTED_VALUE"""),"Férfi")</f>
        <v>Férfi</v>
      </c>
      <c r="E4254" s="1"/>
      <c r="F4254" s="1">
        <f ca="1">IFERROR(__xludf.DUMMYFUNCTION("""COMPUTED_VALUE"""),1983)</f>
        <v>1983</v>
      </c>
      <c r="G4254" s="1">
        <f ca="1">IFERROR(__xludf.DUMMYFUNCTION("""COMPUTED_VALUE"""),108)</f>
        <v>108</v>
      </c>
      <c r="H4254" s="1" t="str">
        <f ca="1">IFERROR(__xludf.DUMMYFUNCTION("""COMPUTED_VALUE"""),"MTLSZ000108A02")</f>
        <v>MTLSZ000108A02</v>
      </c>
      <c r="I4254" s="2">
        <f ca="1">IFERROR(__xludf.DUMMYFUNCTION("""COMPUTED_VALUE"""),37622)</f>
        <v>37622</v>
      </c>
      <c r="J4254" s="2">
        <f ca="1">IFERROR(__xludf.DUMMYFUNCTION("""COMPUTED_VALUE"""),37986)</f>
        <v>37986</v>
      </c>
    </row>
    <row r="4255" spans="1:10" x14ac:dyDescent="0.25">
      <c r="A4255" s="1" t="str">
        <f ca="1">IFERROR(__xludf.DUMMYFUNCTION("""COMPUTED_VALUE"""),"Tóparti Gimnázium Székesfehérvár")</f>
        <v>Tóparti Gimnázium Székesfehérvár</v>
      </c>
      <c r="B4255" s="1" t="str">
        <f ca="1">IFERROR(__xludf.DUMMYFUNCTION("""COMPUTED_VALUE"""),"Keglovics Ágnes")</f>
        <v>Keglovics Ágnes</v>
      </c>
      <c r="C4255" s="1"/>
      <c r="D4255" s="1" t="str">
        <f ca="1">IFERROR(__xludf.DUMMYFUNCTION("""COMPUTED_VALUE"""),"Nő")</f>
        <v>Nő</v>
      </c>
      <c r="E4255" s="1"/>
      <c r="F4255" s="1">
        <f ca="1">IFERROR(__xludf.DUMMYFUNCTION("""COMPUTED_VALUE"""),1982)</f>
        <v>1982</v>
      </c>
      <c r="G4255" s="1">
        <f ca="1">IFERROR(__xludf.DUMMYFUNCTION("""COMPUTED_VALUE"""),447)</f>
        <v>447</v>
      </c>
      <c r="H4255" s="1" t="str">
        <f ca="1">IFERROR(__xludf.DUMMYFUNCTION("""COMPUTED_VALUE"""),"MTLSZ000447A02")</f>
        <v>MTLSZ000447A02</v>
      </c>
      <c r="I4255" s="2">
        <f ca="1">IFERROR(__xludf.DUMMYFUNCTION("""COMPUTED_VALUE"""),37622)</f>
        <v>37622</v>
      </c>
      <c r="J4255" s="2">
        <f ca="1">IFERROR(__xludf.DUMMYFUNCTION("""COMPUTED_VALUE"""),37986)</f>
        <v>37986</v>
      </c>
    </row>
    <row r="4256" spans="1:10" x14ac:dyDescent="0.25">
      <c r="A4256" s="1" t="str">
        <f ca="1">IFERROR(__xludf.DUMMYFUNCTION("""COMPUTED_VALUE"""),"Tóparti Gimnázium Székesfehérvár")</f>
        <v>Tóparti Gimnázium Székesfehérvár</v>
      </c>
      <c r="B4256" s="1" t="str">
        <f ca="1">IFERROR(__xludf.DUMMYFUNCTION("""COMPUTED_VALUE"""),"Kovács Katalin")</f>
        <v>Kovács Katalin</v>
      </c>
      <c r="C4256" s="1"/>
      <c r="D4256" s="1" t="str">
        <f ca="1">IFERROR(__xludf.DUMMYFUNCTION("""COMPUTED_VALUE"""),"Nő")</f>
        <v>Nő</v>
      </c>
      <c r="E4256" s="1"/>
      <c r="F4256" s="1">
        <f ca="1">IFERROR(__xludf.DUMMYFUNCTION("""COMPUTED_VALUE"""),1984)</f>
        <v>1984</v>
      </c>
      <c r="G4256" s="1">
        <f ca="1">IFERROR(__xludf.DUMMYFUNCTION("""COMPUTED_VALUE"""),534)</f>
        <v>534</v>
      </c>
      <c r="H4256" s="1" t="str">
        <f ca="1">IFERROR(__xludf.DUMMYFUNCTION("""COMPUTED_VALUE"""),"MTLSZ000534A02")</f>
        <v>MTLSZ000534A02</v>
      </c>
      <c r="I4256" s="2">
        <f ca="1">IFERROR(__xludf.DUMMYFUNCTION("""COMPUTED_VALUE"""),37622)</f>
        <v>37622</v>
      </c>
      <c r="J4256" s="2">
        <f ca="1">IFERROR(__xludf.DUMMYFUNCTION("""COMPUTED_VALUE"""),37986)</f>
        <v>37986</v>
      </c>
    </row>
    <row r="4257" spans="1:10" x14ac:dyDescent="0.25">
      <c r="A4257" s="1" t="str">
        <f ca="1">IFERROR(__xludf.DUMMYFUNCTION("""COMPUTED_VALUE"""),"Tóparti Gimnázium Székesfehérvár")</f>
        <v>Tóparti Gimnázium Székesfehérvár</v>
      </c>
      <c r="B4257" s="1" t="str">
        <f ca="1">IFERROR(__xludf.DUMMYFUNCTION("""COMPUTED_VALUE"""),"Kozma Edina")</f>
        <v>Kozma Edina</v>
      </c>
      <c r="C4257" s="1"/>
      <c r="D4257" s="1" t="str">
        <f ca="1">IFERROR(__xludf.DUMMYFUNCTION("""COMPUTED_VALUE"""),"Nő")</f>
        <v>Nő</v>
      </c>
      <c r="E4257" s="1"/>
      <c r="F4257" s="1">
        <f ca="1">IFERROR(__xludf.DUMMYFUNCTION("""COMPUTED_VALUE"""),1984)</f>
        <v>1984</v>
      </c>
      <c r="G4257" s="1">
        <f ca="1">IFERROR(__xludf.DUMMYFUNCTION("""COMPUTED_VALUE"""),542)</f>
        <v>542</v>
      </c>
      <c r="H4257" s="1" t="str">
        <f ca="1">IFERROR(__xludf.DUMMYFUNCTION("""COMPUTED_VALUE"""),"MTLSZ000542A02")</f>
        <v>MTLSZ000542A02</v>
      </c>
      <c r="I4257" s="2">
        <f ca="1">IFERROR(__xludf.DUMMYFUNCTION("""COMPUTED_VALUE"""),37622)</f>
        <v>37622</v>
      </c>
      <c r="J4257" s="2">
        <f ca="1">IFERROR(__xludf.DUMMYFUNCTION("""COMPUTED_VALUE"""),37986)</f>
        <v>37986</v>
      </c>
    </row>
    <row r="4258" spans="1:10" x14ac:dyDescent="0.25">
      <c r="A4258" s="1" t="str">
        <f ca="1">IFERROR(__xludf.DUMMYFUNCTION("""COMPUTED_VALUE"""),"Tóparti Gimnázium Székesfehérvár")</f>
        <v>Tóparti Gimnázium Székesfehérvár</v>
      </c>
      <c r="B4258" s="1" t="str">
        <f ca="1">IFERROR(__xludf.DUMMYFUNCTION("""COMPUTED_VALUE"""),"Lendvai Tamás")</f>
        <v>Lendvai Tamás</v>
      </c>
      <c r="C4258" s="1"/>
      <c r="D4258" s="1" t="str">
        <f ca="1">IFERROR(__xludf.DUMMYFUNCTION("""COMPUTED_VALUE"""),"Férfi")</f>
        <v>Férfi</v>
      </c>
      <c r="E4258" s="1"/>
      <c r="F4258" s="1">
        <f ca="1">IFERROR(__xludf.DUMMYFUNCTION("""COMPUTED_VALUE"""),1985)</f>
        <v>1985</v>
      </c>
      <c r="G4258" s="1">
        <f ca="1">IFERROR(__xludf.DUMMYFUNCTION("""COMPUTED_VALUE"""),584)</f>
        <v>584</v>
      </c>
      <c r="H4258" s="1" t="str">
        <f ca="1">IFERROR(__xludf.DUMMYFUNCTION("""COMPUTED_VALUE"""),"MTLSZ000584A02")</f>
        <v>MTLSZ000584A02</v>
      </c>
      <c r="I4258" s="2">
        <f ca="1">IFERROR(__xludf.DUMMYFUNCTION("""COMPUTED_VALUE"""),37622)</f>
        <v>37622</v>
      </c>
      <c r="J4258" s="2">
        <f ca="1">IFERROR(__xludf.DUMMYFUNCTION("""COMPUTED_VALUE"""),37986)</f>
        <v>37986</v>
      </c>
    </row>
    <row r="4259" spans="1:10" x14ac:dyDescent="0.25">
      <c r="A4259" s="1" t="str">
        <f ca="1">IFERROR(__xludf.DUMMYFUNCTION("""COMPUTED_VALUE"""),"Tóparti Gimnázium Székesfehérvár")</f>
        <v>Tóparti Gimnázium Székesfehérvár</v>
      </c>
      <c r="B4259" s="1" t="str">
        <f ca="1">IFERROR(__xludf.DUMMYFUNCTION("""COMPUTED_VALUE"""),"Pavelka Zsuzsa")</f>
        <v>Pavelka Zsuzsa</v>
      </c>
      <c r="C4259" s="1"/>
      <c r="D4259" s="1" t="str">
        <f ca="1">IFERROR(__xludf.DUMMYFUNCTION("""COMPUTED_VALUE"""),"Nő")</f>
        <v>Nő</v>
      </c>
      <c r="E4259" s="1"/>
      <c r="F4259" s="1">
        <f ca="1">IFERROR(__xludf.DUMMYFUNCTION("""COMPUTED_VALUE"""),1984)</f>
        <v>1984</v>
      </c>
      <c r="G4259" s="1">
        <f ca="1">IFERROR(__xludf.DUMMYFUNCTION("""COMPUTED_VALUE"""),762)</f>
        <v>762</v>
      </c>
      <c r="H4259" s="1" t="str">
        <f ca="1">IFERROR(__xludf.DUMMYFUNCTION("""COMPUTED_VALUE"""),"MTLSZ000762A02")</f>
        <v>MTLSZ000762A02</v>
      </c>
      <c r="I4259" s="2">
        <f ca="1">IFERROR(__xludf.DUMMYFUNCTION("""COMPUTED_VALUE"""),37622)</f>
        <v>37622</v>
      </c>
      <c r="J4259" s="2">
        <f ca="1">IFERROR(__xludf.DUMMYFUNCTION("""COMPUTED_VALUE"""),37986)</f>
        <v>37986</v>
      </c>
    </row>
    <row r="4260" spans="1:10" x14ac:dyDescent="0.25">
      <c r="A4260" s="1" t="str">
        <f ca="1">IFERROR(__xludf.DUMMYFUNCTION("""COMPUTED_VALUE"""),"Tóparti Gimnázium Székesfehérvár")</f>
        <v>Tóparti Gimnázium Székesfehérvár</v>
      </c>
      <c r="B4260" s="1" t="str">
        <f ca="1">IFERROR(__xludf.DUMMYFUNCTION("""COMPUTED_VALUE"""),"Pechtol Szabolcs")</f>
        <v>Pechtol Szabolcs</v>
      </c>
      <c r="C4260" s="1"/>
      <c r="D4260" s="1" t="str">
        <f ca="1">IFERROR(__xludf.DUMMYFUNCTION("""COMPUTED_VALUE"""),"Férfi")</f>
        <v>Férfi</v>
      </c>
      <c r="E4260" s="1"/>
      <c r="F4260" s="1">
        <f ca="1">IFERROR(__xludf.DUMMYFUNCTION("""COMPUTED_VALUE"""),1983)</f>
        <v>1983</v>
      </c>
      <c r="G4260" s="1">
        <f ca="1">IFERROR(__xludf.DUMMYFUNCTION("""COMPUTED_VALUE"""),764)</f>
        <v>764</v>
      </c>
      <c r="H4260" s="1" t="str">
        <f ca="1">IFERROR(__xludf.DUMMYFUNCTION("""COMPUTED_VALUE"""),"MTLSZ000764A02")</f>
        <v>MTLSZ000764A02</v>
      </c>
      <c r="I4260" s="2">
        <f ca="1">IFERROR(__xludf.DUMMYFUNCTION("""COMPUTED_VALUE"""),37622)</f>
        <v>37622</v>
      </c>
      <c r="J4260" s="2">
        <f ca="1">IFERROR(__xludf.DUMMYFUNCTION("""COMPUTED_VALUE"""),37986)</f>
        <v>37986</v>
      </c>
    </row>
    <row r="4261" spans="1:10" x14ac:dyDescent="0.25">
      <c r="A4261" s="1" t="str">
        <f ca="1">IFERROR(__xludf.DUMMYFUNCTION("""COMPUTED_VALUE"""),"Tóparti Gimnázium Székesfehérvár")</f>
        <v>Tóparti Gimnázium Székesfehérvár</v>
      </c>
      <c r="B4261" s="1" t="str">
        <f ca="1">IFERROR(__xludf.DUMMYFUNCTION("""COMPUTED_VALUE"""),"Szabó Csilla")</f>
        <v>Szabó Csilla</v>
      </c>
      <c r="C4261" s="1"/>
      <c r="D4261" s="1" t="str">
        <f ca="1">IFERROR(__xludf.DUMMYFUNCTION("""COMPUTED_VALUE"""),"Nő")</f>
        <v>Nő</v>
      </c>
      <c r="E4261" s="1"/>
      <c r="F4261" s="1">
        <f ca="1">IFERROR(__xludf.DUMMYFUNCTION("""COMPUTED_VALUE"""),1982)</f>
        <v>1982</v>
      </c>
      <c r="G4261" s="1">
        <f ca="1">IFERROR(__xludf.DUMMYFUNCTION("""COMPUTED_VALUE"""),885)</f>
        <v>885</v>
      </c>
      <c r="H4261" s="1" t="str">
        <f ca="1">IFERROR(__xludf.DUMMYFUNCTION("""COMPUTED_VALUE"""),"MTLSZ000885A02")</f>
        <v>MTLSZ000885A02</v>
      </c>
      <c r="I4261" s="2">
        <f ca="1">IFERROR(__xludf.DUMMYFUNCTION("""COMPUTED_VALUE"""),37622)</f>
        <v>37622</v>
      </c>
      <c r="J4261" s="2">
        <f ca="1">IFERROR(__xludf.DUMMYFUNCTION("""COMPUTED_VALUE"""),37986)</f>
        <v>37986</v>
      </c>
    </row>
    <row r="4262" spans="1:10" x14ac:dyDescent="0.25">
      <c r="A4262" s="1" t="str">
        <f ca="1">IFERROR(__xludf.DUMMYFUNCTION("""COMPUTED_VALUE"""),"Tóparti Gimnázium Székesfehérvár")</f>
        <v>Tóparti Gimnázium Székesfehérvár</v>
      </c>
      <c r="B4262" s="1" t="str">
        <f ca="1">IFERROR(__xludf.DUMMYFUNCTION("""COMPUTED_VALUE"""),"Tar Balázs")</f>
        <v>Tar Balázs</v>
      </c>
      <c r="C4262" s="1"/>
      <c r="D4262" s="1" t="str">
        <f ca="1">IFERROR(__xludf.DUMMYFUNCTION("""COMPUTED_VALUE"""),"Férfi")</f>
        <v>Férfi</v>
      </c>
      <c r="E4262" s="1"/>
      <c r="F4262" s="1">
        <f ca="1">IFERROR(__xludf.DUMMYFUNCTION("""COMPUTED_VALUE"""),1984)</f>
        <v>1984</v>
      </c>
      <c r="G4262" s="1">
        <f ca="1">IFERROR(__xludf.DUMMYFUNCTION("""COMPUTED_VALUE"""),1000)</f>
        <v>1000</v>
      </c>
      <c r="H4262" s="1" t="str">
        <f ca="1">IFERROR(__xludf.DUMMYFUNCTION("""COMPUTED_VALUE"""),"MTLSZ001000A02")</f>
        <v>MTLSZ001000A02</v>
      </c>
      <c r="I4262" s="2">
        <f ca="1">IFERROR(__xludf.DUMMYFUNCTION("""COMPUTED_VALUE"""),37622)</f>
        <v>37622</v>
      </c>
      <c r="J4262" s="2">
        <f ca="1">IFERROR(__xludf.DUMMYFUNCTION("""COMPUTED_VALUE"""),37986)</f>
        <v>37986</v>
      </c>
    </row>
    <row r="4263" spans="1:10" x14ac:dyDescent="0.25">
      <c r="A4263" s="1" t="str">
        <f ca="1">IFERROR(__xludf.DUMMYFUNCTION("""COMPUTED_VALUE"""),"Tóparti Gimnázium Székesfehérvár")</f>
        <v>Tóparti Gimnázium Székesfehérvár</v>
      </c>
      <c r="B4263" s="1" t="str">
        <f ca="1">IFERROR(__xludf.DUMMYFUNCTION("""COMPUTED_VALUE"""),"Tóth András")</f>
        <v>Tóth András</v>
      </c>
      <c r="C4263" s="1"/>
      <c r="D4263" s="1" t="str">
        <f ca="1">IFERROR(__xludf.DUMMYFUNCTION("""COMPUTED_VALUE"""),"Férfi")</f>
        <v>Férfi</v>
      </c>
      <c r="E4263" s="1"/>
      <c r="F4263" s="1">
        <f ca="1">IFERROR(__xludf.DUMMYFUNCTION("""COMPUTED_VALUE"""),1984)</f>
        <v>1984</v>
      </c>
      <c r="G4263" s="1">
        <f ca="1">IFERROR(__xludf.DUMMYFUNCTION("""COMPUTED_VALUE"""),1025)</f>
        <v>1025</v>
      </c>
      <c r="H4263" s="1" t="str">
        <f ca="1">IFERROR(__xludf.DUMMYFUNCTION("""COMPUTED_VALUE"""),"MTLSZ001025A02")</f>
        <v>MTLSZ001025A02</v>
      </c>
      <c r="I4263" s="2">
        <f ca="1">IFERROR(__xludf.DUMMYFUNCTION("""COMPUTED_VALUE"""),37622)</f>
        <v>37622</v>
      </c>
      <c r="J4263" s="2">
        <f ca="1">IFERROR(__xludf.DUMMYFUNCTION("""COMPUTED_VALUE"""),37986)</f>
        <v>37986</v>
      </c>
    </row>
    <row r="4264" spans="1:10" x14ac:dyDescent="0.25">
      <c r="A4264" s="1" t="str">
        <f ca="1">IFERROR(__xludf.DUMMYFUNCTION("""COMPUTED_VALUE"""),"Universitas SC")</f>
        <v>Universitas SC</v>
      </c>
      <c r="B4264" s="1" t="str">
        <f ca="1">IFERROR(__xludf.DUMMYFUNCTION("""COMPUTED_VALUE"""),"Bánfi Erzsébet")</f>
        <v>Bánfi Erzsébet</v>
      </c>
      <c r="C4264" s="1"/>
      <c r="D4264" s="1" t="str">
        <f ca="1">IFERROR(__xludf.DUMMYFUNCTION("""COMPUTED_VALUE"""),"Nő")</f>
        <v>Nő</v>
      </c>
      <c r="E4264" s="1"/>
      <c r="F4264" s="1">
        <f ca="1">IFERROR(__xludf.DUMMYFUNCTION("""COMPUTED_VALUE"""),1968)</f>
        <v>1968</v>
      </c>
      <c r="G4264" s="1">
        <f ca="1">IFERROR(__xludf.DUMMYFUNCTION("""COMPUTED_VALUE"""),48)</f>
        <v>48</v>
      </c>
      <c r="H4264" s="1" t="str">
        <f ca="1">IFERROR(__xludf.DUMMYFUNCTION("""COMPUTED_VALUE"""),"MTLSZ000048A02")</f>
        <v>MTLSZ000048A02</v>
      </c>
      <c r="I4264" s="2">
        <f ca="1">IFERROR(__xludf.DUMMYFUNCTION("""COMPUTED_VALUE"""),37622)</f>
        <v>37622</v>
      </c>
      <c r="J4264" s="2">
        <f ca="1">IFERROR(__xludf.DUMMYFUNCTION("""COMPUTED_VALUE"""),37986)</f>
        <v>37986</v>
      </c>
    </row>
    <row r="4265" spans="1:10" x14ac:dyDescent="0.25">
      <c r="A4265" s="1" t="str">
        <f ca="1">IFERROR(__xludf.DUMMYFUNCTION("""COMPUTED_VALUE"""),"Universitas SC")</f>
        <v>Universitas SC</v>
      </c>
      <c r="B4265" s="1" t="str">
        <f ca="1">IFERROR(__xludf.DUMMYFUNCTION("""COMPUTED_VALUE"""),"Bozsik Tibor")</f>
        <v>Bozsik Tibor</v>
      </c>
      <c r="C4265" s="1"/>
      <c r="D4265" s="1" t="str">
        <f ca="1">IFERROR(__xludf.DUMMYFUNCTION("""COMPUTED_VALUE"""),"Férfi")</f>
        <v>Férfi</v>
      </c>
      <c r="E4265" s="1"/>
      <c r="F4265" s="1">
        <f ca="1">IFERROR(__xludf.DUMMYFUNCTION("""COMPUTED_VALUE"""),1962)</f>
        <v>1962</v>
      </c>
      <c r="G4265" s="1">
        <f ca="1">IFERROR(__xludf.DUMMYFUNCTION("""COMPUTED_VALUE"""),115)</f>
        <v>115</v>
      </c>
      <c r="H4265" s="1" t="str">
        <f ca="1">IFERROR(__xludf.DUMMYFUNCTION("""COMPUTED_VALUE"""),"MTLSZ000115A02")</f>
        <v>MTLSZ000115A02</v>
      </c>
      <c r="I4265" s="2">
        <f ca="1">IFERROR(__xludf.DUMMYFUNCTION("""COMPUTED_VALUE"""),37622)</f>
        <v>37622</v>
      </c>
      <c r="J4265" s="2">
        <f ca="1">IFERROR(__xludf.DUMMYFUNCTION("""COMPUTED_VALUE"""),37986)</f>
        <v>37986</v>
      </c>
    </row>
    <row r="4266" spans="1:10" x14ac:dyDescent="0.25">
      <c r="A4266" s="1" t="str">
        <f ca="1">IFERROR(__xludf.DUMMYFUNCTION("""COMPUTED_VALUE"""),"Universitas SC")</f>
        <v>Universitas SC</v>
      </c>
      <c r="B4266" s="1" t="str">
        <f ca="1">IFERROR(__xludf.DUMMYFUNCTION("""COMPUTED_VALUE"""),"Garamvölgyi Orsolya")</f>
        <v>Garamvölgyi Orsolya</v>
      </c>
      <c r="C4266" s="1"/>
      <c r="D4266" s="1" t="str">
        <f ca="1">IFERROR(__xludf.DUMMYFUNCTION("""COMPUTED_VALUE"""),"Nő")</f>
        <v>Nő</v>
      </c>
      <c r="E4266" s="1"/>
      <c r="F4266" s="1">
        <f ca="1">IFERROR(__xludf.DUMMYFUNCTION("""COMPUTED_VALUE"""),1983)</f>
        <v>1983</v>
      </c>
      <c r="G4266" s="1">
        <f ca="1">IFERROR(__xludf.DUMMYFUNCTION("""COMPUTED_VALUE"""),282)</f>
        <v>282</v>
      </c>
      <c r="H4266" s="1" t="str">
        <f ca="1">IFERROR(__xludf.DUMMYFUNCTION("""COMPUTED_VALUE"""),"MTLSZ000282A02")</f>
        <v>MTLSZ000282A02</v>
      </c>
      <c r="I4266" s="2">
        <f ca="1">IFERROR(__xludf.DUMMYFUNCTION("""COMPUTED_VALUE"""),37622)</f>
        <v>37622</v>
      </c>
      <c r="J4266" s="2">
        <f ca="1">IFERROR(__xludf.DUMMYFUNCTION("""COMPUTED_VALUE"""),37986)</f>
        <v>37986</v>
      </c>
    </row>
    <row r="4267" spans="1:10" x14ac:dyDescent="0.25">
      <c r="A4267" s="1" t="str">
        <f ca="1">IFERROR(__xludf.DUMMYFUNCTION("""COMPUTED_VALUE"""),"Universitas SC")</f>
        <v>Universitas SC</v>
      </c>
      <c r="B4267" s="1" t="str">
        <f ca="1">IFERROR(__xludf.DUMMYFUNCTION("""COMPUTED_VALUE"""),"Joó Gyöngyi")</f>
        <v>Joó Gyöngyi</v>
      </c>
      <c r="C4267" s="1"/>
      <c r="D4267" s="1" t="str">
        <f ca="1">IFERROR(__xludf.DUMMYFUNCTION("""COMPUTED_VALUE"""),"Nő")</f>
        <v>Nő</v>
      </c>
      <c r="E4267" s="1"/>
      <c r="F4267" s="1">
        <f ca="1">IFERROR(__xludf.DUMMYFUNCTION("""COMPUTED_VALUE"""),1958)</f>
        <v>1958</v>
      </c>
      <c r="G4267" s="1">
        <f ca="1">IFERROR(__xludf.DUMMYFUNCTION("""COMPUTED_VALUE"""),413)</f>
        <v>413</v>
      </c>
      <c r="H4267" s="1" t="str">
        <f ca="1">IFERROR(__xludf.DUMMYFUNCTION("""COMPUTED_VALUE"""),"MTLSZ000413A02")</f>
        <v>MTLSZ000413A02</v>
      </c>
      <c r="I4267" s="2">
        <f ca="1">IFERROR(__xludf.DUMMYFUNCTION("""COMPUTED_VALUE"""),37622)</f>
        <v>37622</v>
      </c>
      <c r="J4267" s="2">
        <f ca="1">IFERROR(__xludf.DUMMYFUNCTION("""COMPUTED_VALUE"""),37986)</f>
        <v>37986</v>
      </c>
    </row>
    <row r="4268" spans="1:10" x14ac:dyDescent="0.25">
      <c r="A4268" s="1" t="str">
        <f ca="1">IFERROR(__xludf.DUMMYFUNCTION("""COMPUTED_VALUE"""),"Universitas SC")</f>
        <v>Universitas SC</v>
      </c>
      <c r="B4268" s="1" t="str">
        <f ca="1">IFERROR(__xludf.DUMMYFUNCTION("""COMPUTED_VALUE"""),"Karsai Ágnes")</f>
        <v>Karsai Ágnes</v>
      </c>
      <c r="C4268" s="1"/>
      <c r="D4268" s="1" t="str">
        <f ca="1">IFERROR(__xludf.DUMMYFUNCTION("""COMPUTED_VALUE"""),"Nő")</f>
        <v>Nő</v>
      </c>
      <c r="E4268" s="1"/>
      <c r="F4268" s="1">
        <f ca="1">IFERROR(__xludf.DUMMYFUNCTION("""COMPUTED_VALUE"""),1970)</f>
        <v>1970</v>
      </c>
      <c r="G4268" s="1">
        <f ca="1">IFERROR(__xludf.DUMMYFUNCTION("""COMPUTED_VALUE"""),441)</f>
        <v>441</v>
      </c>
      <c r="H4268" s="1" t="str">
        <f ca="1">IFERROR(__xludf.DUMMYFUNCTION("""COMPUTED_VALUE"""),"MTLSZ000441A02")</f>
        <v>MTLSZ000441A02</v>
      </c>
      <c r="I4268" s="2">
        <f ca="1">IFERROR(__xludf.DUMMYFUNCTION("""COMPUTED_VALUE"""),37622)</f>
        <v>37622</v>
      </c>
      <c r="J4268" s="2">
        <f ca="1">IFERROR(__xludf.DUMMYFUNCTION("""COMPUTED_VALUE"""),37986)</f>
        <v>37986</v>
      </c>
    </row>
    <row r="4269" spans="1:10" x14ac:dyDescent="0.25">
      <c r="A4269" s="1" t="str">
        <f ca="1">IFERROR(__xludf.DUMMYFUNCTION("""COMPUTED_VALUE"""),"Universitas SC")</f>
        <v>Universitas SC</v>
      </c>
      <c r="B4269" s="1" t="str">
        <f ca="1">IFERROR(__xludf.DUMMYFUNCTION("""COMPUTED_VALUE"""),"Kesztyűs Attila")</f>
        <v>Kesztyűs Attila</v>
      </c>
      <c r="C4269" s="1"/>
      <c r="D4269" s="1" t="str">
        <f ca="1">IFERROR(__xludf.DUMMYFUNCTION("""COMPUTED_VALUE"""),"Férfi")</f>
        <v>Férfi</v>
      </c>
      <c r="E4269" s="1"/>
      <c r="F4269" s="1">
        <f ca="1">IFERROR(__xludf.DUMMYFUNCTION("""COMPUTED_VALUE"""),1973)</f>
        <v>1973</v>
      </c>
      <c r="G4269" s="1">
        <f ca="1">IFERROR(__xludf.DUMMYFUNCTION("""COMPUTED_VALUE"""),464)</f>
        <v>464</v>
      </c>
      <c r="H4269" s="1" t="str">
        <f ca="1">IFERROR(__xludf.DUMMYFUNCTION("""COMPUTED_VALUE"""),"MTLSZ000464A02")</f>
        <v>MTLSZ000464A02</v>
      </c>
      <c r="I4269" s="2">
        <f ca="1">IFERROR(__xludf.DUMMYFUNCTION("""COMPUTED_VALUE"""),37622)</f>
        <v>37622</v>
      </c>
      <c r="J4269" s="2">
        <f ca="1">IFERROR(__xludf.DUMMYFUNCTION("""COMPUTED_VALUE"""),37986)</f>
        <v>37986</v>
      </c>
    </row>
    <row r="4270" spans="1:10" x14ac:dyDescent="0.25">
      <c r="A4270" s="1" t="str">
        <f ca="1">IFERROR(__xludf.DUMMYFUNCTION("""COMPUTED_VALUE"""),"Universitas SC")</f>
        <v>Universitas SC</v>
      </c>
      <c r="B4270" s="1" t="str">
        <f ca="1">IFERROR(__xludf.DUMMYFUNCTION("""COMPUTED_VALUE"""),"Lenkehegyi Béla")</f>
        <v>Lenkehegyi Béla</v>
      </c>
      <c r="C4270" s="1"/>
      <c r="D4270" s="1" t="str">
        <f ca="1">IFERROR(__xludf.DUMMYFUNCTION("""COMPUTED_VALUE"""),"Férfi")</f>
        <v>Férfi</v>
      </c>
      <c r="E4270" s="1"/>
      <c r="F4270" s="1">
        <f ca="1">IFERROR(__xludf.DUMMYFUNCTION("""COMPUTED_VALUE"""),1976)</f>
        <v>1976</v>
      </c>
      <c r="G4270" s="1">
        <f ca="1">IFERROR(__xludf.DUMMYFUNCTION("""COMPUTED_VALUE"""),587)</f>
        <v>587</v>
      </c>
      <c r="H4270" s="1" t="str">
        <f ca="1">IFERROR(__xludf.DUMMYFUNCTION("""COMPUTED_VALUE"""),"MTLSZ000587A02")</f>
        <v>MTLSZ000587A02</v>
      </c>
      <c r="I4270" s="2">
        <f ca="1">IFERROR(__xludf.DUMMYFUNCTION("""COMPUTED_VALUE"""),37622)</f>
        <v>37622</v>
      </c>
      <c r="J4270" s="2">
        <f ca="1">IFERROR(__xludf.DUMMYFUNCTION("""COMPUTED_VALUE"""),37986)</f>
        <v>37986</v>
      </c>
    </row>
    <row r="4271" spans="1:10" x14ac:dyDescent="0.25">
      <c r="A4271" s="1" t="str">
        <f ca="1">IFERROR(__xludf.DUMMYFUNCTION("""COMPUTED_VALUE"""),"Universitas SC")</f>
        <v>Universitas SC</v>
      </c>
      <c r="B4271" s="1" t="str">
        <f ca="1">IFERROR(__xludf.DUMMYFUNCTION("""COMPUTED_VALUE"""),"Miklós Attila")</f>
        <v>Miklós Attila</v>
      </c>
      <c r="C4271" s="1"/>
      <c r="D4271" s="1" t="str">
        <f ca="1">IFERROR(__xludf.DUMMYFUNCTION("""COMPUTED_VALUE"""),"Férfi")</f>
        <v>Férfi</v>
      </c>
      <c r="E4271" s="1"/>
      <c r="F4271" s="1">
        <f ca="1">IFERROR(__xludf.DUMMYFUNCTION("""COMPUTED_VALUE"""),1980)</f>
        <v>1980</v>
      </c>
      <c r="G4271" s="1">
        <f ca="1">IFERROR(__xludf.DUMMYFUNCTION("""COMPUTED_VALUE"""),647)</f>
        <v>647</v>
      </c>
      <c r="H4271" s="1" t="str">
        <f ca="1">IFERROR(__xludf.DUMMYFUNCTION("""COMPUTED_VALUE"""),"MTLSZ000647A02")</f>
        <v>MTLSZ000647A02</v>
      </c>
      <c r="I4271" s="2">
        <f ca="1">IFERROR(__xludf.DUMMYFUNCTION("""COMPUTED_VALUE"""),37622)</f>
        <v>37622</v>
      </c>
      <c r="J4271" s="2">
        <f ca="1">IFERROR(__xludf.DUMMYFUNCTION("""COMPUTED_VALUE"""),37986)</f>
        <v>37986</v>
      </c>
    </row>
    <row r="4272" spans="1:10" x14ac:dyDescent="0.25">
      <c r="A4272" s="1" t="str">
        <f ca="1">IFERROR(__xludf.DUMMYFUNCTION("""COMPUTED_VALUE"""),"Universitas SC")</f>
        <v>Universitas SC</v>
      </c>
      <c r="B4272" s="1" t="str">
        <f ca="1">IFERROR(__xludf.DUMMYFUNCTION("""COMPUTED_VALUE"""),"Nagy Enikő")</f>
        <v>Nagy Enikő</v>
      </c>
      <c r="C4272" s="1"/>
      <c r="D4272" s="1" t="str">
        <f ca="1">IFERROR(__xludf.DUMMYFUNCTION("""COMPUTED_VALUE"""),"Nő")</f>
        <v>Nő</v>
      </c>
      <c r="E4272" s="1"/>
      <c r="F4272" s="1">
        <f ca="1">IFERROR(__xludf.DUMMYFUNCTION("""COMPUTED_VALUE"""),1969)</f>
        <v>1969</v>
      </c>
      <c r="G4272" s="1">
        <f ca="1">IFERROR(__xludf.DUMMYFUNCTION("""COMPUTED_VALUE"""),681)</f>
        <v>681</v>
      </c>
      <c r="H4272" s="1" t="str">
        <f ca="1">IFERROR(__xludf.DUMMYFUNCTION("""COMPUTED_VALUE"""),"MTLSZ000681A02")</f>
        <v>MTLSZ000681A02</v>
      </c>
      <c r="I4272" s="2">
        <f ca="1">IFERROR(__xludf.DUMMYFUNCTION("""COMPUTED_VALUE"""),37622)</f>
        <v>37622</v>
      </c>
      <c r="J4272" s="2">
        <f ca="1">IFERROR(__xludf.DUMMYFUNCTION("""COMPUTED_VALUE"""),37986)</f>
        <v>37986</v>
      </c>
    </row>
    <row r="4273" spans="1:10" x14ac:dyDescent="0.25">
      <c r="A4273" s="1" t="str">
        <f ca="1">IFERROR(__xludf.DUMMYFUNCTION("""COMPUTED_VALUE"""),"Universitas SC")</f>
        <v>Universitas SC</v>
      </c>
      <c r="B4273" s="1" t="str">
        <f ca="1">IFERROR(__xludf.DUMMYFUNCTION("""COMPUTED_VALUE"""),"Révész Mónika")</f>
        <v>Révész Mónika</v>
      </c>
      <c r="C4273" s="1"/>
      <c r="D4273" s="1" t="str">
        <f ca="1">IFERROR(__xludf.DUMMYFUNCTION("""COMPUTED_VALUE"""),"Nő")</f>
        <v>Nő</v>
      </c>
      <c r="E4273" s="1"/>
      <c r="F4273" s="1">
        <f ca="1">IFERROR(__xludf.DUMMYFUNCTION("""COMPUTED_VALUE"""),1976)</f>
        <v>1976</v>
      </c>
      <c r="G4273" s="1">
        <f ca="1">IFERROR(__xludf.DUMMYFUNCTION("""COMPUTED_VALUE"""),811)</f>
        <v>811</v>
      </c>
      <c r="H4273" s="1" t="str">
        <f ca="1">IFERROR(__xludf.DUMMYFUNCTION("""COMPUTED_VALUE"""),"MTLSZ000811A02")</f>
        <v>MTLSZ000811A02</v>
      </c>
      <c r="I4273" s="2">
        <f ca="1">IFERROR(__xludf.DUMMYFUNCTION("""COMPUTED_VALUE"""),37622)</f>
        <v>37622</v>
      </c>
      <c r="J4273" s="2">
        <f ca="1">IFERROR(__xludf.DUMMYFUNCTION("""COMPUTED_VALUE"""),37986)</f>
        <v>37986</v>
      </c>
    </row>
    <row r="4274" spans="1:10" x14ac:dyDescent="0.25">
      <c r="A4274" s="1" t="str">
        <f ca="1">IFERROR(__xludf.DUMMYFUNCTION("""COMPUTED_VALUE"""),"Universitas SC")</f>
        <v>Universitas SC</v>
      </c>
      <c r="B4274" s="1" t="str">
        <f ca="1">IFERROR(__xludf.DUMMYFUNCTION("""COMPUTED_VALUE"""),"Sándor Rita")</f>
        <v>Sándor Rita</v>
      </c>
      <c r="C4274" s="1"/>
      <c r="D4274" s="1" t="str">
        <f ca="1">IFERROR(__xludf.DUMMYFUNCTION("""COMPUTED_VALUE"""),"Nő")</f>
        <v>Nő</v>
      </c>
      <c r="E4274" s="1"/>
      <c r="F4274" s="1">
        <f ca="1">IFERROR(__xludf.DUMMYFUNCTION("""COMPUTED_VALUE"""),1977)</f>
        <v>1977</v>
      </c>
      <c r="G4274" s="1">
        <f ca="1">IFERROR(__xludf.DUMMYFUNCTION("""COMPUTED_VALUE"""),829)</f>
        <v>829</v>
      </c>
      <c r="H4274" s="1" t="str">
        <f ca="1">IFERROR(__xludf.DUMMYFUNCTION("""COMPUTED_VALUE"""),"MTLSZ000829A02")</f>
        <v>MTLSZ000829A02</v>
      </c>
      <c r="I4274" s="2">
        <f ca="1">IFERROR(__xludf.DUMMYFUNCTION("""COMPUTED_VALUE"""),37622)</f>
        <v>37622</v>
      </c>
      <c r="J4274" s="2">
        <f ca="1">IFERROR(__xludf.DUMMYFUNCTION("""COMPUTED_VALUE"""),37986)</f>
        <v>37986</v>
      </c>
    </row>
    <row r="4275" spans="1:10" x14ac:dyDescent="0.25">
      <c r="A4275" s="1" t="str">
        <f ca="1">IFERROR(__xludf.DUMMYFUNCTION("""COMPUTED_VALUE"""),"Universitas SC")</f>
        <v>Universitas SC</v>
      </c>
      <c r="B4275" s="1" t="str">
        <f ca="1">IFERROR(__xludf.DUMMYFUNCTION("""COMPUTED_VALUE"""),"Tóth Zoltán")</f>
        <v>Tóth Zoltán</v>
      </c>
      <c r="C4275" s="1"/>
      <c r="D4275" s="1" t="str">
        <f ca="1">IFERROR(__xludf.DUMMYFUNCTION("""COMPUTED_VALUE"""),"Férfi")</f>
        <v>Férfi</v>
      </c>
      <c r="E4275" s="1"/>
      <c r="F4275" s="1">
        <f ca="1">IFERROR(__xludf.DUMMYFUNCTION("""COMPUTED_VALUE"""),1974)</f>
        <v>1974</v>
      </c>
      <c r="G4275" s="1">
        <f ca="1">IFERROR(__xludf.DUMMYFUNCTION("""COMPUTED_VALUE"""),1051)</f>
        <v>1051</v>
      </c>
      <c r="H4275" s="1" t="str">
        <f ca="1">IFERROR(__xludf.DUMMYFUNCTION("""COMPUTED_VALUE"""),"MTLSZ001051A02")</f>
        <v>MTLSZ001051A02</v>
      </c>
      <c r="I4275" s="2">
        <f ca="1">IFERROR(__xludf.DUMMYFUNCTION("""COMPUTED_VALUE"""),37622)</f>
        <v>37622</v>
      </c>
      <c r="J4275" s="2">
        <f ca="1">IFERROR(__xludf.DUMMYFUNCTION("""COMPUTED_VALUE"""),37986)</f>
        <v>37986</v>
      </c>
    </row>
    <row r="4276" spans="1:10" x14ac:dyDescent="0.25">
      <c r="A4276" s="1" t="str">
        <f ca="1">IFERROR(__xludf.DUMMYFUNCTION("""COMPUTED_VALUE"""),"Veszprémi Sasok BC")</f>
        <v>Veszprémi Sasok BC</v>
      </c>
      <c r="B4276" s="1" t="str">
        <f ca="1">IFERROR(__xludf.DUMMYFUNCTION("""COMPUTED_VALUE"""),"Harangi Gergely")</f>
        <v>Harangi Gergely</v>
      </c>
      <c r="C4276" s="1"/>
      <c r="D4276" s="1" t="str">
        <f ca="1">IFERROR(__xludf.DUMMYFUNCTION("""COMPUTED_VALUE"""),"Férfi")</f>
        <v>Férfi</v>
      </c>
      <c r="E4276" s="1"/>
      <c r="F4276" s="1">
        <f ca="1">IFERROR(__xludf.DUMMYFUNCTION("""COMPUTED_VALUE"""),1976)</f>
        <v>1976</v>
      </c>
      <c r="G4276" s="1">
        <f ca="1">IFERROR(__xludf.DUMMYFUNCTION("""COMPUTED_VALUE"""),339)</f>
        <v>339</v>
      </c>
      <c r="H4276" s="1" t="str">
        <f ca="1">IFERROR(__xludf.DUMMYFUNCTION("""COMPUTED_VALUE"""),"MTLSZ000339A02")</f>
        <v>MTLSZ000339A02</v>
      </c>
      <c r="I4276" s="2">
        <f ca="1">IFERROR(__xludf.DUMMYFUNCTION("""COMPUTED_VALUE"""),37622)</f>
        <v>37622</v>
      </c>
      <c r="J4276" s="2">
        <f ca="1">IFERROR(__xludf.DUMMYFUNCTION("""COMPUTED_VALUE"""),37986)</f>
        <v>37986</v>
      </c>
    </row>
    <row r="4277" spans="1:10" x14ac:dyDescent="0.25">
      <c r="A4277" s="1" t="str">
        <f ca="1">IFERROR(__xludf.DUMMYFUNCTION("""COMPUTED_VALUE"""),"Veszprémi Sasok BC")</f>
        <v>Veszprémi Sasok BC</v>
      </c>
      <c r="B4277" s="1" t="str">
        <f ca="1">IFERROR(__xludf.DUMMYFUNCTION("""COMPUTED_VALUE"""),"Huff Róbert")</f>
        <v>Huff Róbert</v>
      </c>
      <c r="C4277" s="1"/>
      <c r="D4277" s="1" t="str">
        <f ca="1">IFERROR(__xludf.DUMMYFUNCTION("""COMPUTED_VALUE"""),"Férfi")</f>
        <v>Férfi</v>
      </c>
      <c r="E4277" s="1"/>
      <c r="F4277" s="1">
        <f ca="1">IFERROR(__xludf.DUMMYFUNCTION("""COMPUTED_VALUE"""),1973)</f>
        <v>1973</v>
      </c>
      <c r="G4277" s="1">
        <f ca="1">IFERROR(__xludf.DUMMYFUNCTION("""COMPUTED_VALUE"""),387)</f>
        <v>387</v>
      </c>
      <c r="H4277" s="1" t="str">
        <f ca="1">IFERROR(__xludf.DUMMYFUNCTION("""COMPUTED_VALUE"""),"MTLSZ000387A02")</f>
        <v>MTLSZ000387A02</v>
      </c>
      <c r="I4277" s="2">
        <f ca="1">IFERROR(__xludf.DUMMYFUNCTION("""COMPUTED_VALUE"""),37622)</f>
        <v>37622</v>
      </c>
      <c r="J4277" s="2">
        <f ca="1">IFERROR(__xludf.DUMMYFUNCTION("""COMPUTED_VALUE"""),37986)</f>
        <v>37986</v>
      </c>
    </row>
    <row r="4278" spans="1:10" x14ac:dyDescent="0.25">
      <c r="A4278" s="1" t="str">
        <f ca="1">IFERROR(__xludf.DUMMYFUNCTION("""COMPUTED_VALUE"""),"ZKSE")</f>
        <v>ZKSE</v>
      </c>
      <c r="B4278" s="1" t="str">
        <f ca="1">IFERROR(__xludf.DUMMYFUNCTION("""COMPUTED_VALUE"""),"Kézér Gábor")</f>
        <v>Kézér Gábor</v>
      </c>
      <c r="C4278" s="1"/>
      <c r="D4278" s="1" t="str">
        <f ca="1">IFERROR(__xludf.DUMMYFUNCTION("""COMPUTED_VALUE"""),"Férfi")</f>
        <v>Férfi</v>
      </c>
      <c r="E4278" s="1"/>
      <c r="F4278" s="1">
        <f ca="1">IFERROR(__xludf.DUMMYFUNCTION("""COMPUTED_VALUE"""),1988)</f>
        <v>1988</v>
      </c>
      <c r="G4278" s="1">
        <f ca="1">IFERROR(__xludf.DUMMYFUNCTION("""COMPUTED_VALUE"""),466)</f>
        <v>466</v>
      </c>
      <c r="H4278" s="1" t="str">
        <f ca="1">IFERROR(__xludf.DUMMYFUNCTION("""COMPUTED_VALUE"""),"MTLSZ000466A02")</f>
        <v>MTLSZ000466A02</v>
      </c>
      <c r="I4278" s="2">
        <f ca="1">IFERROR(__xludf.DUMMYFUNCTION("""COMPUTED_VALUE"""),37622)</f>
        <v>37622</v>
      </c>
      <c r="J4278" s="2">
        <f ca="1">IFERROR(__xludf.DUMMYFUNCTION("""COMPUTED_VALUE"""),37986)</f>
        <v>37986</v>
      </c>
    </row>
    <row r="4279" spans="1:10" x14ac:dyDescent="0.25">
      <c r="A4279" s="1" t="str">
        <f ca="1">IFERROR(__xludf.DUMMYFUNCTION("""COMPUTED_VALUE"""),"ZKSE")</f>
        <v>ZKSE</v>
      </c>
      <c r="B4279" s="1" t="str">
        <f ca="1">IFERROR(__xludf.DUMMYFUNCTION("""COMPUTED_VALUE"""),"Lengyel Tünde")</f>
        <v>Lengyel Tünde</v>
      </c>
      <c r="C4279" s="1"/>
      <c r="D4279" s="1" t="str">
        <f ca="1">IFERROR(__xludf.DUMMYFUNCTION("""COMPUTED_VALUE"""),"Nő")</f>
        <v>Nő</v>
      </c>
      <c r="E4279" s="1"/>
      <c r="F4279" s="1">
        <f ca="1">IFERROR(__xludf.DUMMYFUNCTION("""COMPUTED_VALUE"""),1986)</f>
        <v>1986</v>
      </c>
      <c r="G4279" s="1">
        <f ca="1">IFERROR(__xludf.DUMMYFUNCTION("""COMPUTED_VALUE"""),586)</f>
        <v>586</v>
      </c>
      <c r="H4279" s="1" t="str">
        <f ca="1">IFERROR(__xludf.DUMMYFUNCTION("""COMPUTED_VALUE"""),"MTLSZ000586A02")</f>
        <v>MTLSZ000586A02</v>
      </c>
      <c r="I4279" s="2">
        <f ca="1">IFERROR(__xludf.DUMMYFUNCTION("""COMPUTED_VALUE"""),37622)</f>
        <v>37622</v>
      </c>
      <c r="J4279" s="2">
        <f ca="1">IFERROR(__xludf.DUMMYFUNCTION("""COMPUTED_VALUE"""),37986)</f>
        <v>37986</v>
      </c>
    </row>
    <row r="4280" spans="1:10" x14ac:dyDescent="0.25">
      <c r="A4280" s="1" t="str">
        <f ca="1">IFERROR(__xludf.DUMMYFUNCTION("""COMPUTED_VALUE"""),"ZKSE")</f>
        <v>ZKSE</v>
      </c>
      <c r="B4280" s="1" t="str">
        <f ca="1">IFERROR(__xludf.DUMMYFUNCTION("""COMPUTED_VALUE"""),"Révész Tamás")</f>
        <v>Révész Tamás</v>
      </c>
      <c r="C4280" s="1"/>
      <c r="D4280" s="1" t="str">
        <f ca="1">IFERROR(__xludf.DUMMYFUNCTION("""COMPUTED_VALUE"""),"Férfi")</f>
        <v>Férfi</v>
      </c>
      <c r="E4280" s="1"/>
      <c r="F4280" s="1">
        <f ca="1">IFERROR(__xludf.DUMMYFUNCTION("""COMPUTED_VALUE"""),1988)</f>
        <v>1988</v>
      </c>
      <c r="G4280" s="1">
        <f ca="1">IFERROR(__xludf.DUMMYFUNCTION("""COMPUTED_VALUE"""),812)</f>
        <v>812</v>
      </c>
      <c r="H4280" s="1" t="str">
        <f ca="1">IFERROR(__xludf.DUMMYFUNCTION("""COMPUTED_VALUE"""),"MTLSZ000812A02")</f>
        <v>MTLSZ000812A02</v>
      </c>
      <c r="I4280" s="2">
        <f ca="1">IFERROR(__xludf.DUMMYFUNCTION("""COMPUTED_VALUE"""),37622)</f>
        <v>37622</v>
      </c>
      <c r="J4280" s="2">
        <f ca="1">IFERROR(__xludf.DUMMYFUNCTION("""COMPUTED_VALUE"""),37986)</f>
        <v>37986</v>
      </c>
    </row>
    <row r="4281" spans="1:10" x14ac:dyDescent="0.25">
      <c r="A4281" s="1" t="str">
        <f ca="1">IFERROR(__xludf.DUMMYFUNCTION("""COMPUTED_VALUE"""),"ZKSE")</f>
        <v>ZKSE</v>
      </c>
      <c r="B4281" s="1" t="str">
        <f ca="1">IFERROR(__xludf.DUMMYFUNCTION("""COMPUTED_VALUE"""),"Simon Marietta")</f>
        <v>Simon Marietta</v>
      </c>
      <c r="C4281" s="1"/>
      <c r="D4281" s="1" t="str">
        <f ca="1">IFERROR(__xludf.DUMMYFUNCTION("""COMPUTED_VALUE"""),"Nő")</f>
        <v>Nő</v>
      </c>
      <c r="E4281" s="1"/>
      <c r="F4281" s="1">
        <f ca="1">IFERROR(__xludf.DUMMYFUNCTION("""COMPUTED_VALUE"""),1987)</f>
        <v>1987</v>
      </c>
      <c r="G4281" s="1">
        <f ca="1">IFERROR(__xludf.DUMMYFUNCTION("""COMPUTED_VALUE"""),855)</f>
        <v>855</v>
      </c>
      <c r="H4281" s="1" t="str">
        <f ca="1">IFERROR(__xludf.DUMMYFUNCTION("""COMPUTED_VALUE"""),"MTLSZ000855A02")</f>
        <v>MTLSZ000855A02</v>
      </c>
      <c r="I4281" s="2">
        <f ca="1">IFERROR(__xludf.DUMMYFUNCTION("""COMPUTED_VALUE"""),37622)</f>
        <v>37622</v>
      </c>
      <c r="J4281" s="2">
        <f ca="1">IFERROR(__xludf.DUMMYFUNCTION("""COMPUTED_VALUE"""),37986)</f>
        <v>37986</v>
      </c>
    </row>
    <row r="4282" spans="1:10" x14ac:dyDescent="0.25">
      <c r="A4282" s="1" t="str">
        <f ca="1">IFERROR(__xludf.DUMMYFUNCTION("""COMPUTED_VALUE"""),"ZKSE")</f>
        <v>ZKSE</v>
      </c>
      <c r="B4282" s="1" t="str">
        <f ca="1">IFERROR(__xludf.DUMMYFUNCTION("""COMPUTED_VALUE"""),"Szepesi László")</f>
        <v>Szepesi László</v>
      </c>
      <c r="C4282" s="1"/>
      <c r="D4282" s="1" t="str">
        <f ca="1">IFERROR(__xludf.DUMMYFUNCTION("""COMPUTED_VALUE"""),"Férfi")</f>
        <v>Férfi</v>
      </c>
      <c r="E4282" s="1"/>
      <c r="F4282" s="1">
        <f ca="1">IFERROR(__xludf.DUMMYFUNCTION("""COMPUTED_VALUE"""),1991)</f>
        <v>1991</v>
      </c>
      <c r="G4282" s="1">
        <f ca="1">IFERROR(__xludf.DUMMYFUNCTION("""COMPUTED_VALUE"""),943)</f>
        <v>943</v>
      </c>
      <c r="H4282" s="1" t="str">
        <f ca="1">IFERROR(__xludf.DUMMYFUNCTION("""COMPUTED_VALUE"""),"MTLSZ000943A02")</f>
        <v>MTLSZ000943A02</v>
      </c>
      <c r="I4282" s="2">
        <f ca="1">IFERROR(__xludf.DUMMYFUNCTION("""COMPUTED_VALUE"""),37622)</f>
        <v>37622</v>
      </c>
      <c r="J4282" s="2">
        <f ca="1">IFERROR(__xludf.DUMMYFUNCTION("""COMPUTED_VALUE"""),37986)</f>
        <v>37986</v>
      </c>
    </row>
    <row r="4283" spans="1:10" x14ac:dyDescent="0.25">
      <c r="A4283" s="1" t="str">
        <f ca="1">IFERROR(__xludf.DUMMYFUNCTION("""COMPUTED_VALUE"""),"ZKSE")</f>
        <v>ZKSE</v>
      </c>
      <c r="B4283" s="1" t="str">
        <f ca="1">IFERROR(__xludf.DUMMYFUNCTION("""COMPUTED_VALUE"""),"Tombor Andrea")</f>
        <v>Tombor Andrea</v>
      </c>
      <c r="C4283" s="1"/>
      <c r="D4283" s="1" t="str">
        <f ca="1">IFERROR(__xludf.DUMMYFUNCTION("""COMPUTED_VALUE"""),"Nő")</f>
        <v>Nő</v>
      </c>
      <c r="E4283" s="1"/>
      <c r="F4283" s="1">
        <f ca="1">IFERROR(__xludf.DUMMYFUNCTION("""COMPUTED_VALUE"""),1985)</f>
        <v>1985</v>
      </c>
      <c r="G4283" s="1">
        <f ca="1">IFERROR(__xludf.DUMMYFUNCTION("""COMPUTED_VALUE"""),1016)</f>
        <v>1016</v>
      </c>
      <c r="H4283" s="1" t="str">
        <f ca="1">IFERROR(__xludf.DUMMYFUNCTION("""COMPUTED_VALUE"""),"MTLSZ001016A02")</f>
        <v>MTLSZ001016A02</v>
      </c>
      <c r="I4283" s="2">
        <f ca="1">IFERROR(__xludf.DUMMYFUNCTION("""COMPUTED_VALUE"""),37622)</f>
        <v>37622</v>
      </c>
      <c r="J4283" s="2">
        <f ca="1">IFERROR(__xludf.DUMMYFUNCTION("""COMPUTED_VALUE"""),37986)</f>
        <v>37986</v>
      </c>
    </row>
    <row r="4284" spans="1:10" x14ac:dyDescent="0.25">
      <c r="A4284" s="1" t="str">
        <f ca="1">IFERROR(__xludf.DUMMYFUNCTION("""COMPUTED_VALUE"""),"ZKSE")</f>
        <v>ZKSE</v>
      </c>
      <c r="B4284" s="1" t="str">
        <f ca="1">IFERROR(__xludf.DUMMYFUNCTION("""COMPUTED_VALUE"""),"Veres Mihály")</f>
        <v>Veres Mihály</v>
      </c>
      <c r="C4284" s="1"/>
      <c r="D4284" s="1" t="str">
        <f ca="1">IFERROR(__xludf.DUMMYFUNCTION("""COMPUTED_VALUE"""),"Férfi")</f>
        <v>Férfi</v>
      </c>
      <c r="E4284" s="1"/>
      <c r="F4284" s="1">
        <f ca="1">IFERROR(__xludf.DUMMYFUNCTION("""COMPUTED_VALUE"""),1984)</f>
        <v>1984</v>
      </c>
      <c r="G4284" s="1">
        <f ca="1">IFERROR(__xludf.DUMMYFUNCTION("""COMPUTED_VALUE"""),1114)</f>
        <v>1114</v>
      </c>
      <c r="H4284" s="1" t="str">
        <f ca="1">IFERROR(__xludf.DUMMYFUNCTION("""COMPUTED_VALUE"""),"MTLSZ001114A02")</f>
        <v>MTLSZ001114A02</v>
      </c>
      <c r="I4284" s="2">
        <f ca="1">IFERROR(__xludf.DUMMYFUNCTION("""COMPUTED_VALUE"""),37622)</f>
        <v>37622</v>
      </c>
      <c r="J4284" s="2">
        <f ca="1">IFERROR(__xludf.DUMMYFUNCTION("""COMPUTED_VALUE"""),37986)</f>
        <v>37986</v>
      </c>
    </row>
    <row r="4285" spans="1:10" x14ac:dyDescent="0.25">
      <c r="A4285" s="1" t="str">
        <f ca="1">IFERROR(__xludf.DUMMYFUNCTION("""COMPUTED_VALUE"""),"Zsámbéki SE")</f>
        <v>Zsámbéki SE</v>
      </c>
      <c r="B4285" s="1" t="str">
        <f ca="1">IFERROR(__xludf.DUMMYFUNCTION("""COMPUTED_VALUE"""),"Csapó Gábor")</f>
        <v>Csapó Gábor</v>
      </c>
      <c r="C4285" s="1"/>
      <c r="D4285" s="1" t="str">
        <f ca="1">IFERROR(__xludf.DUMMYFUNCTION("""COMPUTED_VALUE"""),"Férfi")</f>
        <v>Férfi</v>
      </c>
      <c r="E4285" s="1"/>
      <c r="F4285" s="1">
        <f ca="1">IFERROR(__xludf.DUMMYFUNCTION("""COMPUTED_VALUE"""),1957)</f>
        <v>1957</v>
      </c>
      <c r="G4285" s="1">
        <f ca="1">IFERROR(__xludf.DUMMYFUNCTION("""COMPUTED_VALUE"""),127)</f>
        <v>127</v>
      </c>
      <c r="H4285" s="1" t="str">
        <f ca="1">IFERROR(__xludf.DUMMYFUNCTION("""COMPUTED_VALUE"""),"MTLSZ000127A02")</f>
        <v>MTLSZ000127A02</v>
      </c>
      <c r="I4285" s="2">
        <f ca="1">IFERROR(__xludf.DUMMYFUNCTION("""COMPUTED_VALUE"""),37622)</f>
        <v>37622</v>
      </c>
      <c r="J4285" s="2">
        <f ca="1">IFERROR(__xludf.DUMMYFUNCTION("""COMPUTED_VALUE"""),37986)</f>
        <v>37986</v>
      </c>
    </row>
    <row r="4286" spans="1:10" x14ac:dyDescent="0.25">
      <c r="A4286" s="1" t="str">
        <f ca="1">IFERROR(__xludf.DUMMYFUNCTION("""COMPUTED_VALUE"""),"Zsámbéki SE")</f>
        <v>Zsámbéki SE</v>
      </c>
      <c r="B4286" s="1" t="str">
        <f ca="1">IFERROR(__xludf.DUMMYFUNCTION("""COMPUTED_VALUE"""),"Czidó Aliz")</f>
        <v>Czidó Aliz</v>
      </c>
      <c r="C4286" s="1"/>
      <c r="D4286" s="1" t="str">
        <f ca="1">IFERROR(__xludf.DUMMYFUNCTION("""COMPUTED_VALUE"""),"Nő")</f>
        <v>Nő</v>
      </c>
      <c r="E4286" s="1"/>
      <c r="F4286" s="1">
        <f ca="1">IFERROR(__xludf.DUMMYFUNCTION("""COMPUTED_VALUE"""),1984)</f>
        <v>1984</v>
      </c>
      <c r="G4286" s="1">
        <f ca="1">IFERROR(__xludf.DUMMYFUNCTION("""COMPUTED_VALUE"""),161)</f>
        <v>161</v>
      </c>
      <c r="H4286" s="1" t="str">
        <f ca="1">IFERROR(__xludf.DUMMYFUNCTION("""COMPUTED_VALUE"""),"MTLSZ000161A02")</f>
        <v>MTLSZ000161A02</v>
      </c>
      <c r="I4286" s="2">
        <f ca="1">IFERROR(__xludf.DUMMYFUNCTION("""COMPUTED_VALUE"""),37622)</f>
        <v>37622</v>
      </c>
      <c r="J4286" s="2">
        <f ca="1">IFERROR(__xludf.DUMMYFUNCTION("""COMPUTED_VALUE"""),37986)</f>
        <v>37986</v>
      </c>
    </row>
    <row r="4287" spans="1:10" x14ac:dyDescent="0.25">
      <c r="A4287" s="1" t="str">
        <f ca="1">IFERROR(__xludf.DUMMYFUNCTION("""COMPUTED_VALUE"""),"Zsámbéki SE")</f>
        <v>Zsámbéki SE</v>
      </c>
      <c r="B4287" s="1" t="str">
        <f ca="1">IFERROR(__xludf.DUMMYFUNCTION("""COMPUTED_VALUE"""),"Czidó János")</f>
        <v>Czidó János</v>
      </c>
      <c r="C4287" s="1"/>
      <c r="D4287" s="1" t="str">
        <f ca="1">IFERROR(__xludf.DUMMYFUNCTION("""COMPUTED_VALUE"""),"Férfi")</f>
        <v>Férfi</v>
      </c>
      <c r="E4287" s="1"/>
      <c r="F4287" s="1">
        <f ca="1">IFERROR(__xludf.DUMMYFUNCTION("""COMPUTED_VALUE"""),1983)</f>
        <v>1983</v>
      </c>
      <c r="G4287" s="1">
        <f ca="1">IFERROR(__xludf.DUMMYFUNCTION("""COMPUTED_VALUE"""),162)</f>
        <v>162</v>
      </c>
      <c r="H4287" s="1" t="str">
        <f ca="1">IFERROR(__xludf.DUMMYFUNCTION("""COMPUTED_VALUE"""),"MTLSZ000162A02")</f>
        <v>MTLSZ000162A02</v>
      </c>
      <c r="I4287" s="2">
        <f ca="1">IFERROR(__xludf.DUMMYFUNCTION("""COMPUTED_VALUE"""),37622)</f>
        <v>37622</v>
      </c>
      <c r="J4287" s="2">
        <f ca="1">IFERROR(__xludf.DUMMYFUNCTION("""COMPUTED_VALUE"""),37986)</f>
        <v>37986</v>
      </c>
    </row>
    <row r="4288" spans="1:10" x14ac:dyDescent="0.25">
      <c r="A4288" s="1" t="str">
        <f ca="1">IFERROR(__xludf.DUMMYFUNCTION("""COMPUTED_VALUE"""),"Zsámbéki SE")</f>
        <v>Zsámbéki SE</v>
      </c>
      <c r="B4288" s="1" t="str">
        <f ca="1">IFERROR(__xludf.DUMMYFUNCTION("""COMPUTED_VALUE"""),"Czidó Zsanett")</f>
        <v>Czidó Zsanett</v>
      </c>
      <c r="C4288" s="1"/>
      <c r="D4288" s="1" t="str">
        <f ca="1">IFERROR(__xludf.DUMMYFUNCTION("""COMPUTED_VALUE"""),"Nő")</f>
        <v>Nő</v>
      </c>
      <c r="E4288" s="1"/>
      <c r="F4288" s="1">
        <f ca="1">IFERROR(__xludf.DUMMYFUNCTION("""COMPUTED_VALUE"""),1986)</f>
        <v>1986</v>
      </c>
      <c r="G4288" s="1">
        <f ca="1">IFERROR(__xludf.DUMMYFUNCTION("""COMPUTED_VALUE"""),163)</f>
        <v>163</v>
      </c>
      <c r="H4288" s="1" t="str">
        <f ca="1">IFERROR(__xludf.DUMMYFUNCTION("""COMPUTED_VALUE"""),"MTLSZ000163A02")</f>
        <v>MTLSZ000163A02</v>
      </c>
      <c r="I4288" s="2">
        <f ca="1">IFERROR(__xludf.DUMMYFUNCTION("""COMPUTED_VALUE"""),37622)</f>
        <v>37622</v>
      </c>
      <c r="J4288" s="2">
        <f ca="1">IFERROR(__xludf.DUMMYFUNCTION("""COMPUTED_VALUE"""),37986)</f>
        <v>37986</v>
      </c>
    </row>
    <row r="4289" spans="1:10" x14ac:dyDescent="0.25">
      <c r="A4289" s="1" t="str">
        <f ca="1">IFERROR(__xludf.DUMMYFUNCTION("""COMPUTED_VALUE"""),"Zsámbéki SE")</f>
        <v>Zsámbéki SE</v>
      </c>
      <c r="B4289" s="1" t="str">
        <f ca="1">IFERROR(__xludf.DUMMYFUNCTION("""COMPUTED_VALUE"""),"Dobos Sándor")</f>
        <v>Dobos Sándor</v>
      </c>
      <c r="C4289" s="1"/>
      <c r="D4289" s="1" t="str">
        <f ca="1">IFERROR(__xludf.DUMMYFUNCTION("""COMPUTED_VALUE"""),"Férfi")</f>
        <v>Férfi</v>
      </c>
      <c r="E4289" s="1"/>
      <c r="F4289" s="1">
        <f ca="1">IFERROR(__xludf.DUMMYFUNCTION("""COMPUTED_VALUE"""),1981)</f>
        <v>1981</v>
      </c>
      <c r="G4289" s="1">
        <f ca="1">IFERROR(__xludf.DUMMYFUNCTION("""COMPUTED_VALUE"""),193)</f>
        <v>193</v>
      </c>
      <c r="H4289" s="1" t="str">
        <f ca="1">IFERROR(__xludf.DUMMYFUNCTION("""COMPUTED_VALUE"""),"MTLSZ000193A02")</f>
        <v>MTLSZ000193A02</v>
      </c>
      <c r="I4289" s="2">
        <f ca="1">IFERROR(__xludf.DUMMYFUNCTION("""COMPUTED_VALUE"""),37622)</f>
        <v>37622</v>
      </c>
      <c r="J4289" s="2">
        <f ca="1">IFERROR(__xludf.DUMMYFUNCTION("""COMPUTED_VALUE"""),37986)</f>
        <v>37986</v>
      </c>
    </row>
    <row r="4290" spans="1:10" x14ac:dyDescent="0.25">
      <c r="A4290" s="1" t="str">
        <f ca="1">IFERROR(__xludf.DUMMYFUNCTION("""COMPUTED_VALUE"""),"Zsámbéki SE")</f>
        <v>Zsámbéki SE</v>
      </c>
      <c r="B4290" s="1" t="str">
        <f ca="1">IFERROR(__xludf.DUMMYFUNCTION("""COMPUTED_VALUE"""),"Legerszki Krisztina")</f>
        <v>Legerszki Krisztina</v>
      </c>
      <c r="C4290" s="1"/>
      <c r="D4290" s="1" t="str">
        <f ca="1">IFERROR(__xludf.DUMMYFUNCTION("""COMPUTED_VALUE"""),"Nő")</f>
        <v>Nő</v>
      </c>
      <c r="E4290" s="1"/>
      <c r="F4290" s="1">
        <f ca="1">IFERROR(__xludf.DUMMYFUNCTION("""COMPUTED_VALUE"""),1985)</f>
        <v>1985</v>
      </c>
      <c r="G4290" s="1">
        <f ca="1">IFERROR(__xludf.DUMMYFUNCTION("""COMPUTED_VALUE"""),580)</f>
        <v>580</v>
      </c>
      <c r="H4290" s="1" t="str">
        <f ca="1">IFERROR(__xludf.DUMMYFUNCTION("""COMPUTED_VALUE"""),"MTLSZ000580A02")</f>
        <v>MTLSZ000580A02</v>
      </c>
      <c r="I4290" s="2">
        <f ca="1">IFERROR(__xludf.DUMMYFUNCTION("""COMPUTED_VALUE"""),37622)</f>
        <v>37622</v>
      </c>
      <c r="J4290" s="2">
        <f ca="1">IFERROR(__xludf.DUMMYFUNCTION("""COMPUTED_VALUE"""),37986)</f>
        <v>37986</v>
      </c>
    </row>
    <row r="4291" spans="1:10" x14ac:dyDescent="0.25">
      <c r="A4291" s="1" t="str">
        <f ca="1">IFERROR(__xludf.DUMMYFUNCTION("""COMPUTED_VALUE"""),"Zsámbéki SE")</f>
        <v>Zsámbéki SE</v>
      </c>
      <c r="B4291" s="1" t="str">
        <f ca="1">IFERROR(__xludf.DUMMYFUNCTION("""COMPUTED_VALUE"""),"Léka András")</f>
        <v>Léka András</v>
      </c>
      <c r="C4291" s="1"/>
      <c r="D4291" s="1" t="str">
        <f ca="1">IFERROR(__xludf.DUMMYFUNCTION("""COMPUTED_VALUE"""),"Férfi")</f>
        <v>Férfi</v>
      </c>
      <c r="E4291" s="1"/>
      <c r="F4291" s="1">
        <f ca="1">IFERROR(__xludf.DUMMYFUNCTION("""COMPUTED_VALUE"""),1984)</f>
        <v>1984</v>
      </c>
      <c r="G4291" s="1">
        <f ca="1">IFERROR(__xludf.DUMMYFUNCTION("""COMPUTED_VALUE"""),583)</f>
        <v>583</v>
      </c>
      <c r="H4291" s="1" t="str">
        <f ca="1">IFERROR(__xludf.DUMMYFUNCTION("""COMPUTED_VALUE"""),"MTLSZ000583A02")</f>
        <v>MTLSZ000583A02</v>
      </c>
      <c r="I4291" s="2">
        <f ca="1">IFERROR(__xludf.DUMMYFUNCTION("""COMPUTED_VALUE"""),37622)</f>
        <v>37622</v>
      </c>
      <c r="J4291" s="2">
        <f ca="1">IFERROR(__xludf.DUMMYFUNCTION("""COMPUTED_VALUE"""),37986)</f>
        <v>37986</v>
      </c>
    </row>
    <row r="4292" spans="1:10" x14ac:dyDescent="0.25">
      <c r="A4292" s="1" t="str">
        <f ca="1">IFERROR(__xludf.DUMMYFUNCTION("""COMPUTED_VALUE"""),"Zsámbéki SE")</f>
        <v>Zsámbéki SE</v>
      </c>
      <c r="B4292" s="1" t="str">
        <f ca="1">IFERROR(__xludf.DUMMYFUNCTION("""COMPUTED_VALUE"""),"Palovits Kitti")</f>
        <v>Palovits Kitti</v>
      </c>
      <c r="C4292" s="1"/>
      <c r="D4292" s="1" t="str">
        <f ca="1">IFERROR(__xludf.DUMMYFUNCTION("""COMPUTED_VALUE"""),"Nő")</f>
        <v>Nő</v>
      </c>
      <c r="E4292" s="1"/>
      <c r="F4292" s="1">
        <f ca="1">IFERROR(__xludf.DUMMYFUNCTION("""COMPUTED_VALUE"""),1985)</f>
        <v>1985</v>
      </c>
      <c r="G4292" s="1">
        <f ca="1">IFERROR(__xludf.DUMMYFUNCTION("""COMPUTED_VALUE"""),740)</f>
        <v>740</v>
      </c>
      <c r="H4292" s="1" t="str">
        <f ca="1">IFERROR(__xludf.DUMMYFUNCTION("""COMPUTED_VALUE"""),"MTLSZ000740A02")</f>
        <v>MTLSZ000740A02</v>
      </c>
      <c r="I4292" s="2">
        <f ca="1">IFERROR(__xludf.DUMMYFUNCTION("""COMPUTED_VALUE"""),37622)</f>
        <v>37622</v>
      </c>
      <c r="J4292" s="2">
        <f ca="1">IFERROR(__xludf.DUMMYFUNCTION("""COMPUTED_VALUE"""),37986)</f>
        <v>37986</v>
      </c>
    </row>
    <row r="4293" spans="1:10" x14ac:dyDescent="0.25">
      <c r="A4293" s="1" t="str">
        <f ca="1">IFERROR(__xludf.DUMMYFUNCTION("""COMPUTED_VALUE"""),"Zsámbéki SE")</f>
        <v>Zsámbéki SE</v>
      </c>
      <c r="B4293" s="1" t="str">
        <f ca="1">IFERROR(__xludf.DUMMYFUNCTION("""COMPUTED_VALUE"""),"Tarsoly Norbert")</f>
        <v>Tarsoly Norbert</v>
      </c>
      <c r="C4293" s="1"/>
      <c r="D4293" s="1" t="str">
        <f ca="1">IFERROR(__xludf.DUMMYFUNCTION("""COMPUTED_VALUE"""),"Férfi")</f>
        <v>Férfi</v>
      </c>
      <c r="E4293" s="1"/>
      <c r="F4293" s="1">
        <f ca="1">IFERROR(__xludf.DUMMYFUNCTION("""COMPUTED_VALUE"""),1982)</f>
        <v>1982</v>
      </c>
      <c r="G4293" s="1">
        <f ca="1">IFERROR(__xludf.DUMMYFUNCTION("""COMPUTED_VALUE"""),1002)</f>
        <v>1002</v>
      </c>
      <c r="H4293" s="1" t="str">
        <f ca="1">IFERROR(__xludf.DUMMYFUNCTION("""COMPUTED_VALUE"""),"MTLSZ001002A02")</f>
        <v>MTLSZ001002A02</v>
      </c>
      <c r="I4293" s="2">
        <f ca="1">IFERROR(__xludf.DUMMYFUNCTION("""COMPUTED_VALUE"""),37622)</f>
        <v>37622</v>
      </c>
      <c r="J4293" s="2">
        <f ca="1">IFERROR(__xludf.DUMMYFUNCTION("""COMPUTED_VALUE"""),37986)</f>
        <v>37986</v>
      </c>
    </row>
    <row r="4294" spans="1:10" x14ac:dyDescent="0.25">
      <c r="A4294" s="1" t="str">
        <f ca="1">IFERROR(__xludf.DUMMYFUNCTION("""COMPUTED_VALUE"""),"Érdi VSE")</f>
        <v>Érdi VSE</v>
      </c>
      <c r="B4294" s="1" t="str">
        <f ca="1">IFERROR(__xludf.DUMMYFUNCTION("""COMPUTED_VALUE"""),"Nyutali Katalin")</f>
        <v>Nyutali Katalin</v>
      </c>
      <c r="C4294" s="1"/>
      <c r="D4294" s="1" t="str">
        <f ca="1">IFERROR(__xludf.DUMMYFUNCTION("""COMPUTED_VALUE"""),"Nő")</f>
        <v>Nő</v>
      </c>
      <c r="E4294" s="1"/>
      <c r="F4294" s="1">
        <f ca="1">IFERROR(__xludf.DUMMYFUNCTION("""COMPUTED_VALUE"""),1990)</f>
        <v>1990</v>
      </c>
      <c r="G4294" s="1">
        <f ca="1">IFERROR(__xludf.DUMMYFUNCTION("""COMPUTED_VALUE"""),1327)</f>
        <v>1327</v>
      </c>
      <c r="H4294" s="1" t="str">
        <f ca="1">IFERROR(__xludf.DUMMYFUNCTION("""COMPUTED_VALUE"""),"MTLSZ001327A02")</f>
        <v>MTLSZ001327A02</v>
      </c>
      <c r="I4294" s="2">
        <f ca="1">IFERROR(__xludf.DUMMYFUNCTION("""COMPUTED_VALUE"""),37609)</f>
        <v>37609</v>
      </c>
      <c r="J4294" s="2">
        <f ca="1">IFERROR(__xludf.DUMMYFUNCTION("""COMPUTED_VALUE"""),37973)</f>
        <v>37973</v>
      </c>
    </row>
    <row r="4295" spans="1:10" x14ac:dyDescent="0.25">
      <c r="A4295" s="1" t="str">
        <f ca="1">IFERROR(__xludf.DUMMYFUNCTION("""COMPUTED_VALUE"""),"HZSE")</f>
        <v>HZSE</v>
      </c>
      <c r="B4295" s="1" t="str">
        <f ca="1">IFERROR(__xludf.DUMMYFUNCTION("""COMPUTED_VALUE"""),"Zempléni Zoltán")</f>
        <v>Zempléni Zoltán</v>
      </c>
      <c r="C4295" s="1"/>
      <c r="D4295" s="1" t="str">
        <f ca="1">IFERROR(__xludf.DUMMYFUNCTION("""COMPUTED_VALUE"""),"Férfi")</f>
        <v>Férfi</v>
      </c>
      <c r="E4295" s="1"/>
      <c r="F4295" s="1">
        <f ca="1">IFERROR(__xludf.DUMMYFUNCTION("""COMPUTED_VALUE"""),1987)</f>
        <v>1987</v>
      </c>
      <c r="G4295" s="1">
        <f ca="1">IFERROR(__xludf.DUMMYFUNCTION("""COMPUTED_VALUE"""),1140)</f>
        <v>1140</v>
      </c>
      <c r="H4295" s="1" t="str">
        <f ca="1">IFERROR(__xludf.DUMMYFUNCTION("""COMPUTED_VALUE"""),"MTLSZ001140A02")</f>
        <v>MTLSZ001140A02</v>
      </c>
      <c r="I4295" s="2">
        <f ca="1">IFERROR(__xludf.DUMMYFUNCTION("""COMPUTED_VALUE"""),37606)</f>
        <v>37606</v>
      </c>
      <c r="J4295" s="2">
        <f ca="1">IFERROR(__xludf.DUMMYFUNCTION("""COMPUTED_VALUE"""),37970)</f>
        <v>37970</v>
      </c>
    </row>
    <row r="4296" spans="1:10" x14ac:dyDescent="0.25">
      <c r="A4296" s="1" t="str">
        <f ca="1">IFERROR(__xludf.DUMMYFUNCTION("""COMPUTED_VALUE"""),"Pedagógus Fáklya SE")</f>
        <v>Pedagógus Fáklya SE</v>
      </c>
      <c r="B4296" s="1" t="str">
        <f ca="1">IFERROR(__xludf.DUMMYFUNCTION("""COMPUTED_VALUE"""),"Avramut Emanuela")</f>
        <v>Avramut Emanuela</v>
      </c>
      <c r="C4296" s="1"/>
      <c r="D4296" s="1" t="str">
        <f ca="1">IFERROR(__xludf.DUMMYFUNCTION("""COMPUTED_VALUE"""),"Nő")</f>
        <v>Nő</v>
      </c>
      <c r="E4296" s="1"/>
      <c r="F4296" s="1">
        <f ca="1">IFERROR(__xludf.DUMMYFUNCTION("""COMPUTED_VALUE"""),1987)</f>
        <v>1987</v>
      </c>
      <c r="G4296" s="1">
        <f ca="1">IFERROR(__xludf.DUMMYFUNCTION("""COMPUTED_VALUE"""),1314)</f>
        <v>1314</v>
      </c>
      <c r="H4296" s="1" t="str">
        <f ca="1">IFERROR(__xludf.DUMMYFUNCTION("""COMPUTED_VALUE"""),"MTLSZ001314A02")</f>
        <v>MTLSZ001314A02</v>
      </c>
      <c r="I4296" s="2">
        <f ca="1">IFERROR(__xludf.DUMMYFUNCTION("""COMPUTED_VALUE"""),37592)</f>
        <v>37592</v>
      </c>
      <c r="J4296" s="2">
        <f ca="1">IFERROR(__xludf.DUMMYFUNCTION("""COMPUTED_VALUE"""),37956)</f>
        <v>37956</v>
      </c>
    </row>
    <row r="4297" spans="1:10" x14ac:dyDescent="0.25">
      <c r="A4297" s="1" t="str">
        <f ca="1">IFERROR(__xludf.DUMMYFUNCTION("""COMPUTED_VALUE"""),"Pedagógus Fáklya SE")</f>
        <v>Pedagógus Fáklya SE</v>
      </c>
      <c r="B4297" s="1" t="str">
        <f ca="1">IFERROR(__xludf.DUMMYFUNCTION("""COMPUTED_VALUE"""),"Banu Nicolae-Cristian")</f>
        <v>Banu Nicolae-Cristian</v>
      </c>
      <c r="C4297" s="1"/>
      <c r="D4297" s="1" t="str">
        <f ca="1">IFERROR(__xludf.DUMMYFUNCTION("""COMPUTED_VALUE"""),"Férfi")</f>
        <v>Férfi</v>
      </c>
      <c r="E4297" s="1"/>
      <c r="F4297" s="1">
        <f ca="1">IFERROR(__xludf.DUMMYFUNCTION("""COMPUTED_VALUE"""),1982)</f>
        <v>1982</v>
      </c>
      <c r="G4297" s="1">
        <f ca="1">IFERROR(__xludf.DUMMYFUNCTION("""COMPUTED_VALUE"""),1315)</f>
        <v>1315</v>
      </c>
      <c r="H4297" s="1" t="str">
        <f ca="1">IFERROR(__xludf.DUMMYFUNCTION("""COMPUTED_VALUE"""),"MTLSZ001315A02")</f>
        <v>MTLSZ001315A02</v>
      </c>
      <c r="I4297" s="2">
        <f ca="1">IFERROR(__xludf.DUMMYFUNCTION("""COMPUTED_VALUE"""),37592)</f>
        <v>37592</v>
      </c>
      <c r="J4297" s="2">
        <f ca="1">IFERROR(__xludf.DUMMYFUNCTION("""COMPUTED_VALUE"""),37956)</f>
        <v>37956</v>
      </c>
    </row>
    <row r="4298" spans="1:10" x14ac:dyDescent="0.25">
      <c r="A4298" s="1" t="str">
        <f ca="1">IFERROR(__xludf.DUMMYFUNCTION("""COMPUTED_VALUE"""),"Pedagógus Fáklya SE")</f>
        <v>Pedagógus Fáklya SE</v>
      </c>
      <c r="B4298" s="1" t="str">
        <f ca="1">IFERROR(__xludf.DUMMYFUNCTION("""COMPUTED_VALUE"""),"Gheju Eleonora")</f>
        <v>Gheju Eleonora</v>
      </c>
      <c r="C4298" s="1"/>
      <c r="D4298" s="1" t="str">
        <f ca="1">IFERROR(__xludf.DUMMYFUNCTION("""COMPUTED_VALUE"""),"Nő")</f>
        <v>Nő</v>
      </c>
      <c r="E4298" s="1"/>
      <c r="F4298" s="1">
        <f ca="1">IFERROR(__xludf.DUMMYFUNCTION("""COMPUTED_VALUE"""),1981)</f>
        <v>1981</v>
      </c>
      <c r="G4298" s="1">
        <f ca="1">IFERROR(__xludf.DUMMYFUNCTION("""COMPUTED_VALUE"""),1317)</f>
        <v>1317</v>
      </c>
      <c r="H4298" s="1" t="str">
        <f ca="1">IFERROR(__xludf.DUMMYFUNCTION("""COMPUTED_VALUE"""),"MTLSZ001317A02")</f>
        <v>MTLSZ001317A02</v>
      </c>
      <c r="I4298" s="2">
        <f ca="1">IFERROR(__xludf.DUMMYFUNCTION("""COMPUTED_VALUE"""),37592)</f>
        <v>37592</v>
      </c>
      <c r="J4298" s="2">
        <f ca="1">IFERROR(__xludf.DUMMYFUNCTION("""COMPUTED_VALUE"""),37956)</f>
        <v>37956</v>
      </c>
    </row>
    <row r="4299" spans="1:10" x14ac:dyDescent="0.25">
      <c r="A4299" s="1" t="str">
        <f ca="1">IFERROR(__xludf.DUMMYFUNCTION("""COMPUTED_VALUE"""),"Pedagógus Fáklya SE")</f>
        <v>Pedagógus Fáklya SE</v>
      </c>
      <c r="B4299" s="1" t="str">
        <f ca="1">IFERROR(__xludf.DUMMYFUNCTION("""COMPUTED_VALUE"""),"Horak Cristina-Andrea")</f>
        <v>Horak Cristina-Andrea</v>
      </c>
      <c r="C4299" s="1"/>
      <c r="D4299" s="1" t="str">
        <f ca="1">IFERROR(__xludf.DUMMYFUNCTION("""COMPUTED_VALUE"""),"Nő")</f>
        <v>Nő</v>
      </c>
      <c r="E4299" s="1"/>
      <c r="F4299" s="1">
        <f ca="1">IFERROR(__xludf.DUMMYFUNCTION("""COMPUTED_VALUE"""),1983)</f>
        <v>1983</v>
      </c>
      <c r="G4299" s="1">
        <f ca="1">IFERROR(__xludf.DUMMYFUNCTION("""COMPUTED_VALUE"""),1318)</f>
        <v>1318</v>
      </c>
      <c r="H4299" s="1" t="str">
        <f ca="1">IFERROR(__xludf.DUMMYFUNCTION("""COMPUTED_VALUE"""),"MTLSZ001318A02")</f>
        <v>MTLSZ001318A02</v>
      </c>
      <c r="I4299" s="2">
        <f ca="1">IFERROR(__xludf.DUMMYFUNCTION("""COMPUTED_VALUE"""),37592)</f>
        <v>37592</v>
      </c>
      <c r="J4299" s="2">
        <f ca="1">IFERROR(__xludf.DUMMYFUNCTION("""COMPUTED_VALUE"""),37956)</f>
        <v>37956</v>
      </c>
    </row>
    <row r="4300" spans="1:10" x14ac:dyDescent="0.25">
      <c r="A4300" s="1" t="str">
        <f ca="1">IFERROR(__xludf.DUMMYFUNCTION("""COMPUTED_VALUE"""),"Pedagógus Fáklya SE")</f>
        <v>Pedagógus Fáklya SE</v>
      </c>
      <c r="B4300" s="1" t="str">
        <f ca="1">IFERROR(__xludf.DUMMYFUNCTION("""COMPUTED_VALUE"""),"Ivan Ionel-Daniel")</f>
        <v>Ivan Ionel-Daniel</v>
      </c>
      <c r="C4300" s="1"/>
      <c r="D4300" s="1" t="str">
        <f ca="1">IFERROR(__xludf.DUMMYFUNCTION("""COMPUTED_VALUE"""),"Férfi")</f>
        <v>Férfi</v>
      </c>
      <c r="E4300" s="1"/>
      <c r="F4300" s="1">
        <f ca="1">IFERROR(__xludf.DUMMYFUNCTION("""COMPUTED_VALUE"""),1982)</f>
        <v>1982</v>
      </c>
      <c r="G4300" s="1">
        <f ca="1">IFERROR(__xludf.DUMMYFUNCTION("""COMPUTED_VALUE"""),1319)</f>
        <v>1319</v>
      </c>
      <c r="H4300" s="1" t="str">
        <f ca="1">IFERROR(__xludf.DUMMYFUNCTION("""COMPUTED_VALUE"""),"MTLSZ001319A02")</f>
        <v>MTLSZ001319A02</v>
      </c>
      <c r="I4300" s="2">
        <f ca="1">IFERROR(__xludf.DUMMYFUNCTION("""COMPUTED_VALUE"""),37592)</f>
        <v>37592</v>
      </c>
      <c r="J4300" s="2">
        <f ca="1">IFERROR(__xludf.DUMMYFUNCTION("""COMPUTED_VALUE"""),37956)</f>
        <v>37956</v>
      </c>
    </row>
    <row r="4301" spans="1:10" x14ac:dyDescent="0.25">
      <c r="A4301" s="1" t="str">
        <f ca="1">IFERROR(__xludf.DUMMYFUNCTION("""COMPUTED_VALUE"""),"Kaposvári Főiskolai SK")</f>
        <v>Kaposvári Főiskolai SK</v>
      </c>
      <c r="B4301" s="1" t="str">
        <f ca="1">IFERROR(__xludf.DUMMYFUNCTION("""COMPUTED_VALUE"""),"Tóth Virág")</f>
        <v>Tóth Virág</v>
      </c>
      <c r="C4301" s="1"/>
      <c r="D4301" s="1" t="str">
        <f ca="1">IFERROR(__xludf.DUMMYFUNCTION("""COMPUTED_VALUE"""),"Nő")</f>
        <v>Nő</v>
      </c>
      <c r="E4301" s="1"/>
      <c r="F4301" s="1">
        <f ca="1">IFERROR(__xludf.DUMMYFUNCTION("""COMPUTED_VALUE"""),1979)</f>
        <v>1979</v>
      </c>
      <c r="G4301" s="1">
        <f ca="1">IFERROR(__xludf.DUMMYFUNCTION("""COMPUTED_VALUE"""),1050)</f>
        <v>1050</v>
      </c>
      <c r="H4301" s="1" t="str">
        <f ca="1">IFERROR(__xludf.DUMMYFUNCTION("""COMPUTED_VALUE"""),"MTLSZ001050A02")</f>
        <v>MTLSZ001050A02</v>
      </c>
      <c r="I4301" s="2">
        <f ca="1">IFERROR(__xludf.DUMMYFUNCTION("""COMPUTED_VALUE"""),37585)</f>
        <v>37585</v>
      </c>
      <c r="J4301" s="2">
        <f ca="1">IFERROR(__xludf.DUMMYFUNCTION("""COMPUTED_VALUE"""),37949)</f>
        <v>37949</v>
      </c>
    </row>
    <row r="4302" spans="1:10" x14ac:dyDescent="0.25">
      <c r="A4302" s="1" t="str">
        <f ca="1">IFERROR(__xludf.DUMMYFUNCTION("""COMPUTED_VALUE"""),"Universitas SC")</f>
        <v>Universitas SC</v>
      </c>
      <c r="B4302" s="1" t="str">
        <f ca="1">IFERROR(__xludf.DUMMYFUNCTION("""COMPUTED_VALUE"""),"Szabó Zita")</f>
        <v>Szabó Zita</v>
      </c>
      <c r="C4302" s="1"/>
      <c r="D4302" s="1" t="str">
        <f ca="1">IFERROR(__xludf.DUMMYFUNCTION("""COMPUTED_VALUE"""),"Nő")</f>
        <v>Nő</v>
      </c>
      <c r="E4302" s="1"/>
      <c r="F4302" s="1">
        <f ca="1">IFERROR(__xludf.DUMMYFUNCTION("""COMPUTED_VALUE"""),1984)</f>
        <v>1984</v>
      </c>
      <c r="G4302" s="1">
        <f ca="1">IFERROR(__xludf.DUMMYFUNCTION("""COMPUTED_VALUE"""),906)</f>
        <v>906</v>
      </c>
      <c r="H4302" s="1" t="str">
        <f ca="1">IFERROR(__xludf.DUMMYFUNCTION("""COMPUTED_VALUE"""),"MTLSZ000906A02")</f>
        <v>MTLSZ000906A02</v>
      </c>
      <c r="I4302" s="2">
        <f ca="1">IFERROR(__xludf.DUMMYFUNCTION("""COMPUTED_VALUE"""),37585)</f>
        <v>37585</v>
      </c>
      <c r="J4302" s="2">
        <f ca="1">IFERROR(__xludf.DUMMYFUNCTION("""COMPUTED_VALUE"""),37949)</f>
        <v>37949</v>
      </c>
    </row>
    <row r="4303" spans="1:10" x14ac:dyDescent="0.25">
      <c r="A4303" s="1" t="str">
        <f ca="1">IFERROR(__xludf.DUMMYFUNCTION("""COMPUTED_VALUE"""),"MAFC")</f>
        <v>MAFC</v>
      </c>
      <c r="B4303" s="1" t="str">
        <f ca="1">IFERROR(__xludf.DUMMYFUNCTION("""COMPUTED_VALUE"""),"Reményi Beatrix")</f>
        <v>Reményi Beatrix</v>
      </c>
      <c r="C4303" s="1"/>
      <c r="D4303" s="1" t="str">
        <f ca="1">IFERROR(__xludf.DUMMYFUNCTION("""COMPUTED_VALUE"""),"Nő")</f>
        <v>Nő</v>
      </c>
      <c r="E4303" s="1"/>
      <c r="F4303" s="1">
        <f ca="1">IFERROR(__xludf.DUMMYFUNCTION("""COMPUTED_VALUE"""),1976)</f>
        <v>1976</v>
      </c>
      <c r="G4303" s="1">
        <f ca="1">IFERROR(__xludf.DUMMYFUNCTION("""COMPUTED_VALUE"""),803)</f>
        <v>803</v>
      </c>
      <c r="H4303" s="1" t="str">
        <f ca="1">IFERROR(__xludf.DUMMYFUNCTION("""COMPUTED_VALUE"""),"MTLSZ000803A02")</f>
        <v>MTLSZ000803A02</v>
      </c>
      <c r="I4303" s="2">
        <f ca="1">IFERROR(__xludf.DUMMYFUNCTION("""COMPUTED_VALUE"""),37582)</f>
        <v>37582</v>
      </c>
      <c r="J4303" s="2">
        <f ca="1">IFERROR(__xludf.DUMMYFUNCTION("""COMPUTED_VALUE"""),37946)</f>
        <v>37946</v>
      </c>
    </row>
    <row r="4304" spans="1:10" x14ac:dyDescent="0.25">
      <c r="A4304" s="1" t="str">
        <f ca="1">IFERROR(__xludf.DUMMYFUNCTION("""COMPUTED_VALUE"""),"MAFC")</f>
        <v>MAFC</v>
      </c>
      <c r="B4304" s="1" t="str">
        <f ca="1">IFERROR(__xludf.DUMMYFUNCTION("""COMPUTED_VALUE"""),"Gergelyffy Áron")</f>
        <v>Gergelyffy Áron</v>
      </c>
      <c r="C4304" s="1"/>
      <c r="D4304" s="1" t="str">
        <f ca="1">IFERROR(__xludf.DUMMYFUNCTION("""COMPUTED_VALUE"""),"Férfi")</f>
        <v>Férfi</v>
      </c>
      <c r="E4304" s="1"/>
      <c r="F4304" s="1">
        <f ca="1">IFERROR(__xludf.DUMMYFUNCTION("""COMPUTED_VALUE"""),1989)</f>
        <v>1989</v>
      </c>
      <c r="G4304" s="1">
        <f ca="1">IFERROR(__xludf.DUMMYFUNCTION("""COMPUTED_VALUE"""),1309)</f>
        <v>1309</v>
      </c>
      <c r="H4304" s="1" t="str">
        <f ca="1">IFERROR(__xludf.DUMMYFUNCTION("""COMPUTED_VALUE"""),"MTLSZ001309A02")</f>
        <v>MTLSZ001309A02</v>
      </c>
      <c r="I4304" s="2">
        <f ca="1">IFERROR(__xludf.DUMMYFUNCTION("""COMPUTED_VALUE"""),37580)</f>
        <v>37580</v>
      </c>
      <c r="J4304" s="2">
        <f ca="1">IFERROR(__xludf.DUMMYFUNCTION("""COMPUTED_VALUE"""),37944)</f>
        <v>37944</v>
      </c>
    </row>
    <row r="4305" spans="1:10" x14ac:dyDescent="0.25">
      <c r="A4305" s="1" t="str">
        <f ca="1">IFERROR(__xludf.DUMMYFUNCTION("""COMPUTED_VALUE"""),"HZSE")</f>
        <v>HZSE</v>
      </c>
      <c r="B4305" s="1" t="str">
        <f ca="1">IFERROR(__xludf.DUMMYFUNCTION("""COMPUTED_VALUE"""),"Rakonczai László")</f>
        <v>Rakonczai László</v>
      </c>
      <c r="C4305" s="1"/>
      <c r="D4305" s="1" t="str">
        <f ca="1">IFERROR(__xludf.DUMMYFUNCTION("""COMPUTED_VALUE"""),"Férfi")</f>
        <v>Férfi</v>
      </c>
      <c r="E4305" s="1"/>
      <c r="F4305" s="1">
        <f ca="1">IFERROR(__xludf.DUMMYFUNCTION("""COMPUTED_VALUE"""),1954)</f>
        <v>1954</v>
      </c>
      <c r="G4305" s="1">
        <f ca="1">IFERROR(__xludf.DUMMYFUNCTION("""COMPUTED_VALUE"""),799)</f>
        <v>799</v>
      </c>
      <c r="H4305" s="1" t="str">
        <f ca="1">IFERROR(__xludf.DUMMYFUNCTION("""COMPUTED_VALUE"""),"MTLSZ000799A02")</f>
        <v>MTLSZ000799A02</v>
      </c>
      <c r="I4305" s="2">
        <f ca="1">IFERROR(__xludf.DUMMYFUNCTION("""COMPUTED_VALUE"""),37574)</f>
        <v>37574</v>
      </c>
      <c r="J4305" s="2">
        <f ca="1">IFERROR(__xludf.DUMMYFUNCTION("""COMPUTED_VALUE"""),37938)</f>
        <v>37938</v>
      </c>
    </row>
    <row r="4306" spans="1:10" x14ac:dyDescent="0.25">
      <c r="A4306" s="1" t="str">
        <f ca="1">IFERROR(__xludf.DUMMYFUNCTION("""COMPUTED_VALUE"""),"#N/A")</f>
        <v>#N/A</v>
      </c>
      <c r="B4306" s="1" t="str">
        <f ca="1">IFERROR(__xludf.DUMMYFUNCTION("""COMPUTED_VALUE"""),"Láng Zsolt")</f>
        <v>Láng Zsolt</v>
      </c>
      <c r="C4306" s="1"/>
      <c r="D4306" s="1" t="str">
        <f ca="1">IFERROR(__xludf.DUMMYFUNCTION("""COMPUTED_VALUE"""),"Férfi")</f>
        <v>Férfi</v>
      </c>
      <c r="E4306" s="1"/>
      <c r="F4306" s="1">
        <f ca="1">IFERROR(__xludf.DUMMYFUNCTION("""COMPUTED_VALUE"""),1981)</f>
        <v>1981</v>
      </c>
      <c r="G4306" s="1">
        <f ca="1">IFERROR(__xludf.DUMMYFUNCTION("""COMPUTED_VALUE"""),571)</f>
        <v>571</v>
      </c>
      <c r="H4306" s="1" t="str">
        <f ca="1">IFERROR(__xludf.DUMMYFUNCTION("""COMPUTED_VALUE"""),"MTLSZ000571A02")</f>
        <v>MTLSZ000571A02</v>
      </c>
      <c r="I4306" s="2">
        <f ca="1">IFERROR(__xludf.DUMMYFUNCTION("""COMPUTED_VALUE"""),37571)</f>
        <v>37571</v>
      </c>
      <c r="J4306" s="2">
        <f ca="1">IFERROR(__xludf.DUMMYFUNCTION("""COMPUTED_VALUE"""),37935)</f>
        <v>37935</v>
      </c>
    </row>
    <row r="4307" spans="1:10" x14ac:dyDescent="0.25">
      <c r="A4307" s="1" t="str">
        <f ca="1">IFERROR(__xludf.DUMMYFUNCTION("""COMPUTED_VALUE"""),"Bagodi ISK")</f>
        <v>Bagodi ISK</v>
      </c>
      <c r="B4307" s="1" t="str">
        <f ca="1">IFERROR(__xludf.DUMMYFUNCTION("""COMPUTED_VALUE"""),"Bődi Szilveszter")</f>
        <v>Bődi Szilveszter</v>
      </c>
      <c r="C4307" s="1"/>
      <c r="D4307" s="1" t="str">
        <f ca="1">IFERROR(__xludf.DUMMYFUNCTION("""COMPUTED_VALUE"""),"Férfi")</f>
        <v>Férfi</v>
      </c>
      <c r="E4307" s="1"/>
      <c r="F4307" s="1">
        <f ca="1">IFERROR(__xludf.DUMMYFUNCTION("""COMPUTED_VALUE"""),1990)</f>
        <v>1990</v>
      </c>
      <c r="G4307" s="1">
        <f ca="1">IFERROR(__xludf.DUMMYFUNCTION("""COMPUTED_VALUE"""),121)</f>
        <v>121</v>
      </c>
      <c r="H4307" s="1" t="str">
        <f ca="1">IFERROR(__xludf.DUMMYFUNCTION("""COMPUTED_VALUE"""),"MTLSZ000121A02")</f>
        <v>MTLSZ000121A02</v>
      </c>
      <c r="I4307" s="2">
        <f ca="1">IFERROR(__xludf.DUMMYFUNCTION("""COMPUTED_VALUE"""),37567)</f>
        <v>37567</v>
      </c>
      <c r="J4307" s="2">
        <f ca="1">IFERROR(__xludf.DUMMYFUNCTION("""COMPUTED_VALUE"""),37931)</f>
        <v>37931</v>
      </c>
    </row>
    <row r="4308" spans="1:10" x14ac:dyDescent="0.25">
      <c r="A4308" s="1" t="str">
        <f ca="1">IFERROR(__xludf.DUMMYFUNCTION("""COMPUTED_VALUE"""),"Bagodi ISK")</f>
        <v>Bagodi ISK</v>
      </c>
      <c r="B4308" s="1" t="str">
        <f ca="1">IFERROR(__xludf.DUMMYFUNCTION("""COMPUTED_VALUE"""),"Takács János")</f>
        <v>Takács János</v>
      </c>
      <c r="C4308" s="1"/>
      <c r="D4308" s="1" t="str">
        <f ca="1">IFERROR(__xludf.DUMMYFUNCTION("""COMPUTED_VALUE"""),"Férfi")</f>
        <v>Férfi</v>
      </c>
      <c r="E4308" s="1"/>
      <c r="F4308" s="1">
        <f ca="1">IFERROR(__xludf.DUMMYFUNCTION("""COMPUTED_VALUE"""),1989)</f>
        <v>1989</v>
      </c>
      <c r="G4308" s="1">
        <f ca="1">IFERROR(__xludf.DUMMYFUNCTION("""COMPUTED_VALUE"""),993)</f>
        <v>993</v>
      </c>
      <c r="H4308" s="1" t="str">
        <f ca="1">IFERROR(__xludf.DUMMYFUNCTION("""COMPUTED_VALUE"""),"MTLSZ000993A02")</f>
        <v>MTLSZ000993A02</v>
      </c>
      <c r="I4308" s="2">
        <f ca="1">IFERROR(__xludf.DUMMYFUNCTION("""COMPUTED_VALUE"""),37567)</f>
        <v>37567</v>
      </c>
      <c r="J4308" s="2">
        <f ca="1">IFERROR(__xludf.DUMMYFUNCTION("""COMPUTED_VALUE"""),37931)</f>
        <v>37931</v>
      </c>
    </row>
    <row r="4309" spans="1:10" x14ac:dyDescent="0.25">
      <c r="A4309" s="1" t="str">
        <f ca="1">IFERROR(__xludf.DUMMYFUNCTION("""COMPUTED_VALUE"""),"Alba-Toll SE")</f>
        <v>Alba-Toll SE</v>
      </c>
      <c r="B4309" s="1" t="str">
        <f ca="1">IFERROR(__xludf.DUMMYFUNCTION("""COMPUTED_VALUE"""),"Csiszár István")</f>
        <v>Csiszár István</v>
      </c>
      <c r="C4309" s="1"/>
      <c r="D4309" s="1" t="str">
        <f ca="1">IFERROR(__xludf.DUMMYFUNCTION("""COMPUTED_VALUE"""),"Férfi")</f>
        <v>Férfi</v>
      </c>
      <c r="E4309" s="1"/>
      <c r="F4309" s="1">
        <f ca="1">IFERROR(__xludf.DUMMYFUNCTION("""COMPUTED_VALUE"""),1991)</f>
        <v>1991</v>
      </c>
      <c r="G4309" s="1">
        <f ca="1">IFERROR(__xludf.DUMMYFUNCTION("""COMPUTED_VALUE"""),1291)</f>
        <v>1291</v>
      </c>
      <c r="H4309" s="1" t="str">
        <f ca="1">IFERROR(__xludf.DUMMYFUNCTION("""COMPUTED_VALUE"""),"MTLSZ001291A02")</f>
        <v>MTLSZ001291A02</v>
      </c>
      <c r="I4309" s="2">
        <f ca="1">IFERROR(__xludf.DUMMYFUNCTION("""COMPUTED_VALUE"""),37566)</f>
        <v>37566</v>
      </c>
      <c r="J4309" s="2">
        <f ca="1">IFERROR(__xludf.DUMMYFUNCTION("""COMPUTED_VALUE"""),37930)</f>
        <v>37930</v>
      </c>
    </row>
    <row r="4310" spans="1:10" x14ac:dyDescent="0.25">
      <c r="A4310" s="1" t="str">
        <f ca="1">IFERROR(__xludf.DUMMYFUNCTION("""COMPUTED_VALUE"""),"MAFC")</f>
        <v>MAFC</v>
      </c>
      <c r="B4310" s="1" t="str">
        <f ca="1">IFERROR(__xludf.DUMMYFUNCTION("""COMPUTED_VALUE"""),"Sólyom Szilvia")</f>
        <v>Sólyom Szilvia</v>
      </c>
      <c r="C4310" s="1"/>
      <c r="D4310" s="1" t="str">
        <f ca="1">IFERROR(__xludf.DUMMYFUNCTION("""COMPUTED_VALUE"""),"Nő")</f>
        <v>Nő</v>
      </c>
      <c r="E4310" s="1"/>
      <c r="F4310" s="1">
        <f ca="1">IFERROR(__xludf.DUMMYFUNCTION("""COMPUTED_VALUE"""),1980)</f>
        <v>1980</v>
      </c>
      <c r="G4310" s="1">
        <f ca="1">IFERROR(__xludf.DUMMYFUNCTION("""COMPUTED_VALUE"""),1289)</f>
        <v>1289</v>
      </c>
      <c r="H4310" s="1" t="str">
        <f ca="1">IFERROR(__xludf.DUMMYFUNCTION("""COMPUTED_VALUE"""),"MTLSZ001289A02")</f>
        <v>MTLSZ001289A02</v>
      </c>
      <c r="I4310" s="2">
        <f ca="1">IFERROR(__xludf.DUMMYFUNCTION("""COMPUTED_VALUE"""),37546)</f>
        <v>37546</v>
      </c>
      <c r="J4310" s="2">
        <f ca="1">IFERROR(__xludf.DUMMYFUNCTION("""COMPUTED_VALUE"""),37910)</f>
        <v>37910</v>
      </c>
    </row>
    <row r="4311" spans="1:10" x14ac:dyDescent="0.25">
      <c r="A4311" s="1" t="str">
        <f ca="1">IFERROR(__xludf.DUMMYFUNCTION("""COMPUTED_VALUE"""),"MAFC")</f>
        <v>MAFC</v>
      </c>
      <c r="B4311" s="1" t="str">
        <f ca="1">IFERROR(__xludf.DUMMYFUNCTION("""COMPUTED_VALUE"""),"Vidóczy Judit")</f>
        <v>Vidóczy Judit</v>
      </c>
      <c r="C4311" s="1"/>
      <c r="D4311" s="1" t="str">
        <f ca="1">IFERROR(__xludf.DUMMYFUNCTION("""COMPUTED_VALUE"""),"Nő")</f>
        <v>Nő</v>
      </c>
      <c r="E4311" s="1"/>
      <c r="F4311" s="1">
        <f ca="1">IFERROR(__xludf.DUMMYFUNCTION("""COMPUTED_VALUE"""),1981)</f>
        <v>1981</v>
      </c>
      <c r="G4311" s="1">
        <f ca="1">IFERROR(__xludf.DUMMYFUNCTION("""COMPUTED_VALUE"""),1267)</f>
        <v>1267</v>
      </c>
      <c r="H4311" s="1" t="str">
        <f ca="1">IFERROR(__xludf.DUMMYFUNCTION("""COMPUTED_VALUE"""),"MTLSZ001267A02")</f>
        <v>MTLSZ001267A02</v>
      </c>
      <c r="I4311" s="2">
        <f ca="1">IFERROR(__xludf.DUMMYFUNCTION("""COMPUTED_VALUE"""),37546)</f>
        <v>37546</v>
      </c>
      <c r="J4311" s="2">
        <f ca="1">IFERROR(__xludf.DUMMYFUNCTION("""COMPUTED_VALUE"""),37910)</f>
        <v>37910</v>
      </c>
    </row>
    <row r="4312" spans="1:10" x14ac:dyDescent="0.25">
      <c r="A4312" s="1" t="str">
        <f ca="1">IFERROR(__xludf.DUMMYFUNCTION("""COMPUTED_VALUE"""),"Klébi DSE")</f>
        <v>Klébi DSE</v>
      </c>
      <c r="B4312" s="1" t="str">
        <f ca="1">IFERROR(__xludf.DUMMYFUNCTION("""COMPUTED_VALUE"""),"Incze Zsombor")</f>
        <v>Incze Zsombor</v>
      </c>
      <c r="C4312" s="1"/>
      <c r="D4312" s="1" t="str">
        <f ca="1">IFERROR(__xludf.DUMMYFUNCTION("""COMPUTED_VALUE"""),"Férfi")</f>
        <v>Férfi</v>
      </c>
      <c r="E4312" s="1"/>
      <c r="F4312" s="1">
        <f ca="1">IFERROR(__xludf.DUMMYFUNCTION("""COMPUTED_VALUE"""),1990)</f>
        <v>1990</v>
      </c>
      <c r="G4312" s="1">
        <f ca="1">IFERROR(__xludf.DUMMYFUNCTION("""COMPUTED_VALUE"""),1274)</f>
        <v>1274</v>
      </c>
      <c r="H4312" s="1" t="str">
        <f ca="1">IFERROR(__xludf.DUMMYFUNCTION("""COMPUTED_VALUE"""),"MTLSZ001274A02")</f>
        <v>MTLSZ001274A02</v>
      </c>
      <c r="I4312" s="2">
        <f ca="1">IFERROR(__xludf.DUMMYFUNCTION("""COMPUTED_VALUE"""),37545)</f>
        <v>37545</v>
      </c>
      <c r="J4312" s="2">
        <f ca="1">IFERROR(__xludf.DUMMYFUNCTION("""COMPUTED_VALUE"""),37909)</f>
        <v>37909</v>
      </c>
    </row>
    <row r="4313" spans="1:10" x14ac:dyDescent="0.25">
      <c r="A4313" s="1" t="str">
        <f ca="1">IFERROR(__xludf.DUMMYFUNCTION("""COMPUTED_VALUE"""),"Klébi DSE")</f>
        <v>Klébi DSE</v>
      </c>
      <c r="B4313" s="1" t="str">
        <f ca="1">IFERROR(__xludf.DUMMYFUNCTION("""COMPUTED_VALUE"""),"Titkos Benjámin")</f>
        <v>Titkos Benjámin</v>
      </c>
      <c r="C4313" s="1"/>
      <c r="D4313" s="1" t="str">
        <f ca="1">IFERROR(__xludf.DUMMYFUNCTION("""COMPUTED_VALUE"""),"Férfi")</f>
        <v>Férfi</v>
      </c>
      <c r="E4313" s="1"/>
      <c r="F4313" s="1">
        <f ca="1">IFERROR(__xludf.DUMMYFUNCTION("""COMPUTED_VALUE"""),1990)</f>
        <v>1990</v>
      </c>
      <c r="G4313" s="1">
        <f ca="1">IFERROR(__xludf.DUMMYFUNCTION("""COMPUTED_VALUE"""),1276)</f>
        <v>1276</v>
      </c>
      <c r="H4313" s="1" t="str">
        <f ca="1">IFERROR(__xludf.DUMMYFUNCTION("""COMPUTED_VALUE"""),"MTLSZ001276A02")</f>
        <v>MTLSZ001276A02</v>
      </c>
      <c r="I4313" s="2">
        <f ca="1">IFERROR(__xludf.DUMMYFUNCTION("""COMPUTED_VALUE"""),37545)</f>
        <v>37545</v>
      </c>
      <c r="J4313" s="2">
        <f ca="1">IFERROR(__xludf.DUMMYFUNCTION("""COMPUTED_VALUE"""),37909)</f>
        <v>37909</v>
      </c>
    </row>
    <row r="4314" spans="1:10" x14ac:dyDescent="0.25">
      <c r="A4314" s="1" t="str">
        <f ca="1">IFERROR(__xludf.DUMMYFUNCTION("""COMPUTED_VALUE"""),"MAFC")</f>
        <v>MAFC</v>
      </c>
      <c r="B4314" s="1" t="str">
        <f ca="1">IFERROR(__xludf.DUMMYFUNCTION("""COMPUTED_VALUE"""),"Nagyunyomi-Sényi Anna")</f>
        <v>Nagyunyomi-Sényi Anna</v>
      </c>
      <c r="C4314" s="1"/>
      <c r="D4314" s="1" t="str">
        <f ca="1">IFERROR(__xludf.DUMMYFUNCTION("""COMPUTED_VALUE"""),"Nő")</f>
        <v>Nő</v>
      </c>
      <c r="E4314" s="1"/>
      <c r="F4314" s="1">
        <f ca="1">IFERROR(__xludf.DUMMYFUNCTION("""COMPUTED_VALUE"""),1981)</f>
        <v>1981</v>
      </c>
      <c r="G4314" s="1">
        <f ca="1">IFERROR(__xludf.DUMMYFUNCTION("""COMPUTED_VALUE"""),1257)</f>
        <v>1257</v>
      </c>
      <c r="H4314" s="1" t="str">
        <f ca="1">IFERROR(__xludf.DUMMYFUNCTION("""COMPUTED_VALUE"""),"MTLSZ001257A02")</f>
        <v>MTLSZ001257A02</v>
      </c>
      <c r="I4314" s="2">
        <f ca="1">IFERROR(__xludf.DUMMYFUNCTION("""COMPUTED_VALUE"""),37545)</f>
        <v>37545</v>
      </c>
      <c r="J4314" s="2">
        <f ca="1">IFERROR(__xludf.DUMMYFUNCTION("""COMPUTED_VALUE"""),37909)</f>
        <v>37909</v>
      </c>
    </row>
    <row r="4315" spans="1:10" x14ac:dyDescent="0.25">
      <c r="A4315" s="1" t="str">
        <f ca="1">IFERROR(__xludf.DUMMYFUNCTION("""COMPUTED_VALUE"""),"Pedagógus Fáklya SE")</f>
        <v>Pedagógus Fáklya SE</v>
      </c>
      <c r="B4315" s="1" t="str">
        <f ca="1">IFERROR(__xludf.DUMMYFUNCTION("""COMPUTED_VALUE"""),"Straut Ciprian")</f>
        <v>Straut Ciprian</v>
      </c>
      <c r="C4315" s="1"/>
      <c r="D4315" s="1" t="str">
        <f ca="1">IFERROR(__xludf.DUMMYFUNCTION("""COMPUTED_VALUE"""),"Férfi")</f>
        <v>Férfi</v>
      </c>
      <c r="E4315" s="1"/>
      <c r="F4315" s="1">
        <f ca="1">IFERROR(__xludf.DUMMYFUNCTION("""COMPUTED_VALUE"""),1982)</f>
        <v>1982</v>
      </c>
      <c r="G4315" s="1">
        <f ca="1">IFERROR(__xludf.DUMMYFUNCTION("""COMPUTED_VALUE"""),872)</f>
        <v>872</v>
      </c>
      <c r="H4315" s="1" t="str">
        <f ca="1">IFERROR(__xludf.DUMMYFUNCTION("""COMPUTED_VALUE"""),"MTLSZ000872A02")</f>
        <v>MTLSZ000872A02</v>
      </c>
      <c r="I4315" s="2">
        <f ca="1">IFERROR(__xludf.DUMMYFUNCTION("""COMPUTED_VALUE"""),37544)</f>
        <v>37544</v>
      </c>
      <c r="J4315" s="2">
        <f ca="1">IFERROR(__xludf.DUMMYFUNCTION("""COMPUTED_VALUE"""),37908)</f>
        <v>37908</v>
      </c>
    </row>
    <row r="4316" spans="1:10" x14ac:dyDescent="0.25">
      <c r="A4316" s="1" t="str">
        <f ca="1">IFERROR(__xludf.DUMMYFUNCTION("""COMPUTED_VALUE"""),"ZKSE")</f>
        <v>ZKSE</v>
      </c>
      <c r="B4316" s="1" t="str">
        <f ca="1">IFERROR(__xludf.DUMMYFUNCTION("""COMPUTED_VALUE"""),"Koncsek Gergő")</f>
        <v>Koncsek Gergő</v>
      </c>
      <c r="C4316" s="1"/>
      <c r="D4316" s="1" t="str">
        <f ca="1">IFERROR(__xludf.DUMMYFUNCTION("""COMPUTED_VALUE"""),"Férfi")</f>
        <v>Férfi</v>
      </c>
      <c r="E4316" s="1"/>
      <c r="F4316" s="1">
        <f ca="1">IFERROR(__xludf.DUMMYFUNCTION("""COMPUTED_VALUE"""),1986)</f>
        <v>1986</v>
      </c>
      <c r="G4316" s="1">
        <f ca="1">IFERROR(__xludf.DUMMYFUNCTION("""COMPUTED_VALUE"""),513)</f>
        <v>513</v>
      </c>
      <c r="H4316" s="1" t="str">
        <f ca="1">IFERROR(__xludf.DUMMYFUNCTION("""COMPUTED_VALUE"""),"MTLSZ000513A02")</f>
        <v>MTLSZ000513A02</v>
      </c>
      <c r="I4316" s="2">
        <f ca="1">IFERROR(__xludf.DUMMYFUNCTION("""COMPUTED_VALUE"""),37539)</f>
        <v>37539</v>
      </c>
      <c r="J4316" s="2">
        <f ca="1">IFERROR(__xludf.DUMMYFUNCTION("""COMPUTED_VALUE"""),37903)</f>
        <v>37903</v>
      </c>
    </row>
    <row r="4317" spans="1:10" x14ac:dyDescent="0.25">
      <c r="A4317" s="1" t="str">
        <f ca="1">IFERROR(__xludf.DUMMYFUNCTION("""COMPUTED_VALUE"""),"Rosco SE")</f>
        <v>Rosco SE</v>
      </c>
      <c r="B4317" s="1" t="str">
        <f ca="1">IFERROR(__xludf.DUMMYFUNCTION("""COMPUTED_VALUE"""),"Sulyok Anikó")</f>
        <v>Sulyok Anikó</v>
      </c>
      <c r="C4317" s="1"/>
      <c r="D4317" s="1" t="str">
        <f ca="1">IFERROR(__xludf.DUMMYFUNCTION("""COMPUTED_VALUE"""),"Nő")</f>
        <v>Nő</v>
      </c>
      <c r="E4317" s="1"/>
      <c r="F4317" s="1">
        <f ca="1">IFERROR(__xludf.DUMMYFUNCTION("""COMPUTED_VALUE"""),1976)</f>
        <v>1976</v>
      </c>
      <c r="G4317" s="1">
        <f ca="1">IFERROR(__xludf.DUMMYFUNCTION("""COMPUTED_VALUE"""),874)</f>
        <v>874</v>
      </c>
      <c r="H4317" s="1" t="str">
        <f ca="1">IFERROR(__xludf.DUMMYFUNCTION("""COMPUTED_VALUE"""),"MTLSZ000874A02")</f>
        <v>MTLSZ000874A02</v>
      </c>
      <c r="I4317" s="2">
        <f ca="1">IFERROR(__xludf.DUMMYFUNCTION("""COMPUTED_VALUE"""),37537)</f>
        <v>37537</v>
      </c>
      <c r="J4317" s="2">
        <f ca="1">IFERROR(__xludf.DUMMYFUNCTION("""COMPUTED_VALUE"""),37901)</f>
        <v>37901</v>
      </c>
    </row>
    <row r="4318" spans="1:10" x14ac:dyDescent="0.25">
      <c r="A4318" s="1" t="str">
        <f ca="1">IFERROR(__xludf.DUMMYFUNCTION("""COMPUTED_VALUE"""),"Pedagógus Fáklya SE")</f>
        <v>Pedagógus Fáklya SE</v>
      </c>
      <c r="B4318" s="1" t="str">
        <f ca="1">IFERROR(__xludf.DUMMYFUNCTION("""COMPUTED_VALUE"""),"Papp Gábor")</f>
        <v>Papp Gábor</v>
      </c>
      <c r="C4318" s="1"/>
      <c r="D4318" s="1" t="str">
        <f ca="1">IFERROR(__xludf.DUMMYFUNCTION("""COMPUTED_VALUE"""),"Férfi")</f>
        <v>Férfi</v>
      </c>
      <c r="E4318" s="1"/>
      <c r="F4318" s="1">
        <f ca="1">IFERROR(__xludf.DUMMYFUNCTION("""COMPUTED_VALUE"""),1972)</f>
        <v>1972</v>
      </c>
      <c r="G4318" s="1">
        <f ca="1">IFERROR(__xludf.DUMMYFUNCTION("""COMPUTED_VALUE"""),750)</f>
        <v>750</v>
      </c>
      <c r="H4318" s="1" t="str">
        <f ca="1">IFERROR(__xludf.DUMMYFUNCTION("""COMPUTED_VALUE"""),"MTLSZ000750A02")</f>
        <v>MTLSZ000750A02</v>
      </c>
      <c r="I4318" s="2">
        <f ca="1">IFERROR(__xludf.DUMMYFUNCTION("""COMPUTED_VALUE"""),37524)</f>
        <v>37524</v>
      </c>
      <c r="J4318" s="2">
        <f ca="1">IFERROR(__xludf.DUMMYFUNCTION("""COMPUTED_VALUE"""),37888)</f>
        <v>37888</v>
      </c>
    </row>
    <row r="4319" spans="1:10" x14ac:dyDescent="0.25">
      <c r="A4319" s="1" t="str">
        <f ca="1">IFERROR(__xludf.DUMMYFUNCTION("""COMPUTED_VALUE"""),"Pedagógus Fáklya SE")</f>
        <v>Pedagógus Fáklya SE</v>
      </c>
      <c r="B4319" s="1" t="str">
        <f ca="1">IFERROR(__xludf.DUMMYFUNCTION("""COMPUTED_VALUE"""),"Papp Krisztina")</f>
        <v>Papp Krisztina</v>
      </c>
      <c r="C4319" s="1"/>
      <c r="D4319" s="1" t="str">
        <f ca="1">IFERROR(__xludf.DUMMYFUNCTION("""COMPUTED_VALUE"""),"Nő")</f>
        <v>Nő</v>
      </c>
      <c r="E4319" s="1"/>
      <c r="F4319" s="1">
        <f ca="1">IFERROR(__xludf.DUMMYFUNCTION("""COMPUTED_VALUE"""),1977)</f>
        <v>1977</v>
      </c>
      <c r="G4319" s="1">
        <f ca="1">IFERROR(__xludf.DUMMYFUNCTION("""COMPUTED_VALUE"""),753)</f>
        <v>753</v>
      </c>
      <c r="H4319" s="1" t="str">
        <f ca="1">IFERROR(__xludf.DUMMYFUNCTION("""COMPUTED_VALUE"""),"MTLSZ000753A02")</f>
        <v>MTLSZ000753A02</v>
      </c>
      <c r="I4319" s="2">
        <f ca="1">IFERROR(__xludf.DUMMYFUNCTION("""COMPUTED_VALUE"""),37524)</f>
        <v>37524</v>
      </c>
      <c r="J4319" s="2">
        <f ca="1">IFERROR(__xludf.DUMMYFUNCTION("""COMPUTED_VALUE"""),37888)</f>
        <v>37888</v>
      </c>
    </row>
    <row r="4320" spans="1:10" x14ac:dyDescent="0.25">
      <c r="A4320" s="1" t="str">
        <f ca="1">IFERROR(__xludf.DUMMYFUNCTION("""COMPUTED_VALUE"""),"Pedagógus Fáklya SE")</f>
        <v>Pedagógus Fáklya SE</v>
      </c>
      <c r="B4320" s="1" t="str">
        <f ca="1">IFERROR(__xludf.DUMMYFUNCTION("""COMPUTED_VALUE"""),"Varga Imre")</f>
        <v>Varga Imre</v>
      </c>
      <c r="C4320" s="1"/>
      <c r="D4320" s="1" t="str">
        <f ca="1">IFERROR(__xludf.DUMMYFUNCTION("""COMPUTED_VALUE"""),"Férfi")</f>
        <v>Férfi</v>
      </c>
      <c r="E4320" s="1"/>
      <c r="F4320" s="1">
        <f ca="1">IFERROR(__xludf.DUMMYFUNCTION("""COMPUTED_VALUE"""),1953)</f>
        <v>1953</v>
      </c>
      <c r="G4320" s="1">
        <f ca="1">IFERROR(__xludf.DUMMYFUNCTION("""COMPUTED_VALUE"""),1090)</f>
        <v>1090</v>
      </c>
      <c r="H4320" s="1" t="str">
        <f ca="1">IFERROR(__xludf.DUMMYFUNCTION("""COMPUTED_VALUE"""),"MTLSZ001090A02")</f>
        <v>MTLSZ001090A02</v>
      </c>
      <c r="I4320" s="2">
        <f ca="1">IFERROR(__xludf.DUMMYFUNCTION("""COMPUTED_VALUE"""),37524)</f>
        <v>37524</v>
      </c>
      <c r="J4320" s="2">
        <f ca="1">IFERROR(__xludf.DUMMYFUNCTION("""COMPUTED_VALUE"""),37888)</f>
        <v>37888</v>
      </c>
    </row>
    <row r="4321" spans="1:10" x14ac:dyDescent="0.25">
      <c r="A4321" s="1" t="str">
        <f ca="1">IFERROR(__xludf.DUMMYFUNCTION("""COMPUTED_VALUE"""),"Klébi DSE")</f>
        <v>Klébi DSE</v>
      </c>
      <c r="B4321" s="1" t="str">
        <f ca="1">IFERROR(__xludf.DUMMYFUNCTION("""COMPUTED_VALUE"""),"Jager Diana")</f>
        <v>Jager Diana</v>
      </c>
      <c r="C4321" s="1"/>
      <c r="D4321" s="1" t="str">
        <f ca="1">IFERROR(__xludf.DUMMYFUNCTION("""COMPUTED_VALUE"""),"Nő")</f>
        <v>Nő</v>
      </c>
      <c r="E4321" s="1"/>
      <c r="F4321" s="1">
        <f ca="1">IFERROR(__xludf.DUMMYFUNCTION("""COMPUTED_VALUE"""),1985)</f>
        <v>1985</v>
      </c>
      <c r="G4321" s="1">
        <f ca="1">IFERROR(__xludf.DUMMYFUNCTION("""COMPUTED_VALUE"""),403)</f>
        <v>403</v>
      </c>
      <c r="H4321" s="1" t="str">
        <f ca="1">IFERROR(__xludf.DUMMYFUNCTION("""COMPUTED_VALUE"""),"MTLSZ000403A02")</f>
        <v>MTLSZ000403A02</v>
      </c>
      <c r="I4321" s="2">
        <f ca="1">IFERROR(__xludf.DUMMYFUNCTION("""COMPUTED_VALUE"""),37519)</f>
        <v>37519</v>
      </c>
      <c r="J4321" s="2">
        <f ca="1">IFERROR(__xludf.DUMMYFUNCTION("""COMPUTED_VALUE"""),37883)</f>
        <v>37883</v>
      </c>
    </row>
    <row r="4322" spans="1:10" x14ac:dyDescent="0.25">
      <c r="A4322" s="1" t="str">
        <f ca="1">IFERROR(__xludf.DUMMYFUNCTION("""COMPUTED_VALUE"""),"Klébi DSE")</f>
        <v>Klébi DSE</v>
      </c>
      <c r="B4322" s="1" t="str">
        <f ca="1">IFERROR(__xludf.DUMMYFUNCTION("""COMPUTED_VALUE"""),"Szabó Richárd")</f>
        <v>Szabó Richárd</v>
      </c>
      <c r="C4322" s="1"/>
      <c r="D4322" s="1" t="str">
        <f ca="1">IFERROR(__xludf.DUMMYFUNCTION("""COMPUTED_VALUE"""),"Férfi")</f>
        <v>Férfi</v>
      </c>
      <c r="E4322" s="1"/>
      <c r="F4322" s="1">
        <f ca="1">IFERROR(__xludf.DUMMYFUNCTION("""COMPUTED_VALUE"""),1988)</f>
        <v>1988</v>
      </c>
      <c r="G4322" s="1">
        <f ca="1">IFERROR(__xludf.DUMMYFUNCTION("""COMPUTED_VALUE"""),900)</f>
        <v>900</v>
      </c>
      <c r="H4322" s="1" t="str">
        <f ca="1">IFERROR(__xludf.DUMMYFUNCTION("""COMPUTED_VALUE"""),"MTLSZ000900A02")</f>
        <v>MTLSZ000900A02</v>
      </c>
      <c r="I4322" s="2">
        <f ca="1">IFERROR(__xludf.DUMMYFUNCTION("""COMPUTED_VALUE"""),37519)</f>
        <v>37519</v>
      </c>
      <c r="J4322" s="2">
        <f ca="1">IFERROR(__xludf.DUMMYFUNCTION("""COMPUTED_VALUE"""),37883)</f>
        <v>37883</v>
      </c>
    </row>
    <row r="4323" spans="1:10" x14ac:dyDescent="0.25">
      <c r="A4323" s="1" t="str">
        <f ca="1">IFERROR(__xludf.DUMMYFUNCTION("""COMPUTED_VALUE"""),"Universitas SC")</f>
        <v>Universitas SC</v>
      </c>
      <c r="B4323" s="1" t="str">
        <f ca="1">IFERROR(__xludf.DUMMYFUNCTION("""COMPUTED_VALUE"""),"Csurgó Krisztina")</f>
        <v>Csurgó Krisztina</v>
      </c>
      <c r="C4323" s="1"/>
      <c r="D4323" s="1" t="str">
        <f ca="1">IFERROR(__xludf.DUMMYFUNCTION("""COMPUTED_VALUE"""),"Nő")</f>
        <v>Nő</v>
      </c>
      <c r="E4323" s="1"/>
      <c r="F4323" s="1">
        <f ca="1">IFERROR(__xludf.DUMMYFUNCTION("""COMPUTED_VALUE"""),1977)</f>
        <v>1977</v>
      </c>
      <c r="G4323" s="1">
        <f ca="1">IFERROR(__xludf.DUMMYFUNCTION("""COMPUTED_VALUE"""),157)</f>
        <v>157</v>
      </c>
      <c r="H4323" s="1" t="str">
        <f ca="1">IFERROR(__xludf.DUMMYFUNCTION("""COMPUTED_VALUE"""),"MTLSZ000157A02")</f>
        <v>MTLSZ000157A02</v>
      </c>
      <c r="I4323" s="2">
        <f ca="1">IFERROR(__xludf.DUMMYFUNCTION("""COMPUTED_VALUE"""),37519)</f>
        <v>37519</v>
      </c>
      <c r="J4323" s="2">
        <f ca="1">IFERROR(__xludf.DUMMYFUNCTION("""COMPUTED_VALUE"""),37883)</f>
        <v>37883</v>
      </c>
    </row>
    <row r="4324" spans="1:10" x14ac:dyDescent="0.25">
      <c r="A4324" s="1" t="str">
        <f ca="1">IFERROR(__xludf.DUMMYFUNCTION("""COMPUTED_VALUE"""),"DSC-SI")</f>
        <v>DSC-SI</v>
      </c>
      <c r="B4324" s="1" t="str">
        <f ca="1">IFERROR(__xludf.DUMMYFUNCTION("""COMPUTED_VALUE"""),"Batár Zita")</f>
        <v>Batár Zita</v>
      </c>
      <c r="C4324" s="1"/>
      <c r="D4324" s="1" t="str">
        <f ca="1">IFERROR(__xludf.DUMMYFUNCTION("""COMPUTED_VALUE"""),"Nő")</f>
        <v>Nő</v>
      </c>
      <c r="E4324" s="1"/>
      <c r="F4324" s="1">
        <f ca="1">IFERROR(__xludf.DUMMYFUNCTION("""COMPUTED_VALUE"""),1980)</f>
        <v>1980</v>
      </c>
      <c r="G4324" s="1">
        <f ca="1">IFERROR(__xludf.DUMMYFUNCTION("""COMPUTED_VALUE"""),64)</f>
        <v>64</v>
      </c>
      <c r="H4324" s="1" t="str">
        <f ca="1">IFERROR(__xludf.DUMMYFUNCTION("""COMPUTED_VALUE"""),"MTLSZ000064A02")</f>
        <v>MTLSZ000064A02</v>
      </c>
      <c r="I4324" s="2">
        <f ca="1">IFERROR(__xludf.DUMMYFUNCTION("""COMPUTED_VALUE"""),37512)</f>
        <v>37512</v>
      </c>
      <c r="J4324" s="2">
        <f ca="1">IFERROR(__xludf.DUMMYFUNCTION("""COMPUTED_VALUE"""),37876)</f>
        <v>37876</v>
      </c>
    </row>
    <row r="4325" spans="1:10" x14ac:dyDescent="0.25">
      <c r="A4325" s="1" t="str">
        <f ca="1">IFERROR(__xludf.DUMMYFUNCTION("""COMPUTED_VALUE"""),"DSC-SI")</f>
        <v>DSC-SI</v>
      </c>
      <c r="B4325" s="1" t="str">
        <f ca="1">IFERROR(__xludf.DUMMYFUNCTION("""COMPUTED_VALUE"""),"Carullla Schultz Mario")</f>
        <v>Carullla Schultz Mario</v>
      </c>
      <c r="C4325" s="1"/>
      <c r="D4325" s="1" t="str">
        <f ca="1">IFERROR(__xludf.DUMMYFUNCTION("""COMPUTED_VALUE"""),"Férfi")</f>
        <v>Férfi</v>
      </c>
      <c r="E4325" s="1"/>
      <c r="F4325" s="1">
        <f ca="1">IFERROR(__xludf.DUMMYFUNCTION("""COMPUTED_VALUE"""),1971)</f>
        <v>1971</v>
      </c>
      <c r="G4325" s="1">
        <f ca="1">IFERROR(__xludf.DUMMYFUNCTION("""COMPUTED_VALUE"""),124)</f>
        <v>124</v>
      </c>
      <c r="H4325" s="1" t="str">
        <f ca="1">IFERROR(__xludf.DUMMYFUNCTION("""COMPUTED_VALUE"""),"MTLSZ000124A02")</f>
        <v>MTLSZ000124A02</v>
      </c>
      <c r="I4325" s="2">
        <f ca="1">IFERROR(__xludf.DUMMYFUNCTION("""COMPUTED_VALUE"""),37512)</f>
        <v>37512</v>
      </c>
      <c r="J4325" s="2">
        <f ca="1">IFERROR(__xludf.DUMMYFUNCTION("""COMPUTED_VALUE"""),37876)</f>
        <v>37876</v>
      </c>
    </row>
    <row r="4326" spans="1:10" x14ac:dyDescent="0.25">
      <c r="A4326" s="1" t="str">
        <f ca="1">IFERROR(__xludf.DUMMYFUNCTION("""COMPUTED_VALUE"""),"DSC-SI")</f>
        <v>DSC-SI</v>
      </c>
      <c r="B4326" s="1" t="str">
        <f ca="1">IFERROR(__xludf.DUMMYFUNCTION("""COMPUTED_VALUE"""),"Eszenyi Noémi")</f>
        <v>Eszenyi Noémi</v>
      </c>
      <c r="C4326" s="1"/>
      <c r="D4326" s="1" t="str">
        <f ca="1">IFERROR(__xludf.DUMMYFUNCTION("""COMPUTED_VALUE"""),"Nő")</f>
        <v>Nő</v>
      </c>
      <c r="E4326" s="1"/>
      <c r="F4326" s="1">
        <f ca="1">IFERROR(__xludf.DUMMYFUNCTION("""COMPUTED_VALUE"""),1992)</f>
        <v>1992</v>
      </c>
      <c r="G4326" s="1">
        <f ca="1">IFERROR(__xludf.DUMMYFUNCTION("""COMPUTED_VALUE"""),1224)</f>
        <v>1224</v>
      </c>
      <c r="H4326" s="1" t="str">
        <f ca="1">IFERROR(__xludf.DUMMYFUNCTION("""COMPUTED_VALUE"""),"MTLSZ001224A02")</f>
        <v>MTLSZ001224A02</v>
      </c>
      <c r="I4326" s="2">
        <f ca="1">IFERROR(__xludf.DUMMYFUNCTION("""COMPUTED_VALUE"""),37512)</f>
        <v>37512</v>
      </c>
      <c r="J4326" s="2">
        <f ca="1">IFERROR(__xludf.DUMMYFUNCTION("""COMPUTED_VALUE"""),37876)</f>
        <v>37876</v>
      </c>
    </row>
    <row r="4327" spans="1:10" x14ac:dyDescent="0.25">
      <c r="A4327" s="1" t="str">
        <f ca="1">IFERROR(__xludf.DUMMYFUNCTION("""COMPUTED_VALUE"""),"DSC-SI")</f>
        <v>DSC-SI</v>
      </c>
      <c r="B4327" s="1" t="str">
        <f ca="1">IFERROR(__xludf.DUMMYFUNCTION("""COMPUTED_VALUE"""),"Fucskó Dávid")</f>
        <v>Fucskó Dávid</v>
      </c>
      <c r="C4327" s="1"/>
      <c r="D4327" s="1" t="str">
        <f ca="1">IFERROR(__xludf.DUMMYFUNCTION("""COMPUTED_VALUE"""),"Férfi")</f>
        <v>Férfi</v>
      </c>
      <c r="E4327" s="1"/>
      <c r="F4327" s="1">
        <f ca="1">IFERROR(__xludf.DUMMYFUNCTION("""COMPUTED_VALUE"""),1990)</f>
        <v>1990</v>
      </c>
      <c r="G4327" s="1">
        <f ca="1">IFERROR(__xludf.DUMMYFUNCTION("""COMPUTED_VALUE"""),264)</f>
        <v>264</v>
      </c>
      <c r="H4327" s="1" t="str">
        <f ca="1">IFERROR(__xludf.DUMMYFUNCTION("""COMPUTED_VALUE"""),"MTLSZ000264A02")</f>
        <v>MTLSZ000264A02</v>
      </c>
      <c r="I4327" s="2">
        <f ca="1">IFERROR(__xludf.DUMMYFUNCTION("""COMPUTED_VALUE"""),37512)</f>
        <v>37512</v>
      </c>
      <c r="J4327" s="2">
        <f ca="1">IFERROR(__xludf.DUMMYFUNCTION("""COMPUTED_VALUE"""),37876)</f>
        <v>37876</v>
      </c>
    </row>
    <row r="4328" spans="1:10" x14ac:dyDescent="0.25">
      <c r="A4328" s="1" t="str">
        <f ca="1">IFERROR(__xludf.DUMMYFUNCTION("""COMPUTED_VALUE"""),"DSC-SI")</f>
        <v>DSC-SI</v>
      </c>
      <c r="B4328" s="1" t="str">
        <f ca="1">IFERROR(__xludf.DUMMYFUNCTION("""COMPUTED_VALUE"""),"Kádár Zoltán")</f>
        <v>Kádár Zoltán</v>
      </c>
      <c r="C4328" s="1"/>
      <c r="D4328" s="1" t="str">
        <f ca="1">IFERROR(__xludf.DUMMYFUNCTION("""COMPUTED_VALUE"""),"Férfi")</f>
        <v>Férfi</v>
      </c>
      <c r="E4328" s="1"/>
      <c r="F4328" s="1">
        <f ca="1">IFERROR(__xludf.DUMMYFUNCTION("""COMPUTED_VALUE"""),1992)</f>
        <v>1992</v>
      </c>
      <c r="G4328" s="1">
        <f ca="1">IFERROR(__xludf.DUMMYFUNCTION("""COMPUTED_VALUE"""),1225)</f>
        <v>1225</v>
      </c>
      <c r="H4328" s="1" t="str">
        <f ca="1">IFERROR(__xludf.DUMMYFUNCTION("""COMPUTED_VALUE"""),"MTLSZ001225A02")</f>
        <v>MTLSZ001225A02</v>
      </c>
      <c r="I4328" s="2">
        <f ca="1">IFERROR(__xludf.DUMMYFUNCTION("""COMPUTED_VALUE"""),37512)</f>
        <v>37512</v>
      </c>
      <c r="J4328" s="2">
        <f ca="1">IFERROR(__xludf.DUMMYFUNCTION("""COMPUTED_VALUE"""),37876)</f>
        <v>37876</v>
      </c>
    </row>
    <row r="4329" spans="1:10" x14ac:dyDescent="0.25">
      <c r="A4329" s="1" t="str">
        <f ca="1">IFERROR(__xludf.DUMMYFUNCTION("""COMPUTED_VALUE"""),"DSC-SI")</f>
        <v>DSC-SI</v>
      </c>
      <c r="B4329" s="1" t="str">
        <f ca="1">IFERROR(__xludf.DUMMYFUNCTION("""COMPUTED_VALUE"""),"Kék Máté")</f>
        <v>Kék Máté</v>
      </c>
      <c r="C4329" s="1"/>
      <c r="D4329" s="1" t="str">
        <f ca="1">IFERROR(__xludf.DUMMYFUNCTION("""COMPUTED_VALUE"""),"Férfi")</f>
        <v>Férfi</v>
      </c>
      <c r="E4329" s="1"/>
      <c r="F4329" s="1">
        <f ca="1">IFERROR(__xludf.DUMMYFUNCTION("""COMPUTED_VALUE"""),1989)</f>
        <v>1989</v>
      </c>
      <c r="G4329" s="1">
        <f ca="1">IFERROR(__xludf.DUMMYFUNCTION("""COMPUTED_VALUE"""),448)</f>
        <v>448</v>
      </c>
      <c r="H4329" s="1" t="str">
        <f ca="1">IFERROR(__xludf.DUMMYFUNCTION("""COMPUTED_VALUE"""),"MTLSZ000448A02")</f>
        <v>MTLSZ000448A02</v>
      </c>
      <c r="I4329" s="2">
        <f ca="1">IFERROR(__xludf.DUMMYFUNCTION("""COMPUTED_VALUE"""),37512)</f>
        <v>37512</v>
      </c>
      <c r="J4329" s="2">
        <f ca="1">IFERROR(__xludf.DUMMYFUNCTION("""COMPUTED_VALUE"""),37876)</f>
        <v>37876</v>
      </c>
    </row>
    <row r="4330" spans="1:10" x14ac:dyDescent="0.25">
      <c r="A4330" s="1" t="str">
        <f ca="1">IFERROR(__xludf.DUMMYFUNCTION("""COMPUTED_VALUE"""),"DSC-SI")</f>
        <v>DSC-SI</v>
      </c>
      <c r="B4330" s="1" t="str">
        <f ca="1">IFERROR(__xludf.DUMMYFUNCTION("""COMPUTED_VALUE"""),"Tóth Teofil")</f>
        <v>Tóth Teofil</v>
      </c>
      <c r="C4330" s="1"/>
      <c r="D4330" s="1" t="str">
        <f ca="1">IFERROR(__xludf.DUMMYFUNCTION("""COMPUTED_VALUE"""),"Férfi")</f>
        <v>Férfi</v>
      </c>
      <c r="E4330" s="1"/>
      <c r="F4330" s="1">
        <f ca="1">IFERROR(__xludf.DUMMYFUNCTION("""COMPUTED_VALUE"""),1981)</f>
        <v>1981</v>
      </c>
      <c r="G4330" s="1">
        <f ca="1">IFERROR(__xludf.DUMMYFUNCTION("""COMPUTED_VALUE"""),1048)</f>
        <v>1048</v>
      </c>
      <c r="H4330" s="1" t="str">
        <f ca="1">IFERROR(__xludf.DUMMYFUNCTION("""COMPUTED_VALUE"""),"MTLSZ001048A02")</f>
        <v>MTLSZ001048A02</v>
      </c>
      <c r="I4330" s="2">
        <f ca="1">IFERROR(__xludf.DUMMYFUNCTION("""COMPUTED_VALUE"""),37512)</f>
        <v>37512</v>
      </c>
      <c r="J4330" s="2">
        <f ca="1">IFERROR(__xludf.DUMMYFUNCTION("""COMPUTED_VALUE"""),37876)</f>
        <v>37876</v>
      </c>
    </row>
    <row r="4331" spans="1:10" x14ac:dyDescent="0.25">
      <c r="A4331" s="1" t="str">
        <f ca="1">IFERROR(__xludf.DUMMYFUNCTION("""COMPUTED_VALUE"""),"Reac SE")</f>
        <v>Reac SE</v>
      </c>
      <c r="B4331" s="1" t="str">
        <f ca="1">IFERROR(__xludf.DUMMYFUNCTION("""COMPUTED_VALUE"""),"Szigetvári Balázs")</f>
        <v>Szigetvári Balázs</v>
      </c>
      <c r="C4331" s="1"/>
      <c r="D4331" s="1" t="str">
        <f ca="1">IFERROR(__xludf.DUMMYFUNCTION("""COMPUTED_VALUE"""),"Férfi")</f>
        <v>Férfi</v>
      </c>
      <c r="E4331" s="1"/>
      <c r="F4331" s="1">
        <f ca="1">IFERROR(__xludf.DUMMYFUNCTION("""COMPUTED_VALUE"""),1985)</f>
        <v>1985</v>
      </c>
      <c r="G4331" s="1">
        <f ca="1">IFERROR(__xludf.DUMMYFUNCTION("""COMPUTED_VALUE"""),949)</f>
        <v>949</v>
      </c>
      <c r="H4331" s="1" t="str">
        <f ca="1">IFERROR(__xludf.DUMMYFUNCTION("""COMPUTED_VALUE"""),"MTLSZ000949A02")</f>
        <v>MTLSZ000949A02</v>
      </c>
      <c r="I4331" s="2">
        <f ca="1">IFERROR(__xludf.DUMMYFUNCTION("""COMPUTED_VALUE"""),37512)</f>
        <v>37512</v>
      </c>
      <c r="J4331" s="2">
        <f ca="1">IFERROR(__xludf.DUMMYFUNCTION("""COMPUTED_VALUE"""),37876)</f>
        <v>37876</v>
      </c>
    </row>
    <row r="4332" spans="1:10" x14ac:dyDescent="0.25">
      <c r="A4332" s="1" t="str">
        <f ca="1">IFERROR(__xludf.DUMMYFUNCTION("""COMPUTED_VALUE"""),"DSK")</f>
        <v>DSK</v>
      </c>
      <c r="B4332" s="1" t="str">
        <f ca="1">IFERROR(__xludf.DUMMYFUNCTION("""COMPUTED_VALUE"""),"Kovács István Gábor")</f>
        <v>Kovács István Gábor</v>
      </c>
      <c r="C4332" s="1"/>
      <c r="D4332" s="1" t="str">
        <f ca="1">IFERROR(__xludf.DUMMYFUNCTION("""COMPUTED_VALUE"""),"Férfi")</f>
        <v>Férfi</v>
      </c>
      <c r="E4332" s="1"/>
      <c r="F4332" s="1">
        <f ca="1">IFERROR(__xludf.DUMMYFUNCTION("""COMPUTED_VALUE"""),1989)</f>
        <v>1989</v>
      </c>
      <c r="G4332" s="1">
        <f ca="1">IFERROR(__xludf.DUMMYFUNCTION("""COMPUTED_VALUE"""),533)</f>
        <v>533</v>
      </c>
      <c r="H4332" s="1" t="str">
        <f ca="1">IFERROR(__xludf.DUMMYFUNCTION("""COMPUTED_VALUE"""),"MTLSZ000533A02")</f>
        <v>MTLSZ000533A02</v>
      </c>
      <c r="I4332" s="2">
        <f ca="1">IFERROR(__xludf.DUMMYFUNCTION("""COMPUTED_VALUE"""),37511)</f>
        <v>37511</v>
      </c>
      <c r="J4332" s="2">
        <f ca="1">IFERROR(__xludf.DUMMYFUNCTION("""COMPUTED_VALUE"""),37875)</f>
        <v>37875</v>
      </c>
    </row>
    <row r="4333" spans="1:10" x14ac:dyDescent="0.25">
      <c r="A4333" s="1" t="str">
        <f ca="1">IFERROR(__xludf.DUMMYFUNCTION("""COMPUTED_VALUE"""),"Kilián Iskola DSE")</f>
        <v>Kilián Iskola DSE</v>
      </c>
      <c r="B4333" s="1" t="str">
        <f ca="1">IFERROR(__xludf.DUMMYFUNCTION("""COMPUTED_VALUE"""),"Horváth Péter 1")</f>
        <v>Horváth Péter 1</v>
      </c>
      <c r="C4333" s="1"/>
      <c r="D4333" s="1" t="str">
        <f ca="1">IFERROR(__xludf.DUMMYFUNCTION("""COMPUTED_VALUE"""),"Férfi")</f>
        <v>Férfi</v>
      </c>
      <c r="E4333" s="1"/>
      <c r="F4333" s="1">
        <f ca="1">IFERROR(__xludf.DUMMYFUNCTION("""COMPUTED_VALUE"""),1980)</f>
        <v>1980</v>
      </c>
      <c r="G4333" s="1">
        <f ca="1">IFERROR(__xludf.DUMMYFUNCTION("""COMPUTED_VALUE"""),1211)</f>
        <v>1211</v>
      </c>
      <c r="H4333" s="1" t="str">
        <f ca="1">IFERROR(__xludf.DUMMYFUNCTION("""COMPUTED_VALUE"""),"MTLSZ001211A02")</f>
        <v>MTLSZ001211A02</v>
      </c>
      <c r="I4333" s="2">
        <f ca="1">IFERROR(__xludf.DUMMYFUNCTION("""COMPUTED_VALUE"""),37509)</f>
        <v>37509</v>
      </c>
      <c r="J4333" s="2">
        <f ca="1">IFERROR(__xludf.DUMMYFUNCTION("""COMPUTED_VALUE"""),37873)</f>
        <v>37873</v>
      </c>
    </row>
    <row r="4334" spans="1:10" x14ac:dyDescent="0.25">
      <c r="A4334" s="1" t="str">
        <f ca="1">IFERROR(__xludf.DUMMYFUNCTION("""COMPUTED_VALUE"""),"ZKSE")</f>
        <v>ZKSE</v>
      </c>
      <c r="B4334" s="1" t="str">
        <f ca="1">IFERROR(__xludf.DUMMYFUNCTION("""COMPUTED_VALUE"""),"Karkus Róbert")</f>
        <v>Karkus Róbert</v>
      </c>
      <c r="C4334" s="1"/>
      <c r="D4334" s="1" t="str">
        <f ca="1">IFERROR(__xludf.DUMMYFUNCTION("""COMPUTED_VALUE"""),"Férfi")</f>
        <v>Férfi</v>
      </c>
      <c r="E4334" s="1"/>
      <c r="F4334" s="1">
        <f ca="1">IFERROR(__xludf.DUMMYFUNCTION("""COMPUTED_VALUE"""),1991)</f>
        <v>1991</v>
      </c>
      <c r="G4334" s="1">
        <f ca="1">IFERROR(__xludf.DUMMYFUNCTION("""COMPUTED_VALUE"""),438)</f>
        <v>438</v>
      </c>
      <c r="H4334" s="1" t="str">
        <f ca="1">IFERROR(__xludf.DUMMYFUNCTION("""COMPUTED_VALUE"""),"MTLSZ000438A02")</f>
        <v>MTLSZ000438A02</v>
      </c>
      <c r="I4334" s="2">
        <f ca="1">IFERROR(__xludf.DUMMYFUNCTION("""COMPUTED_VALUE"""),37503)</f>
        <v>37503</v>
      </c>
      <c r="J4334" s="2">
        <f ca="1">IFERROR(__xludf.DUMMYFUNCTION("""COMPUTED_VALUE"""),37867)</f>
        <v>37867</v>
      </c>
    </row>
    <row r="4335" spans="1:10" x14ac:dyDescent="0.25">
      <c r="A4335" s="1" t="str">
        <f ca="1">IFERROR(__xludf.DUMMYFUNCTION("""COMPUTED_VALUE"""),"ZKSE")</f>
        <v>ZKSE</v>
      </c>
      <c r="B4335" s="1" t="str">
        <f ca="1">IFERROR(__xludf.DUMMYFUNCTION("""COMPUTED_VALUE"""),"Mészáros Zoltán")</f>
        <v>Mészáros Zoltán</v>
      </c>
      <c r="C4335" s="1"/>
      <c r="D4335" s="1" t="str">
        <f ca="1">IFERROR(__xludf.DUMMYFUNCTION("""COMPUTED_VALUE"""),"Férfi")</f>
        <v>Férfi</v>
      </c>
      <c r="E4335" s="1"/>
      <c r="F4335" s="1">
        <f ca="1">IFERROR(__xludf.DUMMYFUNCTION("""COMPUTED_VALUE"""),1988)</f>
        <v>1988</v>
      </c>
      <c r="G4335" s="1">
        <f ca="1">IFERROR(__xludf.DUMMYFUNCTION("""COMPUTED_VALUE"""),642)</f>
        <v>642</v>
      </c>
      <c r="H4335" s="1" t="str">
        <f ca="1">IFERROR(__xludf.DUMMYFUNCTION("""COMPUTED_VALUE"""),"MTLSZ000642A02")</f>
        <v>MTLSZ000642A02</v>
      </c>
      <c r="I4335" s="2">
        <f ca="1">IFERROR(__xludf.DUMMYFUNCTION("""COMPUTED_VALUE"""),37503)</f>
        <v>37503</v>
      </c>
      <c r="J4335" s="2">
        <f ca="1">IFERROR(__xludf.DUMMYFUNCTION("""COMPUTED_VALUE"""),37867)</f>
        <v>37867</v>
      </c>
    </row>
    <row r="4336" spans="1:10" x14ac:dyDescent="0.25">
      <c r="A4336" s="1" t="str">
        <f ca="1">IFERROR(__xludf.DUMMYFUNCTION("""COMPUTED_VALUE"""),"Ságvári DSE")</f>
        <v>Ságvári DSE</v>
      </c>
      <c r="B4336" s="1" t="str">
        <f ca="1">IFERROR(__xludf.DUMMYFUNCTION("""COMPUTED_VALUE"""),"Baranyi Dániel")</f>
        <v>Baranyi Dániel</v>
      </c>
      <c r="C4336" s="1"/>
      <c r="D4336" s="1" t="str">
        <f ca="1">IFERROR(__xludf.DUMMYFUNCTION("""COMPUTED_VALUE"""),"Férfi")</f>
        <v>Férfi</v>
      </c>
      <c r="E4336" s="1"/>
      <c r="F4336" s="1">
        <f ca="1">IFERROR(__xludf.DUMMYFUNCTION("""COMPUTED_VALUE"""),1990)</f>
        <v>1990</v>
      </c>
      <c r="G4336" s="1">
        <f ca="1">IFERROR(__xludf.DUMMYFUNCTION("""COMPUTED_VALUE"""),59)</f>
        <v>59</v>
      </c>
      <c r="H4336" s="1" t="str">
        <f ca="1">IFERROR(__xludf.DUMMYFUNCTION("""COMPUTED_VALUE"""),"MTLSZ000059A02")</f>
        <v>MTLSZ000059A02</v>
      </c>
      <c r="I4336" s="2">
        <f ca="1">IFERROR(__xludf.DUMMYFUNCTION("""COMPUTED_VALUE"""),37501)</f>
        <v>37501</v>
      </c>
      <c r="J4336" s="2">
        <f ca="1">IFERROR(__xludf.DUMMYFUNCTION("""COMPUTED_VALUE"""),37865)</f>
        <v>37865</v>
      </c>
    </row>
    <row r="4337" spans="1:10" x14ac:dyDescent="0.25">
      <c r="A4337" s="1" t="str">
        <f ca="1">IFERROR(__xludf.DUMMYFUNCTION("""COMPUTED_VALUE"""),"Ságvári DSE")</f>
        <v>Ságvári DSE</v>
      </c>
      <c r="B4337" s="1" t="str">
        <f ca="1">IFERROR(__xludf.DUMMYFUNCTION("""COMPUTED_VALUE"""),"Takács Gergő")</f>
        <v>Takács Gergő</v>
      </c>
      <c r="C4337" s="1"/>
      <c r="D4337" s="1" t="str">
        <f ca="1">IFERROR(__xludf.DUMMYFUNCTION("""COMPUTED_VALUE"""),"Férfi")</f>
        <v>Férfi</v>
      </c>
      <c r="E4337" s="1"/>
      <c r="F4337" s="1">
        <f ca="1">IFERROR(__xludf.DUMMYFUNCTION("""COMPUTED_VALUE"""),1989)</f>
        <v>1989</v>
      </c>
      <c r="G4337" s="1">
        <f ca="1">IFERROR(__xludf.DUMMYFUNCTION("""COMPUTED_VALUE"""),991)</f>
        <v>991</v>
      </c>
      <c r="H4337" s="1" t="str">
        <f ca="1">IFERROR(__xludf.DUMMYFUNCTION("""COMPUTED_VALUE"""),"MTLSZ000991A02")</f>
        <v>MTLSZ000991A02</v>
      </c>
      <c r="I4337" s="2">
        <f ca="1">IFERROR(__xludf.DUMMYFUNCTION("""COMPUTED_VALUE"""),37501)</f>
        <v>37501</v>
      </c>
      <c r="J4337" s="2">
        <f ca="1">IFERROR(__xludf.DUMMYFUNCTION("""COMPUTED_VALUE"""),37865)</f>
        <v>37865</v>
      </c>
    </row>
    <row r="4338" spans="1:10" x14ac:dyDescent="0.25">
      <c r="A4338" s="1" t="str">
        <f ca="1">IFERROR(__xludf.DUMMYFUNCTION("""COMPUTED_VALUE"""),"Érdi VSE")</f>
        <v>Érdi VSE</v>
      </c>
      <c r="B4338" s="1" t="str">
        <f ca="1">IFERROR(__xludf.DUMMYFUNCTION("""COMPUTED_VALUE"""),"Czövek Cintia")</f>
        <v>Czövek Cintia</v>
      </c>
      <c r="C4338" s="1"/>
      <c r="D4338" s="1" t="str">
        <f ca="1">IFERROR(__xludf.DUMMYFUNCTION("""COMPUTED_VALUE"""),"Nő")</f>
        <v>Nő</v>
      </c>
      <c r="E4338" s="1"/>
      <c r="F4338" s="1">
        <f ca="1">IFERROR(__xludf.DUMMYFUNCTION("""COMPUTED_VALUE"""),1992)</f>
        <v>1992</v>
      </c>
      <c r="G4338" s="1">
        <f ca="1">IFERROR(__xludf.DUMMYFUNCTION("""COMPUTED_VALUE"""),169)</f>
        <v>169</v>
      </c>
      <c r="H4338" s="1" t="str">
        <f ca="1">IFERROR(__xludf.DUMMYFUNCTION("""COMPUTED_VALUE"""),"MTLSZ000169A02")</f>
        <v>MTLSZ000169A02</v>
      </c>
      <c r="I4338" s="2">
        <f ca="1">IFERROR(__xludf.DUMMYFUNCTION("""COMPUTED_VALUE"""),37498)</f>
        <v>37498</v>
      </c>
      <c r="J4338" s="2">
        <f ca="1">IFERROR(__xludf.DUMMYFUNCTION("""COMPUTED_VALUE"""),37862)</f>
        <v>37862</v>
      </c>
    </row>
    <row r="4339" spans="1:10" x14ac:dyDescent="0.25">
      <c r="A4339" s="1" t="str">
        <f ca="1">IFERROR(__xludf.DUMMYFUNCTION("""COMPUTED_VALUE"""),"Érdi VSE")</f>
        <v>Érdi VSE</v>
      </c>
      <c r="B4339" s="1" t="str">
        <f ca="1">IFERROR(__xludf.DUMMYFUNCTION("""COMPUTED_VALUE"""),"Gazdag Gábor Ifj.")</f>
        <v>Gazdag Gábor Ifj.</v>
      </c>
      <c r="C4339" s="1"/>
      <c r="D4339" s="1" t="str">
        <f ca="1">IFERROR(__xludf.DUMMYFUNCTION("""COMPUTED_VALUE"""),"Férfi")</f>
        <v>Férfi</v>
      </c>
      <c r="E4339" s="1"/>
      <c r="F4339" s="1">
        <f ca="1">IFERROR(__xludf.DUMMYFUNCTION("""COMPUTED_VALUE"""),1988)</f>
        <v>1988</v>
      </c>
      <c r="G4339" s="1">
        <f ca="1">IFERROR(__xludf.DUMMYFUNCTION("""COMPUTED_VALUE"""),288)</f>
        <v>288</v>
      </c>
      <c r="H4339" s="1" t="str">
        <f ca="1">IFERROR(__xludf.DUMMYFUNCTION("""COMPUTED_VALUE"""),"MTLSZ000288A02")</f>
        <v>MTLSZ000288A02</v>
      </c>
      <c r="I4339" s="2">
        <f ca="1">IFERROR(__xludf.DUMMYFUNCTION("""COMPUTED_VALUE"""),37498)</f>
        <v>37498</v>
      </c>
      <c r="J4339" s="2">
        <f ca="1">IFERROR(__xludf.DUMMYFUNCTION("""COMPUTED_VALUE"""),37862)</f>
        <v>37862</v>
      </c>
    </row>
    <row r="4340" spans="1:10" x14ac:dyDescent="0.25">
      <c r="A4340" s="1" t="str">
        <f ca="1">IFERROR(__xludf.DUMMYFUNCTION("""COMPUTED_VALUE"""),"Segesi DE")</f>
        <v>Segesi DE</v>
      </c>
      <c r="B4340" s="1" t="str">
        <f ca="1">IFERROR(__xludf.DUMMYFUNCTION("""COMPUTED_VALUE"""),"Horváth Bálint")</f>
        <v>Horváth Bálint</v>
      </c>
      <c r="C4340" s="1"/>
      <c r="D4340" s="1" t="str">
        <f ca="1">IFERROR(__xludf.DUMMYFUNCTION("""COMPUTED_VALUE"""),"Férfi")</f>
        <v>Férfi</v>
      </c>
      <c r="E4340" s="1"/>
      <c r="F4340" s="1">
        <f ca="1">IFERROR(__xludf.DUMMYFUNCTION("""COMPUTED_VALUE"""),1991)</f>
        <v>1991</v>
      </c>
      <c r="G4340" s="1">
        <f ca="1">IFERROR(__xludf.DUMMYFUNCTION("""COMPUTED_VALUE"""),367)</f>
        <v>367</v>
      </c>
      <c r="H4340" s="1" t="str">
        <f ca="1">IFERROR(__xludf.DUMMYFUNCTION("""COMPUTED_VALUE"""),"MTLSZ000367A02")</f>
        <v>MTLSZ000367A02</v>
      </c>
      <c r="I4340" s="2">
        <f ca="1">IFERROR(__xludf.DUMMYFUNCTION("""COMPUTED_VALUE"""),37498)</f>
        <v>37498</v>
      </c>
      <c r="J4340" s="2">
        <f ca="1">IFERROR(__xludf.DUMMYFUNCTION("""COMPUTED_VALUE"""),37862)</f>
        <v>37862</v>
      </c>
    </row>
    <row r="4341" spans="1:10" x14ac:dyDescent="0.25">
      <c r="A4341" s="1" t="str">
        <f ca="1">IFERROR(__xludf.DUMMYFUNCTION("""COMPUTED_VALUE"""),"Segesi DE")</f>
        <v>Segesi DE</v>
      </c>
      <c r="B4341" s="1" t="str">
        <f ca="1">IFERROR(__xludf.DUMMYFUNCTION("""COMPUTED_VALUE"""),"Karácsony Krisztián")</f>
        <v>Karácsony Krisztián</v>
      </c>
      <c r="C4341" s="1"/>
      <c r="D4341" s="1" t="str">
        <f ca="1">IFERROR(__xludf.DUMMYFUNCTION("""COMPUTED_VALUE"""),"Férfi")</f>
        <v>Férfi</v>
      </c>
      <c r="E4341" s="1"/>
      <c r="F4341" s="1">
        <f ca="1">IFERROR(__xludf.DUMMYFUNCTION("""COMPUTED_VALUE"""),1990)</f>
        <v>1990</v>
      </c>
      <c r="G4341" s="1">
        <f ca="1">IFERROR(__xludf.DUMMYFUNCTION("""COMPUTED_VALUE"""),435)</f>
        <v>435</v>
      </c>
      <c r="H4341" s="1" t="str">
        <f ca="1">IFERROR(__xludf.DUMMYFUNCTION("""COMPUTED_VALUE"""),"MTLSZ000435A02")</f>
        <v>MTLSZ000435A02</v>
      </c>
      <c r="I4341" s="2">
        <f ca="1">IFERROR(__xludf.DUMMYFUNCTION("""COMPUTED_VALUE"""),37498)</f>
        <v>37498</v>
      </c>
      <c r="J4341" s="2">
        <f ca="1">IFERROR(__xludf.DUMMYFUNCTION("""COMPUTED_VALUE"""),37862)</f>
        <v>37862</v>
      </c>
    </row>
    <row r="4342" spans="1:10" x14ac:dyDescent="0.25">
      <c r="A4342" s="1" t="str">
        <f ca="1">IFERROR(__xludf.DUMMYFUNCTION("""COMPUTED_VALUE"""),"Gyöngyösoroszi SK")</f>
        <v>Gyöngyösoroszi SK</v>
      </c>
      <c r="B4342" s="1" t="str">
        <f ca="1">IFERROR(__xludf.DUMMYFUNCTION("""COMPUTED_VALUE"""),"Nyilas Gergő")</f>
        <v>Nyilas Gergő</v>
      </c>
      <c r="C4342" s="1"/>
      <c r="D4342" s="1" t="str">
        <f ca="1">IFERROR(__xludf.DUMMYFUNCTION("""COMPUTED_VALUE"""),"Férfi")</f>
        <v>Férfi</v>
      </c>
      <c r="E4342" s="1"/>
      <c r="F4342" s="1">
        <f ca="1">IFERROR(__xludf.DUMMYFUNCTION("""COMPUTED_VALUE"""),1985)</f>
        <v>1985</v>
      </c>
      <c r="G4342" s="1">
        <f ca="1">IFERROR(__xludf.DUMMYFUNCTION("""COMPUTED_VALUE"""),713)</f>
        <v>713</v>
      </c>
      <c r="H4342" s="1" t="str">
        <f ca="1">IFERROR(__xludf.DUMMYFUNCTION("""COMPUTED_VALUE"""),"MTLSZ000713A02")</f>
        <v>MTLSZ000713A02</v>
      </c>
      <c r="I4342" s="2">
        <f ca="1">IFERROR(__xludf.DUMMYFUNCTION("""COMPUTED_VALUE"""),37490)</f>
        <v>37490</v>
      </c>
      <c r="J4342" s="2">
        <f ca="1">IFERROR(__xludf.DUMMYFUNCTION("""COMPUTED_VALUE"""),37854)</f>
        <v>37854</v>
      </c>
    </row>
    <row r="4343" spans="1:10" x14ac:dyDescent="0.25">
      <c r="A4343" s="1" t="str">
        <f ca="1">IFERROR(__xludf.DUMMYFUNCTION("""COMPUTED_VALUE"""),"Gyöngyösoroszi SK")</f>
        <v>Gyöngyösoroszi SK</v>
      </c>
      <c r="B4343" s="1" t="str">
        <f ca="1">IFERROR(__xludf.DUMMYFUNCTION("""COMPUTED_VALUE"""),"Szőke Ivett")</f>
        <v>Szőke Ivett</v>
      </c>
      <c r="C4343" s="1"/>
      <c r="D4343" s="1" t="str">
        <f ca="1">IFERROR(__xludf.DUMMYFUNCTION("""COMPUTED_VALUE"""),"Nő")</f>
        <v>Nő</v>
      </c>
      <c r="E4343" s="1"/>
      <c r="F4343" s="1">
        <f ca="1">IFERROR(__xludf.DUMMYFUNCTION("""COMPUTED_VALUE"""),1989)</f>
        <v>1989</v>
      </c>
      <c r="G4343" s="1">
        <f ca="1">IFERROR(__xludf.DUMMYFUNCTION("""COMPUTED_VALUE"""),963)</f>
        <v>963</v>
      </c>
      <c r="H4343" s="1" t="str">
        <f ca="1">IFERROR(__xludf.DUMMYFUNCTION("""COMPUTED_VALUE"""),"MTLSZ000963A02")</f>
        <v>MTLSZ000963A02</v>
      </c>
      <c r="I4343" s="2">
        <f ca="1">IFERROR(__xludf.DUMMYFUNCTION("""COMPUTED_VALUE"""),37490)</f>
        <v>37490</v>
      </c>
      <c r="J4343" s="2">
        <f ca="1">IFERROR(__xludf.DUMMYFUNCTION("""COMPUTED_VALUE"""),37854)</f>
        <v>37854</v>
      </c>
    </row>
    <row r="4344" spans="1:10" x14ac:dyDescent="0.25">
      <c r="A4344" s="1" t="str">
        <f ca="1">IFERROR(__xludf.DUMMYFUNCTION("""COMPUTED_VALUE"""),"Gyöngyösoroszi SK")</f>
        <v>Gyöngyösoroszi SK</v>
      </c>
      <c r="B4344" s="1" t="str">
        <f ca="1">IFERROR(__xludf.DUMMYFUNCTION("""COMPUTED_VALUE"""),"Szőke Katalin")</f>
        <v>Szőke Katalin</v>
      </c>
      <c r="C4344" s="1"/>
      <c r="D4344" s="1" t="str">
        <f ca="1">IFERROR(__xludf.DUMMYFUNCTION("""COMPUTED_VALUE"""),"Nő")</f>
        <v>Nő</v>
      </c>
      <c r="E4344" s="1"/>
      <c r="F4344" s="1">
        <f ca="1">IFERROR(__xludf.DUMMYFUNCTION("""COMPUTED_VALUE"""),1983)</f>
        <v>1983</v>
      </c>
      <c r="G4344" s="1">
        <f ca="1">IFERROR(__xludf.DUMMYFUNCTION("""COMPUTED_VALUE"""),965)</f>
        <v>965</v>
      </c>
      <c r="H4344" s="1" t="str">
        <f ca="1">IFERROR(__xludf.DUMMYFUNCTION("""COMPUTED_VALUE"""),"MTLSZ000965A02")</f>
        <v>MTLSZ000965A02</v>
      </c>
      <c r="I4344" s="2">
        <f ca="1">IFERROR(__xludf.DUMMYFUNCTION("""COMPUTED_VALUE"""),37490)</f>
        <v>37490</v>
      </c>
      <c r="J4344" s="2">
        <f ca="1">IFERROR(__xludf.DUMMYFUNCTION("""COMPUTED_VALUE"""),37854)</f>
        <v>37854</v>
      </c>
    </row>
    <row r="4345" spans="1:10" x14ac:dyDescent="0.25">
      <c r="A4345" s="1" t="str">
        <f ca="1">IFERROR(__xludf.DUMMYFUNCTION("""COMPUTED_VALUE"""),"")</f>
        <v/>
      </c>
      <c r="B4345" s="1"/>
      <c r="C4345" s="1"/>
      <c r="D4345" s="1"/>
      <c r="E4345" s="1"/>
      <c r="F4345" s="1" t="str">
        <f ca="1">IFERROR(__xludf.DUMMYFUNCTION("""COMPUTED_VALUE"""),"")</f>
        <v/>
      </c>
      <c r="G4345" s="1"/>
      <c r="H4345" s="1"/>
      <c r="I4345" s="1"/>
      <c r="J4345" s="1"/>
    </row>
    <row r="4346" spans="1:10" x14ac:dyDescent="0.25">
      <c r="A4346" s="1" t="str">
        <f ca="1">IFERROR(__xludf.DUMMYFUNCTION("""COMPUTED_VALUE"""),"")</f>
        <v/>
      </c>
      <c r="B4346" s="1"/>
      <c r="C4346" s="1"/>
      <c r="D4346" s="1"/>
      <c r="E4346" s="1"/>
      <c r="F4346" s="1" t="str">
        <f ca="1">IFERROR(__xludf.DUMMYFUNCTION("""COMPUTED_VALUE"""),"")</f>
        <v/>
      </c>
      <c r="G4346" s="1"/>
      <c r="H4346" s="1"/>
      <c r="I4346" s="1"/>
      <c r="J4346" s="1"/>
    </row>
    <row r="4347" spans="1:10" x14ac:dyDescent="0.25">
      <c r="A4347" s="1" t="str">
        <f ca="1">IFERROR(__xludf.DUMMYFUNCTION("""COMPUTED_VALUE"""),"")</f>
        <v/>
      </c>
      <c r="B4347" s="1"/>
      <c r="C4347" s="1"/>
      <c r="D4347" s="1"/>
      <c r="E4347" s="1"/>
      <c r="F4347" s="1" t="str">
        <f ca="1">IFERROR(__xludf.DUMMYFUNCTION("""COMPUTED_VALUE"""),"")</f>
        <v/>
      </c>
      <c r="G4347" s="1"/>
      <c r="H4347" s="1"/>
      <c r="I4347" s="1"/>
      <c r="J4347" s="1"/>
    </row>
    <row r="4348" spans="1:10" x14ac:dyDescent="0.25">
      <c r="A4348" s="1" t="str">
        <f ca="1">IFERROR(__xludf.DUMMYFUNCTION("""COMPUTED_VALUE"""),"")</f>
        <v/>
      </c>
      <c r="B4348" s="1"/>
      <c r="C4348" s="1"/>
      <c r="D4348" s="1"/>
      <c r="E4348" s="1"/>
      <c r="F4348" s="1" t="str">
        <f ca="1">IFERROR(__xludf.DUMMYFUNCTION("""COMPUTED_VALUE"""),"")</f>
        <v/>
      </c>
      <c r="G4348" s="1"/>
      <c r="H4348" s="1"/>
      <c r="I4348" s="1"/>
      <c r="J4348" s="1"/>
    </row>
    <row r="4349" spans="1:10" x14ac:dyDescent="0.25">
      <c r="A4349" s="1" t="str">
        <f ca="1">IFERROR(__xludf.DUMMYFUNCTION("""COMPUTED_VALUE"""),"")</f>
        <v/>
      </c>
      <c r="B4349" s="1"/>
      <c r="C4349" s="1"/>
      <c r="D4349" s="1"/>
      <c r="E4349" s="1"/>
      <c r="F4349" s="1" t="str">
        <f ca="1">IFERROR(__xludf.DUMMYFUNCTION("""COMPUTED_VALUE"""),"")</f>
        <v/>
      </c>
      <c r="G4349" s="1"/>
      <c r="H4349" s="1"/>
      <c r="I4349" s="1"/>
      <c r="J4349" s="1"/>
    </row>
    <row r="4350" spans="1:10" x14ac:dyDescent="0.25">
      <c r="A4350" s="1" t="str">
        <f ca="1">IFERROR(__xludf.DUMMYFUNCTION("""COMPUTED_VALUE"""),"")</f>
        <v/>
      </c>
      <c r="B4350" s="1"/>
      <c r="C4350" s="1"/>
      <c r="D4350" s="1"/>
      <c r="E4350" s="1"/>
      <c r="F4350" s="1" t="str">
        <f ca="1">IFERROR(__xludf.DUMMYFUNCTION("""COMPUTED_VALUE"""),"")</f>
        <v/>
      </c>
      <c r="G4350" s="1"/>
      <c r="H4350" s="1"/>
      <c r="I4350" s="1"/>
      <c r="J4350" s="1"/>
    </row>
    <row r="4351" spans="1:10" x14ac:dyDescent="0.25">
      <c r="A4351" s="1" t="str">
        <f ca="1">IFERROR(__xludf.DUMMYFUNCTION("""COMPUTED_VALUE"""),"")</f>
        <v/>
      </c>
      <c r="B4351" s="1"/>
      <c r="C4351" s="1"/>
      <c r="D4351" s="1"/>
      <c r="E4351" s="1"/>
      <c r="F4351" s="1" t="str">
        <f ca="1">IFERROR(__xludf.DUMMYFUNCTION("""COMPUTED_VALUE"""),"")</f>
        <v/>
      </c>
      <c r="G4351" s="1"/>
      <c r="H4351" s="1"/>
      <c r="I4351" s="1"/>
      <c r="J4351" s="1"/>
    </row>
    <row r="4352" spans="1:10" x14ac:dyDescent="0.25">
      <c r="A4352" s="1" t="str">
        <f ca="1">IFERROR(__xludf.DUMMYFUNCTION("""COMPUTED_VALUE"""),"")</f>
        <v/>
      </c>
      <c r="B4352" s="1"/>
      <c r="C4352" s="1"/>
      <c r="D4352" s="1"/>
      <c r="E4352" s="1"/>
      <c r="F4352" s="1" t="str">
        <f ca="1">IFERROR(__xludf.DUMMYFUNCTION("""COMPUTED_VALUE"""),"")</f>
        <v/>
      </c>
      <c r="G4352" s="1"/>
      <c r="H4352" s="1"/>
      <c r="I4352" s="1"/>
      <c r="J4352" s="1"/>
    </row>
    <row r="4353" spans="1:10" x14ac:dyDescent="0.25">
      <c r="A4353" s="1" t="str">
        <f ca="1">IFERROR(__xludf.DUMMYFUNCTION("""COMPUTED_VALUE"""),"")</f>
        <v/>
      </c>
      <c r="B4353" s="1"/>
      <c r="C4353" s="1"/>
      <c r="D4353" s="1"/>
      <c r="E4353" s="1"/>
      <c r="F4353" s="1" t="str">
        <f ca="1">IFERROR(__xludf.DUMMYFUNCTION("""COMPUTED_VALUE"""),"")</f>
        <v/>
      </c>
      <c r="G4353" s="1"/>
      <c r="H4353" s="1"/>
      <c r="I4353" s="1"/>
      <c r="J4353" s="1"/>
    </row>
    <row r="4354" spans="1:10" x14ac:dyDescent="0.25">
      <c r="A4354" s="1" t="str">
        <f ca="1">IFERROR(__xludf.DUMMYFUNCTION("""COMPUTED_VALUE"""),"")</f>
        <v/>
      </c>
      <c r="B4354" s="1"/>
      <c r="C4354" s="1"/>
      <c r="D4354" s="1"/>
      <c r="E4354" s="1"/>
      <c r="F4354" s="1" t="str">
        <f ca="1">IFERROR(__xludf.DUMMYFUNCTION("""COMPUTED_VALUE"""),"")</f>
        <v/>
      </c>
      <c r="G4354" s="1"/>
      <c r="H4354" s="1"/>
      <c r="I4354" s="1"/>
      <c r="J4354" s="1"/>
    </row>
    <row r="4355" spans="1:10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1"/>
    </row>
    <row r="4356" spans="1:10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1"/>
    </row>
    <row r="4357" spans="1:10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1"/>
    </row>
    <row r="4358" spans="1:10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1"/>
    </row>
    <row r="4359" spans="1:10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1"/>
    </row>
    <row r="4360" spans="1:10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1"/>
    </row>
    <row r="4361" spans="1:10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1"/>
    </row>
    <row r="4362" spans="1:10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1"/>
    </row>
    <row r="4363" spans="1:10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1"/>
    </row>
    <row r="4364" spans="1:10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1"/>
    </row>
    <row r="4365" spans="1:10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1"/>
    </row>
    <row r="4366" spans="1:10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</row>
    <row r="4367" spans="1:10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</row>
    <row r="4368" spans="1:10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1"/>
    </row>
    <row r="4369" spans="1:10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1"/>
    </row>
    <row r="4370" spans="1:10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1"/>
    </row>
    <row r="4371" spans="1:10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1"/>
    </row>
    <row r="4372" spans="1:10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1"/>
    </row>
    <row r="4373" spans="1:10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1"/>
    </row>
    <row r="4374" spans="1:10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1"/>
    </row>
    <row r="4375" spans="1:10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1"/>
    </row>
    <row r="4376" spans="1:10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1"/>
    </row>
    <row r="4377" spans="1:10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1"/>
    </row>
    <row r="4378" spans="1:10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1"/>
    </row>
    <row r="4379" spans="1:10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1"/>
    </row>
    <row r="4380" spans="1:10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1"/>
    </row>
    <row r="4381" spans="1:10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1"/>
    </row>
    <row r="4382" spans="1:10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1"/>
    </row>
    <row r="4383" spans="1:10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1"/>
    </row>
    <row r="4384" spans="1:10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1"/>
    </row>
    <row r="4385" spans="1:10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1"/>
    </row>
    <row r="4386" spans="1:10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1"/>
    </row>
    <row r="4387" spans="1:10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1"/>
    </row>
    <row r="4388" spans="1:10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1"/>
    </row>
    <row r="4389" spans="1:10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1"/>
    </row>
    <row r="4390" spans="1:10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1"/>
    </row>
    <row r="4391" spans="1:10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1"/>
    </row>
    <row r="4392" spans="1:10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1"/>
    </row>
    <row r="4393" spans="1:10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1"/>
    </row>
    <row r="4394" spans="1:10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1"/>
    </row>
    <row r="4395" spans="1:10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1"/>
    </row>
    <row r="4396" spans="1:10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1"/>
    </row>
    <row r="4397" spans="1:10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1"/>
    </row>
    <row r="4398" spans="1:10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1"/>
    </row>
    <row r="4399" spans="1:10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1"/>
    </row>
    <row r="4400" spans="1:10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1"/>
    </row>
    <row r="4401" spans="1:10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1"/>
    </row>
    <row r="4402" spans="1:10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1"/>
    </row>
    <row r="4403" spans="1:10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1"/>
    </row>
    <row r="4404" spans="1:10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1"/>
    </row>
    <row r="4405" spans="1:10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1"/>
    </row>
    <row r="4406" spans="1:10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1"/>
    </row>
    <row r="4407" spans="1:10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1"/>
    </row>
    <row r="4408" spans="1:10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</row>
    <row r="4409" spans="1:10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1"/>
    </row>
    <row r="4410" spans="1:10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1"/>
    </row>
    <row r="4411" spans="1:10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</row>
    <row r="4412" spans="1:10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</row>
    <row r="4413" spans="1:10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1"/>
    </row>
    <row r="4414" spans="1:10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1"/>
    </row>
    <row r="4415" spans="1:10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1"/>
    </row>
    <row r="4416" spans="1:10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1"/>
    </row>
    <row r="4417" spans="1:10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1"/>
    </row>
    <row r="4418" spans="1:10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1"/>
    </row>
    <row r="4419" spans="1:10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1"/>
    </row>
    <row r="4420" spans="1:10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1"/>
    </row>
    <row r="4421" spans="1:10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1"/>
    </row>
    <row r="4422" spans="1:10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1"/>
    </row>
    <row r="4423" spans="1:10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1"/>
    </row>
    <row r="4424" spans="1:10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1"/>
    </row>
    <row r="4425" spans="1:10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1"/>
    </row>
    <row r="4426" spans="1:10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1"/>
    </row>
    <row r="4427" spans="1:10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1"/>
    </row>
    <row r="4428" spans="1:10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1"/>
    </row>
    <row r="4429" spans="1:10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1"/>
    </row>
    <row r="4430" spans="1:10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1"/>
    </row>
    <row r="4431" spans="1:10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1"/>
    </row>
    <row r="4432" spans="1:10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1"/>
    </row>
    <row r="4433" spans="1:10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1"/>
    </row>
    <row r="4434" spans="1:10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1"/>
    </row>
    <row r="4435" spans="1:10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1"/>
    </row>
    <row r="4436" spans="1:10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1"/>
    </row>
    <row r="4437" spans="1:10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1"/>
    </row>
    <row r="4438" spans="1:10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1"/>
    </row>
    <row r="4439" spans="1:10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1"/>
    </row>
    <row r="4440" spans="1:10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1"/>
    </row>
    <row r="4441" spans="1:10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1"/>
    </row>
    <row r="4442" spans="1:10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1"/>
    </row>
    <row r="4443" spans="1:10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1"/>
    </row>
    <row r="4444" spans="1:10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1"/>
    </row>
    <row r="4445" spans="1:10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1"/>
    </row>
    <row r="4446" spans="1:10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1"/>
    </row>
    <row r="4447" spans="1:10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1"/>
    </row>
    <row r="4448" spans="1:10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1"/>
    </row>
    <row r="4449" spans="1:10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1"/>
    </row>
    <row r="4450" spans="1:10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1"/>
    </row>
    <row r="4451" spans="1:10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1"/>
    </row>
    <row r="4452" spans="1:10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1"/>
    </row>
    <row r="4453" spans="1:10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1"/>
    </row>
    <row r="4454" spans="1:10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1"/>
    </row>
    <row r="4455" spans="1:10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1"/>
    </row>
    <row r="4456" spans="1:10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</row>
    <row r="4457" spans="1:10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</row>
    <row r="4458" spans="1:10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1"/>
    </row>
    <row r="4459" spans="1:10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1"/>
    </row>
    <row r="4460" spans="1:10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1"/>
    </row>
    <row r="4461" spans="1:10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1"/>
    </row>
    <row r="4462" spans="1:10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1"/>
    </row>
    <row r="4463" spans="1:10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1"/>
    </row>
    <row r="4464" spans="1:10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1"/>
    </row>
    <row r="4465" spans="1:10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1"/>
    </row>
    <row r="4466" spans="1:10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1"/>
    </row>
    <row r="4467" spans="1:10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1"/>
    </row>
    <row r="4468" spans="1:10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1"/>
    </row>
    <row r="4469" spans="1:10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1"/>
    </row>
    <row r="4470" spans="1:10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</row>
    <row r="4471" spans="1:10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1"/>
    </row>
    <row r="4472" spans="1:10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1"/>
    </row>
    <row r="4473" spans="1:10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1"/>
    </row>
    <row r="4474" spans="1:10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1"/>
    </row>
    <row r="4475" spans="1:10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1"/>
    </row>
    <row r="4476" spans="1:10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1"/>
    </row>
    <row r="4477" spans="1:10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1"/>
    </row>
    <row r="4478" spans="1:10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1"/>
    </row>
    <row r="4479" spans="1:10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1"/>
    </row>
    <row r="4480" spans="1:10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1"/>
    </row>
    <row r="4481" spans="1:10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1"/>
    </row>
    <row r="4482" spans="1:10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1"/>
    </row>
    <row r="4483" spans="1:10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1"/>
    </row>
    <row r="4484" spans="1:10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1"/>
    </row>
    <row r="4485" spans="1:10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1"/>
    </row>
    <row r="4486" spans="1:10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1"/>
    </row>
    <row r="4487" spans="1:10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1"/>
    </row>
    <row r="4488" spans="1:10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1"/>
    </row>
    <row r="4489" spans="1:10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1"/>
    </row>
    <row r="4490" spans="1:10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1"/>
    </row>
    <row r="4491" spans="1:10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1"/>
    </row>
    <row r="4492" spans="1:10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1"/>
    </row>
    <row r="4493" spans="1:10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1"/>
    </row>
    <row r="4494" spans="1:10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1"/>
    </row>
    <row r="4495" spans="1:10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1"/>
    </row>
    <row r="4496" spans="1:10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1"/>
    </row>
    <row r="4497" spans="1:10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1"/>
    </row>
    <row r="4498" spans="1:10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1"/>
    </row>
    <row r="4499" spans="1:10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1"/>
    </row>
    <row r="4500" spans="1:10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1"/>
    </row>
    <row r="4501" spans="1:10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</row>
    <row r="4502" spans="1:10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</row>
    <row r="4503" spans="1:10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1"/>
    </row>
    <row r="4504" spans="1:10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1"/>
    </row>
    <row r="4505" spans="1:10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1"/>
    </row>
    <row r="4506" spans="1:10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1"/>
    </row>
    <row r="4507" spans="1:10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1"/>
    </row>
    <row r="4508" spans="1:10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1"/>
    </row>
    <row r="4509" spans="1:10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1"/>
    </row>
    <row r="4510" spans="1:10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1"/>
    </row>
    <row r="4511" spans="1:10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1"/>
    </row>
    <row r="4512" spans="1:10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1"/>
    </row>
    <row r="4513" spans="1:10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1"/>
    </row>
    <row r="4514" spans="1:10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1"/>
    </row>
    <row r="4515" spans="1:10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1"/>
    </row>
    <row r="4516" spans="1:10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1"/>
    </row>
    <row r="4517" spans="1:10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1"/>
    </row>
    <row r="4518" spans="1:10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1"/>
    </row>
    <row r="4519" spans="1:10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1"/>
    </row>
    <row r="4520" spans="1:10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1"/>
    </row>
    <row r="4521" spans="1:10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1"/>
    </row>
    <row r="4522" spans="1:10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1"/>
    </row>
    <row r="4523" spans="1:10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1"/>
    </row>
    <row r="4524" spans="1:10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1"/>
    </row>
    <row r="4525" spans="1:10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1"/>
    </row>
    <row r="4526" spans="1:10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1"/>
    </row>
    <row r="4527" spans="1:10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1"/>
    </row>
    <row r="4528" spans="1:10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1"/>
    </row>
    <row r="4529" spans="1:10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1"/>
    </row>
    <row r="4530" spans="1:10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1"/>
    </row>
    <row r="4531" spans="1:10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1"/>
    </row>
    <row r="4532" spans="1:10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1"/>
    </row>
    <row r="4533" spans="1:10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1"/>
    </row>
    <row r="4534" spans="1:10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1"/>
    </row>
    <row r="4535" spans="1:10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1"/>
    </row>
    <row r="4536" spans="1:10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1"/>
    </row>
    <row r="4537" spans="1:10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1"/>
    </row>
    <row r="4538" spans="1:10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1"/>
    </row>
    <row r="4539" spans="1:10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1"/>
    </row>
    <row r="4540" spans="1:10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1"/>
    </row>
    <row r="4541" spans="1:10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1"/>
    </row>
    <row r="4542" spans="1:10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1"/>
    </row>
    <row r="4543" spans="1:10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1"/>
    </row>
    <row r="4544" spans="1:10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1"/>
    </row>
    <row r="4545" spans="1:10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1"/>
    </row>
    <row r="4546" spans="1:10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</row>
    <row r="4547" spans="1:10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</row>
    <row r="4548" spans="1:10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1"/>
    </row>
    <row r="4549" spans="1:10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1"/>
    </row>
    <row r="4550" spans="1:10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1"/>
    </row>
    <row r="4551" spans="1:10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1"/>
    </row>
    <row r="4552" spans="1:10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1"/>
    </row>
    <row r="4553" spans="1:10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1"/>
    </row>
    <row r="4554" spans="1:10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1"/>
    </row>
    <row r="4555" spans="1:10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1"/>
    </row>
    <row r="4556" spans="1:10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1"/>
    </row>
    <row r="4557" spans="1:10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1"/>
    </row>
    <row r="4558" spans="1:10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1"/>
    </row>
    <row r="4559" spans="1:10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1"/>
    </row>
    <row r="4560" spans="1:10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1"/>
    </row>
    <row r="4561" spans="1:10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1"/>
    </row>
    <row r="4562" spans="1:10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1"/>
    </row>
    <row r="4563" spans="1:10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1"/>
    </row>
    <row r="4564" spans="1:10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1"/>
    </row>
    <row r="4565" spans="1:10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1"/>
    </row>
    <row r="4566" spans="1:10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1"/>
    </row>
    <row r="4567" spans="1:10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1"/>
    </row>
    <row r="4568" spans="1:10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1"/>
    </row>
    <row r="4569" spans="1:10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1"/>
    </row>
    <row r="4570" spans="1:10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1"/>
    </row>
    <row r="4571" spans="1:10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1"/>
    </row>
    <row r="4572" spans="1:10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1"/>
    </row>
    <row r="4573" spans="1:10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1"/>
    </row>
    <row r="4574" spans="1:10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1"/>
    </row>
    <row r="4575" spans="1:10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1"/>
    </row>
    <row r="4576" spans="1:10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1"/>
    </row>
    <row r="4577" spans="1:10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1"/>
    </row>
    <row r="4578" spans="1:10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1"/>
    </row>
    <row r="4579" spans="1:10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1"/>
    </row>
    <row r="4580" spans="1:10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1"/>
    </row>
    <row r="4581" spans="1:10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1"/>
    </row>
    <row r="4582" spans="1:10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1"/>
    </row>
    <row r="4583" spans="1:10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1"/>
    </row>
    <row r="4584" spans="1:10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1"/>
    </row>
    <row r="4585" spans="1:10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1"/>
    </row>
    <row r="4586" spans="1:10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1"/>
    </row>
    <row r="4587" spans="1:10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1"/>
    </row>
    <row r="4588" spans="1:10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1"/>
    </row>
    <row r="4589" spans="1:10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1"/>
    </row>
    <row r="4590" spans="1:10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1"/>
    </row>
    <row r="4591" spans="1:10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</row>
    <row r="4592" spans="1:10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</row>
    <row r="4593" spans="1:10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1"/>
    </row>
    <row r="4594" spans="1:10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1"/>
    </row>
    <row r="4595" spans="1:10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1"/>
    </row>
    <row r="4596" spans="1:10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1"/>
    </row>
    <row r="4597" spans="1:10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1"/>
    </row>
    <row r="4598" spans="1:10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1"/>
    </row>
    <row r="4599" spans="1:10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1"/>
    </row>
    <row r="4600" spans="1:10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1"/>
    </row>
    <row r="4601" spans="1:10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1"/>
    </row>
    <row r="4602" spans="1:10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1"/>
    </row>
    <row r="4603" spans="1:10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1"/>
    </row>
    <row r="4604" spans="1:10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1"/>
    </row>
    <row r="4605" spans="1:10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1"/>
    </row>
    <row r="4606" spans="1:10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1"/>
    </row>
    <row r="4607" spans="1:10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1"/>
    </row>
    <row r="4608" spans="1:10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1"/>
    </row>
    <row r="4609" spans="1:10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1"/>
    </row>
    <row r="4610" spans="1:10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1"/>
    </row>
    <row r="4611" spans="1:10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1"/>
    </row>
    <row r="4612" spans="1:10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1"/>
    </row>
    <row r="4613" spans="1:10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1"/>
    </row>
    <row r="4614" spans="1:10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1"/>
    </row>
    <row r="4615" spans="1:10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1"/>
    </row>
    <row r="4616" spans="1:10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1"/>
    </row>
    <row r="4617" spans="1:10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1"/>
    </row>
    <row r="4618" spans="1:10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1"/>
    </row>
    <row r="4619" spans="1:10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1"/>
    </row>
    <row r="4620" spans="1:10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1"/>
    </row>
    <row r="4621" spans="1:10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1"/>
    </row>
    <row r="4622" spans="1:10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1"/>
    </row>
    <row r="4623" spans="1:10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1"/>
    </row>
    <row r="4624" spans="1:10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1"/>
    </row>
    <row r="4625" spans="1:10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1"/>
    </row>
    <row r="4626" spans="1:10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</row>
    <row r="4627" spans="1:10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</row>
    <row r="4628" spans="1:10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</row>
    <row r="4629" spans="1:10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1"/>
    </row>
    <row r="4630" spans="1:10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1"/>
    </row>
    <row r="4631" spans="1:10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1"/>
    </row>
    <row r="4632" spans="1:10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1"/>
    </row>
    <row r="4633" spans="1:10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1"/>
    </row>
    <row r="4634" spans="1:10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1"/>
    </row>
    <row r="4635" spans="1:10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1"/>
    </row>
    <row r="4636" spans="1:10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</row>
    <row r="4637" spans="1:10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</row>
    <row r="4638" spans="1:10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1"/>
    </row>
    <row r="4639" spans="1:10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1"/>
    </row>
    <row r="4640" spans="1:10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1"/>
    </row>
    <row r="4641" spans="1:10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1"/>
    </row>
    <row r="4642" spans="1:10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1"/>
    </row>
    <row r="4643" spans="1:10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1"/>
    </row>
    <row r="4644" spans="1:10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1"/>
    </row>
    <row r="4645" spans="1:10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1"/>
    </row>
    <row r="4646" spans="1:10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1"/>
    </row>
    <row r="4647" spans="1:10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1"/>
    </row>
    <row r="4648" spans="1:10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1"/>
    </row>
    <row r="4649" spans="1:10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1"/>
    </row>
    <row r="4650" spans="1:10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1"/>
    </row>
    <row r="4651" spans="1:10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1"/>
    </row>
    <row r="4652" spans="1:10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1"/>
    </row>
    <row r="4653" spans="1:10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1"/>
    </row>
    <row r="4654" spans="1:10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1"/>
    </row>
    <row r="4655" spans="1:10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1"/>
    </row>
    <row r="4656" spans="1:10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1"/>
    </row>
    <row r="4657" spans="1:10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1"/>
    </row>
    <row r="4658" spans="1:10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1"/>
    </row>
    <row r="4659" spans="1:10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</row>
    <row r="4660" spans="1:10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1"/>
    </row>
    <row r="4661" spans="1:10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1"/>
    </row>
    <row r="4662" spans="1:10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1"/>
    </row>
    <row r="4663" spans="1:10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1"/>
    </row>
    <row r="4664" spans="1:10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1"/>
    </row>
    <row r="4665" spans="1:10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1"/>
    </row>
    <row r="4666" spans="1:10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1"/>
    </row>
    <row r="4667" spans="1:10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1"/>
    </row>
    <row r="4668" spans="1:10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1"/>
    </row>
    <row r="4669" spans="1:10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1"/>
    </row>
    <row r="4670" spans="1:10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1"/>
    </row>
    <row r="4671" spans="1:10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1"/>
    </row>
    <row r="4672" spans="1:10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1"/>
    </row>
    <row r="4673" spans="1:10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1"/>
    </row>
    <row r="4674" spans="1:10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1"/>
    </row>
    <row r="4675" spans="1:10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1"/>
    </row>
    <row r="4676" spans="1:10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1"/>
    </row>
    <row r="4677" spans="1:10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1"/>
    </row>
    <row r="4678" spans="1:10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1"/>
    </row>
    <row r="4679" spans="1:10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1"/>
    </row>
    <row r="4680" spans="1:10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1"/>
    </row>
    <row r="4681" spans="1:10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</row>
    <row r="4682" spans="1:10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</row>
    <row r="4683" spans="1:10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1"/>
    </row>
    <row r="4684" spans="1:10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1"/>
    </row>
    <row r="4685" spans="1:10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1"/>
    </row>
    <row r="4686" spans="1:10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1"/>
    </row>
    <row r="4687" spans="1:10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1"/>
    </row>
    <row r="4688" spans="1:10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1"/>
    </row>
    <row r="4689" spans="1:10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1"/>
    </row>
    <row r="4690" spans="1:10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1"/>
    </row>
    <row r="4691" spans="1:10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1"/>
    </row>
    <row r="4692" spans="1:10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1"/>
    </row>
    <row r="4693" spans="1:10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1"/>
    </row>
    <row r="4694" spans="1:10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1"/>
    </row>
    <row r="4695" spans="1:10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1"/>
    </row>
    <row r="4696" spans="1:10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1"/>
    </row>
    <row r="4697" spans="1:10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1"/>
    </row>
    <row r="4698" spans="1:10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1"/>
    </row>
    <row r="4699" spans="1:10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1"/>
    </row>
    <row r="4700" spans="1:10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1"/>
    </row>
    <row r="4701" spans="1:10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1"/>
    </row>
    <row r="4702" spans="1:10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1"/>
    </row>
    <row r="4703" spans="1:10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1"/>
    </row>
    <row r="4704" spans="1:10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1"/>
    </row>
    <row r="4705" spans="1:10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1"/>
    </row>
    <row r="4706" spans="1:10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1"/>
    </row>
    <row r="4707" spans="1:10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1"/>
    </row>
    <row r="4708" spans="1:10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1"/>
    </row>
    <row r="4709" spans="1:10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1"/>
    </row>
    <row r="4710" spans="1:10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1"/>
    </row>
    <row r="4711" spans="1:10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1"/>
    </row>
    <row r="4712" spans="1:10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1"/>
    </row>
    <row r="4713" spans="1:10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1"/>
    </row>
    <row r="4714" spans="1:10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1"/>
    </row>
    <row r="4715" spans="1:10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1"/>
    </row>
    <row r="4716" spans="1:10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1"/>
    </row>
    <row r="4717" spans="1:10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1"/>
    </row>
    <row r="4718" spans="1:10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1"/>
    </row>
    <row r="4719" spans="1:10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1"/>
    </row>
    <row r="4720" spans="1:10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1"/>
    </row>
    <row r="4721" spans="1:10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</row>
    <row r="4722" spans="1:10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</row>
    <row r="4723" spans="1:10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</row>
    <row r="4724" spans="1:10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1"/>
    </row>
    <row r="4725" spans="1:10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1"/>
    </row>
    <row r="4726" spans="1:10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</row>
    <row r="4727" spans="1:10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</row>
    <row r="4728" spans="1:10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1"/>
    </row>
    <row r="4729" spans="1:10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1"/>
    </row>
    <row r="4730" spans="1:10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1"/>
    </row>
    <row r="4731" spans="1:10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1"/>
    </row>
    <row r="4732" spans="1:10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1"/>
    </row>
    <row r="4733" spans="1:10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1"/>
    </row>
    <row r="4734" spans="1:10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1"/>
    </row>
    <row r="4735" spans="1:10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1"/>
    </row>
    <row r="4736" spans="1:10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1"/>
    </row>
    <row r="4737" spans="1:10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1"/>
    </row>
    <row r="4738" spans="1:10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1"/>
    </row>
    <row r="4739" spans="1:10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1"/>
    </row>
    <row r="4740" spans="1:10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1"/>
    </row>
    <row r="4741" spans="1:10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1"/>
    </row>
    <row r="4742" spans="1:10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1"/>
    </row>
    <row r="4743" spans="1:10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1"/>
    </row>
    <row r="4744" spans="1:10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1"/>
    </row>
    <row r="4745" spans="1:10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1"/>
    </row>
    <row r="4746" spans="1:10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1"/>
    </row>
    <row r="4747" spans="1:10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1"/>
    </row>
    <row r="4748" spans="1:10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1"/>
    </row>
    <row r="4749" spans="1:10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1"/>
    </row>
    <row r="4750" spans="1:10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1"/>
    </row>
    <row r="4751" spans="1:10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1"/>
    </row>
    <row r="4752" spans="1:10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1"/>
    </row>
    <row r="4753" spans="1:10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1"/>
    </row>
    <row r="4754" spans="1:10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</row>
    <row r="4755" spans="1:10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</row>
    <row r="4756" spans="1:10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</row>
    <row r="4757" spans="1:10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</row>
    <row r="4758" spans="1:10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1"/>
    </row>
    <row r="4759" spans="1:10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1"/>
    </row>
    <row r="4760" spans="1:10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1"/>
    </row>
    <row r="4761" spans="1:10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1"/>
    </row>
    <row r="4762" spans="1:10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1"/>
    </row>
    <row r="4763" spans="1:10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1"/>
    </row>
    <row r="4764" spans="1:10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1"/>
    </row>
    <row r="4765" spans="1:10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1"/>
    </row>
    <row r="4766" spans="1:10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1"/>
    </row>
    <row r="4767" spans="1:10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1"/>
    </row>
    <row r="4768" spans="1:10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1"/>
    </row>
    <row r="4769" spans="1:10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1"/>
    </row>
    <row r="4770" spans="1:10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1"/>
    </row>
    <row r="4771" spans="1:10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1"/>
    </row>
    <row r="4772" spans="1:10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1"/>
    </row>
    <row r="4773" spans="1:10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1"/>
    </row>
    <row r="4774" spans="1:10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1"/>
    </row>
    <row r="4775" spans="1:10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1"/>
    </row>
    <row r="4776" spans="1:10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1"/>
    </row>
    <row r="4777" spans="1:10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1"/>
    </row>
    <row r="4778" spans="1:10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1"/>
    </row>
    <row r="4779" spans="1:10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1"/>
    </row>
    <row r="4780" spans="1:10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1"/>
    </row>
    <row r="4781" spans="1:10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1"/>
    </row>
    <row r="4782" spans="1:10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1"/>
    </row>
    <row r="4783" spans="1:10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1"/>
    </row>
    <row r="4784" spans="1:10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1"/>
    </row>
    <row r="4785" spans="1:10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1"/>
    </row>
    <row r="4786" spans="1:10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1"/>
    </row>
    <row r="4787" spans="1:10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1"/>
    </row>
    <row r="4788" spans="1:10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</row>
    <row r="4789" spans="1:10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</row>
    <row r="4790" spans="1:10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</row>
    <row r="4791" spans="1:10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</row>
    <row r="4792" spans="1:10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1"/>
    </row>
    <row r="4793" spans="1:10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1"/>
    </row>
    <row r="4794" spans="1:10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1"/>
    </row>
    <row r="4795" spans="1:10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1"/>
    </row>
    <row r="4796" spans="1:10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1"/>
    </row>
    <row r="4797" spans="1:10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1"/>
    </row>
    <row r="4798" spans="1:10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1"/>
    </row>
    <row r="4799" spans="1:10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1"/>
    </row>
    <row r="4800" spans="1:10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1"/>
    </row>
    <row r="4801" spans="1:10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1"/>
    </row>
    <row r="4802" spans="1:10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1"/>
    </row>
    <row r="4803" spans="1:10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1"/>
    </row>
    <row r="4804" spans="1:10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1"/>
    </row>
    <row r="4805" spans="1:10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1"/>
    </row>
    <row r="4806" spans="1:10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1"/>
    </row>
    <row r="4807" spans="1:10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1"/>
    </row>
    <row r="4808" spans="1:10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1"/>
    </row>
    <row r="4809" spans="1:10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1"/>
    </row>
    <row r="4810" spans="1:10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1"/>
    </row>
    <row r="4811" spans="1:10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1"/>
    </row>
    <row r="4812" spans="1:10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1"/>
    </row>
    <row r="4813" spans="1:10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1"/>
    </row>
    <row r="4814" spans="1:10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1"/>
    </row>
    <row r="4815" spans="1:10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1"/>
    </row>
    <row r="4816" spans="1:10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1"/>
    </row>
    <row r="4817" spans="1:10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1"/>
    </row>
    <row r="4818" spans="1:10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1"/>
    </row>
    <row r="4819" spans="1:10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1"/>
    </row>
    <row r="4820" spans="1:10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1"/>
    </row>
    <row r="4821" spans="1:10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1"/>
    </row>
    <row r="4822" spans="1:10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1"/>
    </row>
    <row r="4823" spans="1:10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1"/>
    </row>
    <row r="4824" spans="1:10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1"/>
    </row>
    <row r="4825" spans="1:10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1"/>
    </row>
    <row r="4826" spans="1:10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1"/>
    </row>
    <row r="4827" spans="1:10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1"/>
    </row>
    <row r="4828" spans="1:10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1"/>
    </row>
    <row r="4829" spans="1:10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1"/>
    </row>
    <row r="4830" spans="1:10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1"/>
    </row>
    <row r="4831" spans="1:10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1"/>
    </row>
    <row r="4832" spans="1:10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1"/>
    </row>
    <row r="4833" spans="1:10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1"/>
    </row>
    <row r="4834" spans="1:10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1"/>
    </row>
    <row r="4835" spans="1:10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1"/>
    </row>
    <row r="4836" spans="1:10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1"/>
    </row>
    <row r="4837" spans="1:10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1"/>
    </row>
    <row r="4838" spans="1:10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1"/>
    </row>
    <row r="4839" spans="1:10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1"/>
    </row>
    <row r="4840" spans="1:10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1"/>
    </row>
    <row r="4841" spans="1:10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1"/>
    </row>
    <row r="4842" spans="1:10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1"/>
    </row>
    <row r="4843" spans="1:10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1"/>
    </row>
    <row r="4844" spans="1:10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1"/>
    </row>
    <row r="4845" spans="1:10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1"/>
    </row>
    <row r="4846" spans="1:10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1"/>
    </row>
    <row r="4847" spans="1:10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1"/>
    </row>
    <row r="4848" spans="1:10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1"/>
    </row>
    <row r="4849" spans="1:10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1"/>
    </row>
    <row r="4850" spans="1:10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1"/>
    </row>
    <row r="4851" spans="1:10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1"/>
    </row>
    <row r="4852" spans="1:10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1"/>
    </row>
    <row r="4853" spans="1:10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1"/>
    </row>
    <row r="4854" spans="1:10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2022-10-12T18:21:12Z</dcterms:created>
  <dcterms:modified xsi:type="dcterms:W3CDTF">2022-10-12T18:21:13Z</dcterms:modified>
</cp:coreProperties>
</file>